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codeName="{28389E77-7640-9E18-AD5C-E98E2F4A8B83}"/>
  <workbookPr codeName="ThisWorkbook"/>
  <mc:AlternateContent xmlns:mc="http://schemas.openxmlformats.org/markup-compatibility/2006">
    <mc:Choice Requires="x15">
      <x15ac:absPath xmlns:x15ac="http://schemas.microsoft.com/office/spreadsheetml/2010/11/ac" url="C:\Users\gabyl\OneDrive\Documents\Malt\CIGREF\"/>
    </mc:Choice>
  </mc:AlternateContent>
  <xr:revisionPtr revIDLastSave="0" documentId="13_ncr:1_{A5D1D199-05D4-4FA4-9CD4-7CA42A66CEA6}" xr6:coauthVersionLast="47" xr6:coauthVersionMax="47" xr10:uidLastSave="{00000000-0000-0000-0000-000000000000}"/>
  <bookViews>
    <workbookView xWindow="-108" yWindow="-108" windowWidth="23256" windowHeight="12576" tabRatio="1000" xr2:uid="{00000000-000D-0000-FFFF-FFFF00000000}"/>
  </bookViews>
  <sheets>
    <sheet name="Mode opératoire" sheetId="60" r:id="rId1"/>
    <sheet name="Fiche identité" sheetId="7" r:id="rId2"/>
    <sheet name="Mode d'emploi" sheetId="8" state="hidden" r:id="rId3"/>
    <sheet name="Synthèse détaillée" sheetId="67" r:id="rId4"/>
    <sheet name="Synthèse globale" sheetId="12" r:id="rId5"/>
    <sheet name="BDD" sheetId="11" state="hidden" r:id="rId6"/>
    <sheet name="Suppl" sheetId="2" state="hidden" r:id="rId7"/>
    <sheet name="V1_Quest" sheetId="61" r:id="rId8"/>
    <sheet name="V1_Stratégie" sheetId="1" r:id="rId9"/>
    <sheet name="V2_Quest" sheetId="63" r:id="rId10"/>
    <sheet name="V2_Innovation" sheetId="19" r:id="rId11"/>
    <sheet name="V3_Quest" sheetId="64" r:id="rId12"/>
    <sheet name="V3_ Risques&amp;Conformité" sheetId="22" r:id="rId13"/>
    <sheet name="V4_Quest" sheetId="65" r:id="rId14"/>
    <sheet name="V4_RSE" sheetId="24" r:id="rId15"/>
    <sheet name="V5_Quest" sheetId="66" r:id="rId16"/>
    <sheet name="V5_Données&amp;IA" sheetId="25" r:id="rId17"/>
    <sheet name="V6_Quest" sheetId="50" r:id="rId18"/>
    <sheet name="V6_Architecture" sheetId="28" r:id="rId19"/>
    <sheet name="V7_Quest" sheetId="51" r:id="rId20"/>
    <sheet name="V7_Portefeuille" sheetId="30" r:id="rId21"/>
    <sheet name="V8_Quest" sheetId="62" r:id="rId22"/>
    <sheet name="V8_Projets" sheetId="32" r:id="rId23"/>
    <sheet name="V9_Quest" sheetId="48" r:id="rId24"/>
    <sheet name="V9_ Services" sheetId="38" r:id="rId25"/>
    <sheet name="V10_Quest" sheetId="53" r:id="rId26"/>
    <sheet name="V10_RH" sheetId="34" r:id="rId27"/>
    <sheet name="V11_Quest" sheetId="54" r:id="rId28"/>
    <sheet name="V11_Presta&amp;Fournisseurs" sheetId="36" r:id="rId29"/>
    <sheet name="V12_Quest" sheetId="55" r:id="rId30"/>
    <sheet name="V12_Budget&amp;Perf." sheetId="40" r:id="rId31"/>
    <sheet name="V13_Quest" sheetId="59" r:id="rId32"/>
    <sheet name="V13_Marketing&amp;Comm." sheetId="57" r:id="rId33"/>
    <sheet name="Template_Quest" sheetId="39" state="hidden"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 i="67" l="1"/>
  <c r="S9" i="67"/>
  <c r="C115" i="64"/>
  <c r="E115" i="64" s="1"/>
  <c r="D115" i="64"/>
  <c r="C116" i="64"/>
  <c r="D116" i="64"/>
  <c r="E116" i="64"/>
  <c r="C117" i="64"/>
  <c r="D117" i="64"/>
  <c r="E117" i="64"/>
  <c r="C118" i="64"/>
  <c r="D118" i="64"/>
  <c r="D119" i="64" s="1"/>
  <c r="D120" i="64" s="1"/>
  <c r="E118" i="64"/>
  <c r="C119" i="64"/>
  <c r="E119" i="64" s="1"/>
  <c r="C120" i="64"/>
  <c r="C121" i="64"/>
  <c r="C122" i="64"/>
  <c r="C123" i="64"/>
  <c r="C124" i="64"/>
  <c r="C125" i="64"/>
  <c r="C126" i="64"/>
  <c r="C127" i="64"/>
  <c r="C128" i="64"/>
  <c r="C129" i="64"/>
  <c r="C130" i="64"/>
  <c r="C131" i="64"/>
  <c r="C132" i="64"/>
  <c r="G107" i="67"/>
  <c r="G106" i="67"/>
  <c r="G105" i="67"/>
  <c r="G104" i="67"/>
  <c r="G101" i="67"/>
  <c r="G100" i="67"/>
  <c r="G99" i="67"/>
  <c r="G98" i="67"/>
  <c r="G97" i="67"/>
  <c r="G96" i="67"/>
  <c r="G84" i="67"/>
  <c r="G83" i="67"/>
  <c r="G82" i="67"/>
  <c r="G81" i="67"/>
  <c r="G80" i="67"/>
  <c r="G79" i="67"/>
  <c r="G76" i="67"/>
  <c r="G66" i="67"/>
  <c r="G65" i="67"/>
  <c r="G64" i="67"/>
  <c r="G63" i="67"/>
  <c r="G52" i="67"/>
  <c r="G51" i="67"/>
  <c r="G50" i="67"/>
  <c r="G49" i="67"/>
  <c r="G48" i="67"/>
  <c r="G44" i="67"/>
  <c r="G43" i="67"/>
  <c r="G42" i="67"/>
  <c r="G41" i="67"/>
  <c r="G40" i="67"/>
  <c r="G37" i="67"/>
  <c r="G36" i="67"/>
  <c r="G35" i="67"/>
  <c r="G34" i="67"/>
  <c r="G33" i="67"/>
  <c r="G28" i="67"/>
  <c r="G20" i="67"/>
  <c r="G19" i="67"/>
  <c r="G18" i="67"/>
  <c r="G17" i="67"/>
  <c r="G16" i="67"/>
  <c r="G15" i="67"/>
  <c r="G12" i="67"/>
  <c r="G11" i="67"/>
  <c r="U108" i="67"/>
  <c r="S108" i="67"/>
  <c r="R108" i="67"/>
  <c r="X107" i="67"/>
  <c r="U107" i="67"/>
  <c r="S107" i="67"/>
  <c r="R107" i="67"/>
  <c r="P107" i="67"/>
  <c r="O107" i="67"/>
  <c r="N107" i="67"/>
  <c r="E107" i="67"/>
  <c r="X106" i="67"/>
  <c r="U106" i="67"/>
  <c r="S106" i="67"/>
  <c r="R106" i="67"/>
  <c r="F106" i="67"/>
  <c r="E106" i="67"/>
  <c r="X105" i="67"/>
  <c r="S105" i="67"/>
  <c r="R105" i="67"/>
  <c r="P105" i="67"/>
  <c r="O105" i="67"/>
  <c r="N105" i="67"/>
  <c r="E105" i="67"/>
  <c r="X104" i="67"/>
  <c r="U104" i="67"/>
  <c r="S104" i="67"/>
  <c r="R104" i="67"/>
  <c r="P104" i="67"/>
  <c r="O104" i="67"/>
  <c r="N104" i="67"/>
  <c r="E104" i="67"/>
  <c r="U102" i="67"/>
  <c r="S102" i="67"/>
  <c r="R102" i="67"/>
  <c r="X101" i="67"/>
  <c r="V101" i="67"/>
  <c r="U101" i="67"/>
  <c r="S101" i="67"/>
  <c r="R101" i="67"/>
  <c r="P101" i="67"/>
  <c r="O101" i="67"/>
  <c r="N101" i="67"/>
  <c r="M101" i="67"/>
  <c r="E101" i="67"/>
  <c r="X100" i="67"/>
  <c r="V100" i="67"/>
  <c r="U100" i="67"/>
  <c r="S100" i="67"/>
  <c r="R100" i="67"/>
  <c r="P100" i="67"/>
  <c r="O100" i="67"/>
  <c r="E100" i="67"/>
  <c r="X99" i="67"/>
  <c r="V99" i="67"/>
  <c r="U99" i="67"/>
  <c r="S99" i="67"/>
  <c r="R99" i="67"/>
  <c r="P99" i="67"/>
  <c r="O99" i="67"/>
  <c r="N99" i="67"/>
  <c r="E99" i="67"/>
  <c r="X98" i="67"/>
  <c r="V98" i="67"/>
  <c r="U98" i="67"/>
  <c r="S98" i="67"/>
  <c r="R98" i="67"/>
  <c r="P98" i="67"/>
  <c r="E98" i="67"/>
  <c r="X97" i="67"/>
  <c r="V97" i="67"/>
  <c r="U97" i="67"/>
  <c r="S97" i="67"/>
  <c r="R97" i="67"/>
  <c r="P97" i="67"/>
  <c r="E97" i="67"/>
  <c r="X96" i="67"/>
  <c r="V96" i="67"/>
  <c r="U96" i="67"/>
  <c r="S96" i="67"/>
  <c r="R96" i="67"/>
  <c r="E96" i="67"/>
  <c r="U94" i="67"/>
  <c r="S94" i="67"/>
  <c r="R94" i="67"/>
  <c r="U93" i="67"/>
  <c r="S93" i="67"/>
  <c r="R93" i="67"/>
  <c r="P93" i="67"/>
  <c r="O93" i="67"/>
  <c r="N93" i="67"/>
  <c r="E93" i="67"/>
  <c r="G93" i="67" s="1"/>
  <c r="U92" i="67"/>
  <c r="S92" i="67"/>
  <c r="R92" i="67"/>
  <c r="P92" i="67"/>
  <c r="O92" i="67"/>
  <c r="N92" i="67"/>
  <c r="M92" i="67"/>
  <c r="E92" i="67"/>
  <c r="G92" i="67" s="1"/>
  <c r="U91" i="67"/>
  <c r="S91" i="67"/>
  <c r="R91" i="67"/>
  <c r="P91" i="67"/>
  <c r="E91" i="67"/>
  <c r="G91" i="67" s="1"/>
  <c r="U90" i="67"/>
  <c r="S90" i="67"/>
  <c r="R90" i="67"/>
  <c r="P90" i="67"/>
  <c r="O90" i="67"/>
  <c r="N90" i="67"/>
  <c r="E90" i="67"/>
  <c r="F91" i="67" s="1"/>
  <c r="U89" i="67"/>
  <c r="S89" i="67"/>
  <c r="R89" i="67"/>
  <c r="P89" i="67"/>
  <c r="O89" i="67"/>
  <c r="N89" i="67"/>
  <c r="E89" i="67"/>
  <c r="G89" i="67" s="1"/>
  <c r="X88" i="67"/>
  <c r="U88" i="67"/>
  <c r="S88" i="67"/>
  <c r="R88" i="67"/>
  <c r="P88" i="67"/>
  <c r="O88" i="67"/>
  <c r="E88" i="67"/>
  <c r="G88" i="67" s="1"/>
  <c r="X87" i="67"/>
  <c r="U87" i="67"/>
  <c r="S87" i="67"/>
  <c r="R87" i="67"/>
  <c r="P87" i="67"/>
  <c r="O87" i="67"/>
  <c r="N87" i="67"/>
  <c r="M87" i="67"/>
  <c r="L87" i="67"/>
  <c r="K87" i="67"/>
  <c r="E87" i="67"/>
  <c r="G87" i="67" s="1"/>
  <c r="U85" i="67"/>
  <c r="S85" i="67"/>
  <c r="R85" i="67"/>
  <c r="X84" i="67"/>
  <c r="V84" i="67"/>
  <c r="U84" i="67"/>
  <c r="S84" i="67"/>
  <c r="R84" i="67"/>
  <c r="P84" i="67"/>
  <c r="O84" i="67"/>
  <c r="E84" i="67"/>
  <c r="X83" i="67"/>
  <c r="V83" i="67"/>
  <c r="U83" i="67"/>
  <c r="S83" i="67"/>
  <c r="R83" i="67"/>
  <c r="P83" i="67"/>
  <c r="O83" i="67"/>
  <c r="N83" i="67"/>
  <c r="M83" i="67"/>
  <c r="L83" i="67"/>
  <c r="E83" i="67"/>
  <c r="X82" i="67"/>
  <c r="V82" i="67"/>
  <c r="U82" i="67"/>
  <c r="S82" i="67"/>
  <c r="R82" i="67"/>
  <c r="P82" i="67"/>
  <c r="O82" i="67"/>
  <c r="E82" i="67"/>
  <c r="F82" i="67" s="1"/>
  <c r="X81" i="67"/>
  <c r="V81" i="67"/>
  <c r="U81" i="67"/>
  <c r="S81" i="67"/>
  <c r="R81" i="67"/>
  <c r="P81" i="67"/>
  <c r="O81" i="67"/>
  <c r="N81" i="67"/>
  <c r="M81" i="67"/>
  <c r="L81" i="67"/>
  <c r="E81" i="67"/>
  <c r="X80" i="67"/>
  <c r="V80" i="67"/>
  <c r="U80" i="67"/>
  <c r="S80" i="67"/>
  <c r="R80" i="67"/>
  <c r="P80" i="67"/>
  <c r="O80" i="67"/>
  <c r="N80" i="67"/>
  <c r="M80" i="67"/>
  <c r="L80" i="67"/>
  <c r="E80" i="67"/>
  <c r="X79" i="67"/>
  <c r="V79" i="67"/>
  <c r="U79" i="67"/>
  <c r="S79" i="67"/>
  <c r="R79" i="67"/>
  <c r="P79" i="67"/>
  <c r="O79" i="67"/>
  <c r="E79" i="67"/>
  <c r="U77" i="67"/>
  <c r="S77" i="67"/>
  <c r="R77" i="67"/>
  <c r="X76" i="67"/>
  <c r="U76" i="67"/>
  <c r="S76" i="67"/>
  <c r="R76" i="67"/>
  <c r="P76" i="67"/>
  <c r="E76" i="67"/>
  <c r="X75" i="67"/>
  <c r="U75" i="67"/>
  <c r="S75" i="67"/>
  <c r="R75" i="67"/>
  <c r="P75" i="67"/>
  <c r="O75" i="67"/>
  <c r="N75" i="67"/>
  <c r="M75" i="67"/>
  <c r="L75" i="67"/>
  <c r="E75" i="67"/>
  <c r="G75" i="67" s="1"/>
  <c r="X74" i="67"/>
  <c r="U74" i="67"/>
  <c r="S74" i="67"/>
  <c r="R74" i="67"/>
  <c r="P74" i="67"/>
  <c r="O74" i="67"/>
  <c r="E74" i="67"/>
  <c r="G74" i="67" s="1"/>
  <c r="X73" i="67"/>
  <c r="U73" i="67"/>
  <c r="S73" i="67"/>
  <c r="R73" i="67"/>
  <c r="P73" i="67"/>
  <c r="O73" i="67"/>
  <c r="N73" i="67"/>
  <c r="M73" i="67"/>
  <c r="L73" i="67"/>
  <c r="E73" i="67"/>
  <c r="G73" i="67" s="1"/>
  <c r="X72" i="67"/>
  <c r="U72" i="67"/>
  <c r="S72" i="67"/>
  <c r="R72" i="67"/>
  <c r="P72" i="67"/>
  <c r="O72" i="67"/>
  <c r="E72" i="67"/>
  <c r="G72" i="67" s="1"/>
  <c r="U70" i="67"/>
  <c r="S70" i="67"/>
  <c r="R70" i="67"/>
  <c r="X69" i="67"/>
  <c r="V69" i="67"/>
  <c r="U69" i="67"/>
  <c r="S69" i="67"/>
  <c r="R69" i="67"/>
  <c r="P69" i="67"/>
  <c r="O69" i="67"/>
  <c r="N69" i="67"/>
  <c r="M69" i="67"/>
  <c r="L69" i="67"/>
  <c r="E69" i="67"/>
  <c r="G69" i="67" s="1"/>
  <c r="X68" i="67"/>
  <c r="V68" i="67"/>
  <c r="U68" i="67"/>
  <c r="S68" i="67"/>
  <c r="R68" i="67"/>
  <c r="P68" i="67"/>
  <c r="O68" i="67"/>
  <c r="N68" i="67"/>
  <c r="E68" i="67"/>
  <c r="G68" i="67" s="1"/>
  <c r="X67" i="67"/>
  <c r="V67" i="67"/>
  <c r="U67" i="67"/>
  <c r="S67" i="67"/>
  <c r="R67" i="67"/>
  <c r="P67" i="67"/>
  <c r="O67" i="67"/>
  <c r="N67" i="67"/>
  <c r="E67" i="67"/>
  <c r="G67" i="67" s="1"/>
  <c r="X66" i="67"/>
  <c r="V66" i="67"/>
  <c r="U66" i="67"/>
  <c r="S66" i="67"/>
  <c r="R66" i="67"/>
  <c r="P66" i="67"/>
  <c r="O66" i="67"/>
  <c r="N66" i="67"/>
  <c r="M66" i="67"/>
  <c r="E66" i="67"/>
  <c r="F67" i="67" s="1"/>
  <c r="X65" i="67"/>
  <c r="V65" i="67"/>
  <c r="U65" i="67"/>
  <c r="S65" i="67"/>
  <c r="R65" i="67"/>
  <c r="P65" i="67"/>
  <c r="O65" i="67"/>
  <c r="N65" i="67"/>
  <c r="E65" i="67"/>
  <c r="X64" i="67"/>
  <c r="V64" i="67"/>
  <c r="U64" i="67"/>
  <c r="S64" i="67"/>
  <c r="R64" i="67"/>
  <c r="P64" i="67"/>
  <c r="O64" i="67"/>
  <c r="E64" i="67"/>
  <c r="X63" i="67"/>
  <c r="V63" i="67"/>
  <c r="U63" i="67"/>
  <c r="S63" i="67"/>
  <c r="R63" i="67"/>
  <c r="P63" i="67"/>
  <c r="O63" i="67"/>
  <c r="N63" i="67"/>
  <c r="M63" i="67"/>
  <c r="L63" i="67"/>
  <c r="K63" i="67"/>
  <c r="E63" i="67"/>
  <c r="U61" i="67"/>
  <c r="S61" i="67"/>
  <c r="R61" i="67"/>
  <c r="X60" i="67"/>
  <c r="V60" i="67"/>
  <c r="U60" i="67"/>
  <c r="S60" i="67"/>
  <c r="R60" i="67"/>
  <c r="P60" i="67"/>
  <c r="O60" i="67"/>
  <c r="N60" i="67"/>
  <c r="E60" i="67"/>
  <c r="G60" i="67" s="1"/>
  <c r="X59" i="67"/>
  <c r="V59" i="67"/>
  <c r="U59" i="67"/>
  <c r="S59" i="67"/>
  <c r="R59" i="67"/>
  <c r="P59" i="67"/>
  <c r="O59" i="67"/>
  <c r="N59" i="67"/>
  <c r="M59" i="67"/>
  <c r="E59" i="67"/>
  <c r="G59" i="67" s="1"/>
  <c r="X58" i="67"/>
  <c r="V58" i="67"/>
  <c r="U58" i="67"/>
  <c r="S58" i="67"/>
  <c r="R58" i="67"/>
  <c r="P58" i="67"/>
  <c r="O58" i="67"/>
  <c r="N58" i="67"/>
  <c r="E58" i="67"/>
  <c r="G58" i="67" s="1"/>
  <c r="X57" i="67"/>
  <c r="V57" i="67"/>
  <c r="U57" i="67"/>
  <c r="S57" i="67"/>
  <c r="R57" i="67"/>
  <c r="P57" i="67"/>
  <c r="O57" i="67"/>
  <c r="N57" i="67"/>
  <c r="M57" i="67"/>
  <c r="L57" i="67"/>
  <c r="K57" i="67"/>
  <c r="E57" i="67"/>
  <c r="G57" i="67" s="1"/>
  <c r="X56" i="67"/>
  <c r="V56" i="67"/>
  <c r="U56" i="67"/>
  <c r="S56" i="67"/>
  <c r="R56" i="67"/>
  <c r="P56" i="67"/>
  <c r="O56" i="67"/>
  <c r="E56" i="67"/>
  <c r="G56" i="67" s="1"/>
  <c r="X55" i="67"/>
  <c r="V55" i="67"/>
  <c r="U55" i="67"/>
  <c r="S55" i="67"/>
  <c r="R55" i="67"/>
  <c r="P55" i="67"/>
  <c r="O55" i="67"/>
  <c r="N55" i="67"/>
  <c r="M55" i="67"/>
  <c r="E55" i="67"/>
  <c r="G55" i="67" s="1"/>
  <c r="U53" i="67"/>
  <c r="S53" i="67"/>
  <c r="R53" i="67"/>
  <c r="X52" i="67"/>
  <c r="U52" i="67"/>
  <c r="S52" i="67"/>
  <c r="R52" i="67"/>
  <c r="P52" i="67"/>
  <c r="E52" i="67"/>
  <c r="X51" i="67"/>
  <c r="U51" i="67"/>
  <c r="S51" i="67"/>
  <c r="R51" i="67"/>
  <c r="P51" i="67"/>
  <c r="O51" i="67"/>
  <c r="E51" i="67"/>
  <c r="X50" i="67"/>
  <c r="U50" i="67"/>
  <c r="S50" i="67"/>
  <c r="R50" i="67"/>
  <c r="P50" i="67"/>
  <c r="O50" i="67"/>
  <c r="N50" i="67"/>
  <c r="M50" i="67"/>
  <c r="E50" i="67"/>
  <c r="F50" i="67" s="1"/>
  <c r="X49" i="67"/>
  <c r="U49" i="67"/>
  <c r="S49" i="67"/>
  <c r="R49" i="67"/>
  <c r="P49" i="67"/>
  <c r="O49" i="67"/>
  <c r="N49" i="67"/>
  <c r="E49" i="67"/>
  <c r="X48" i="67"/>
  <c r="U48" i="67"/>
  <c r="S48" i="67"/>
  <c r="R48" i="67"/>
  <c r="P48" i="67"/>
  <c r="O48" i="67"/>
  <c r="N48" i="67"/>
  <c r="M48" i="67"/>
  <c r="E48" i="67"/>
  <c r="X47" i="67"/>
  <c r="U47" i="67"/>
  <c r="S47" i="67"/>
  <c r="R47" i="67"/>
  <c r="P47" i="67"/>
  <c r="O47" i="67"/>
  <c r="N47" i="67"/>
  <c r="M47" i="67"/>
  <c r="E47" i="67"/>
  <c r="U45" i="67"/>
  <c r="S45" i="67"/>
  <c r="R45" i="67"/>
  <c r="X44" i="67"/>
  <c r="U44" i="67"/>
  <c r="S44" i="67"/>
  <c r="R44" i="67"/>
  <c r="P44" i="67"/>
  <c r="E44" i="67"/>
  <c r="X43" i="67"/>
  <c r="U43" i="67"/>
  <c r="S43" i="67"/>
  <c r="R43" i="67"/>
  <c r="P43" i="67"/>
  <c r="O43" i="67"/>
  <c r="N43" i="67"/>
  <c r="E43" i="67"/>
  <c r="X42" i="67"/>
  <c r="U42" i="67"/>
  <c r="S42" i="67"/>
  <c r="R42" i="67"/>
  <c r="P42" i="67"/>
  <c r="O42" i="67"/>
  <c r="N42" i="67"/>
  <c r="E42" i="67"/>
  <c r="X41" i="67"/>
  <c r="U41" i="67"/>
  <c r="S41" i="67"/>
  <c r="R41" i="67"/>
  <c r="P41" i="67"/>
  <c r="E41" i="67"/>
  <c r="X40" i="67"/>
  <c r="U40" i="67"/>
  <c r="S40" i="67"/>
  <c r="R40" i="67"/>
  <c r="P40" i="67"/>
  <c r="O40" i="67"/>
  <c r="N40" i="67"/>
  <c r="E40" i="67"/>
  <c r="U38" i="67"/>
  <c r="S38" i="67"/>
  <c r="R38" i="67"/>
  <c r="X37" i="67"/>
  <c r="U37" i="67"/>
  <c r="S37" i="67"/>
  <c r="R37" i="67"/>
  <c r="P37" i="67"/>
  <c r="O37" i="67"/>
  <c r="N37" i="67"/>
  <c r="M37" i="67"/>
  <c r="L37" i="67"/>
  <c r="E37" i="67"/>
  <c r="X36" i="67"/>
  <c r="U36" i="67"/>
  <c r="S36" i="67"/>
  <c r="R36" i="67"/>
  <c r="P36" i="67"/>
  <c r="O36" i="67"/>
  <c r="N36" i="67"/>
  <c r="M36" i="67"/>
  <c r="L36" i="67"/>
  <c r="K36" i="67"/>
  <c r="E36" i="67"/>
  <c r="F35" i="67" s="1"/>
  <c r="X35" i="67"/>
  <c r="U35" i="67"/>
  <c r="S35" i="67"/>
  <c r="R35" i="67"/>
  <c r="P35" i="67"/>
  <c r="E35" i="67"/>
  <c r="X34" i="67"/>
  <c r="U34" i="67"/>
  <c r="S34" i="67"/>
  <c r="R34" i="67"/>
  <c r="P34" i="67"/>
  <c r="O34" i="67"/>
  <c r="N34" i="67"/>
  <c r="M34" i="67"/>
  <c r="L34" i="67"/>
  <c r="E34" i="67"/>
  <c r="X33" i="67"/>
  <c r="U33" i="67"/>
  <c r="S33" i="67"/>
  <c r="R33" i="67"/>
  <c r="P33" i="67"/>
  <c r="O33" i="67"/>
  <c r="N33" i="67"/>
  <c r="M33" i="67"/>
  <c r="L33" i="67"/>
  <c r="E33" i="67"/>
  <c r="U31" i="67"/>
  <c r="S31" i="67"/>
  <c r="R31" i="67"/>
  <c r="X30" i="67"/>
  <c r="V30" i="67"/>
  <c r="U30" i="67"/>
  <c r="S30" i="67"/>
  <c r="R30" i="67"/>
  <c r="P30" i="67"/>
  <c r="E30" i="67"/>
  <c r="G30" i="67" s="1"/>
  <c r="X29" i="67"/>
  <c r="V29" i="67"/>
  <c r="U29" i="67"/>
  <c r="S29" i="67"/>
  <c r="R29" i="67"/>
  <c r="P29" i="67"/>
  <c r="O29" i="67"/>
  <c r="N29" i="67"/>
  <c r="E29" i="67"/>
  <c r="G29" i="67" s="1"/>
  <c r="X28" i="67"/>
  <c r="V28" i="67"/>
  <c r="U28" i="67"/>
  <c r="S28" i="67"/>
  <c r="R28" i="67"/>
  <c r="P28" i="67"/>
  <c r="O28" i="67"/>
  <c r="N28" i="67"/>
  <c r="E28" i="67"/>
  <c r="X27" i="67"/>
  <c r="V27" i="67"/>
  <c r="U27" i="67"/>
  <c r="S27" i="67"/>
  <c r="R27" i="67"/>
  <c r="P27" i="67"/>
  <c r="O27" i="67"/>
  <c r="N27" i="67"/>
  <c r="E27" i="67"/>
  <c r="F27" i="67" s="1"/>
  <c r="X26" i="67"/>
  <c r="V26" i="67"/>
  <c r="U26" i="67"/>
  <c r="S26" i="67"/>
  <c r="R26" i="67"/>
  <c r="P26" i="67"/>
  <c r="O26" i="67"/>
  <c r="E26" i="67"/>
  <c r="G26" i="67" s="1"/>
  <c r="X25" i="67"/>
  <c r="V25" i="67"/>
  <c r="U25" i="67"/>
  <c r="S25" i="67"/>
  <c r="R25" i="67"/>
  <c r="P25" i="67"/>
  <c r="O25" i="67"/>
  <c r="N25" i="67"/>
  <c r="M25" i="67"/>
  <c r="L25" i="67"/>
  <c r="E25" i="67"/>
  <c r="G25" i="67" s="1"/>
  <c r="X24" i="67"/>
  <c r="V24" i="67"/>
  <c r="U24" i="67"/>
  <c r="S24" i="67"/>
  <c r="R24" i="67"/>
  <c r="P24" i="67"/>
  <c r="E24" i="67"/>
  <c r="G24" i="67" s="1"/>
  <c r="X23" i="67"/>
  <c r="V23" i="67"/>
  <c r="U23" i="67"/>
  <c r="S23" i="67"/>
  <c r="R23" i="67"/>
  <c r="P23" i="67"/>
  <c r="E23" i="67"/>
  <c r="G23" i="67" s="1"/>
  <c r="U21" i="67"/>
  <c r="S21" i="67"/>
  <c r="R21" i="67"/>
  <c r="X20" i="67"/>
  <c r="U20" i="67"/>
  <c r="S20" i="67"/>
  <c r="R20" i="67"/>
  <c r="Q20" i="67"/>
  <c r="P20" i="67"/>
  <c r="O20" i="67"/>
  <c r="N20" i="67"/>
  <c r="M20" i="67"/>
  <c r="E20" i="67"/>
  <c r="X19" i="67"/>
  <c r="U19" i="67"/>
  <c r="S19" i="67"/>
  <c r="R19" i="67"/>
  <c r="Q19" i="67"/>
  <c r="P19" i="67"/>
  <c r="O19" i="67"/>
  <c r="N19" i="67"/>
  <c r="M19" i="67"/>
  <c r="E19" i="67"/>
  <c r="X18" i="67"/>
  <c r="U18" i="67"/>
  <c r="S18" i="67"/>
  <c r="R18" i="67"/>
  <c r="Q18" i="67"/>
  <c r="P18" i="67"/>
  <c r="O18" i="67"/>
  <c r="N18" i="67"/>
  <c r="E18" i="67"/>
  <c r="F18" i="67" s="1"/>
  <c r="X17" i="67"/>
  <c r="U17" i="67"/>
  <c r="S17" i="67"/>
  <c r="R17" i="67"/>
  <c r="Q17" i="67"/>
  <c r="P17" i="67"/>
  <c r="O17" i="67"/>
  <c r="N17" i="67"/>
  <c r="M17" i="67"/>
  <c r="E17" i="67"/>
  <c r="X16" i="67"/>
  <c r="U16" i="67"/>
  <c r="S16" i="67"/>
  <c r="R16" i="67"/>
  <c r="Q16" i="67"/>
  <c r="P16" i="67"/>
  <c r="O16" i="67"/>
  <c r="E16" i="67"/>
  <c r="X15" i="67"/>
  <c r="U15" i="67"/>
  <c r="S15" i="67"/>
  <c r="R15" i="67"/>
  <c r="Q15" i="67"/>
  <c r="P15" i="67"/>
  <c r="O15" i="67"/>
  <c r="N15" i="67"/>
  <c r="M15" i="67"/>
  <c r="L15" i="67"/>
  <c r="K15" i="67"/>
  <c r="E15" i="67"/>
  <c r="U13" i="67"/>
  <c r="S13" i="67"/>
  <c r="R13" i="67"/>
  <c r="X12" i="67"/>
  <c r="U12" i="67"/>
  <c r="S12" i="67"/>
  <c r="R12" i="67"/>
  <c r="P12" i="67"/>
  <c r="O12" i="67"/>
  <c r="N12" i="67"/>
  <c r="E12" i="67"/>
  <c r="X11" i="67"/>
  <c r="U11" i="67"/>
  <c r="S11" i="67"/>
  <c r="R11" i="67"/>
  <c r="P11" i="67"/>
  <c r="O11" i="67"/>
  <c r="E11" i="67"/>
  <c r="F11" i="67" s="1"/>
  <c r="X10" i="67"/>
  <c r="U10" i="67"/>
  <c r="S10" i="67"/>
  <c r="R10" i="67"/>
  <c r="P10" i="67"/>
  <c r="O10" i="67"/>
  <c r="N10" i="67"/>
  <c r="M10" i="67"/>
  <c r="E10" i="67"/>
  <c r="G10" i="67" s="1"/>
  <c r="X9" i="67"/>
  <c r="U9" i="67"/>
  <c r="R9" i="67"/>
  <c r="P9" i="67"/>
  <c r="E9" i="67"/>
  <c r="G9" i="67" s="1"/>
  <c r="X8" i="67"/>
  <c r="U8" i="67"/>
  <c r="R8" i="67"/>
  <c r="P8" i="67"/>
  <c r="E8" i="67"/>
  <c r="G8" i="67" s="1"/>
  <c r="G18" i="12"/>
  <c r="G17" i="12"/>
  <c r="G16" i="12"/>
  <c r="G15" i="12"/>
  <c r="G14" i="12"/>
  <c r="G13" i="12"/>
  <c r="G12" i="12"/>
  <c r="G11" i="12"/>
  <c r="G10" i="12"/>
  <c r="G9" i="12"/>
  <c r="G8" i="12"/>
  <c r="G7" i="12"/>
  <c r="G6" i="12"/>
  <c r="G27" i="67" l="1"/>
  <c r="D121" i="64"/>
  <c r="E120" i="64"/>
  <c r="G90" i="67"/>
  <c r="F75" i="67"/>
  <c r="F58" i="67"/>
  <c r="F42" i="67"/>
  <c r="F99" i="67"/>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G35" i="66"/>
  <c r="C35" i="66"/>
  <c r="C34" i="66"/>
  <c r="C33" i="66"/>
  <c r="C32" i="66"/>
  <c r="C31" i="66"/>
  <c r="C30" i="66"/>
  <c r="C29" i="66"/>
  <c r="C28" i="66"/>
  <c r="C27" i="66"/>
  <c r="C26" i="66"/>
  <c r="C25" i="66"/>
  <c r="C24" i="66"/>
  <c r="C23" i="66"/>
  <c r="C22" i="66"/>
  <c r="C21" i="66"/>
  <c r="C20" i="66"/>
  <c r="G19" i="66"/>
  <c r="C19" i="66"/>
  <c r="C18" i="66"/>
  <c r="C17" i="66"/>
  <c r="C16" i="66"/>
  <c r="C15" i="66"/>
  <c r="C14" i="66"/>
  <c r="C13" i="66"/>
  <c r="E13" i="66" s="1"/>
  <c r="C12" i="66"/>
  <c r="E12" i="66" s="1"/>
  <c r="C11" i="66"/>
  <c r="C10" i="66"/>
  <c r="C9" i="66"/>
  <c r="C8" i="66"/>
  <c r="C7" i="66"/>
  <c r="C6" i="66"/>
  <c r="D5" i="66"/>
  <c r="D6" i="66" s="1"/>
  <c r="D7" i="66" s="1"/>
  <c r="D8" i="66" s="1"/>
  <c r="D9" i="66" s="1"/>
  <c r="D10" i="66" s="1"/>
  <c r="D11" i="66" s="1"/>
  <c r="D12" i="66" s="1"/>
  <c r="D13" i="66" s="1"/>
  <c r="D14" i="66" s="1"/>
  <c r="C5" i="66"/>
  <c r="G3" i="66"/>
  <c r="C116" i="65"/>
  <c r="C115" i="65"/>
  <c r="C114" i="65"/>
  <c r="C113" i="65"/>
  <c r="C112" i="65"/>
  <c r="C111" i="65"/>
  <c r="C110" i="65"/>
  <c r="C109" i="65"/>
  <c r="C108" i="65"/>
  <c r="C107" i="65"/>
  <c r="C106" i="65"/>
  <c r="C105" i="65"/>
  <c r="C104" i="65"/>
  <c r="C103" i="65"/>
  <c r="C102" i="65"/>
  <c r="C101" i="65"/>
  <c r="C100" i="65"/>
  <c r="C99" i="65"/>
  <c r="C98" i="65"/>
  <c r="C97" i="65"/>
  <c r="C96" i="65"/>
  <c r="C95" i="65"/>
  <c r="C94" i="65"/>
  <c r="C93" i="65"/>
  <c r="C92" i="65"/>
  <c r="C91" i="65"/>
  <c r="C90" i="65"/>
  <c r="C89" i="65"/>
  <c r="C88" i="65"/>
  <c r="C87" i="65"/>
  <c r="C86" i="65"/>
  <c r="C85" i="65"/>
  <c r="C84" i="65"/>
  <c r="C83" i="65"/>
  <c r="C82" i="65"/>
  <c r="C81" i="65"/>
  <c r="C80" i="65"/>
  <c r="C79" i="65"/>
  <c r="C78" i="65"/>
  <c r="C77" i="65"/>
  <c r="C76" i="65"/>
  <c r="C75" i="65"/>
  <c r="C74" i="65"/>
  <c r="C73" i="65"/>
  <c r="C72" i="65"/>
  <c r="C71" i="65"/>
  <c r="C70" i="65"/>
  <c r="C69" i="65"/>
  <c r="C68" i="65"/>
  <c r="C67" i="65"/>
  <c r="C66" i="65"/>
  <c r="C65" i="65"/>
  <c r="C64" i="65"/>
  <c r="C63" i="65"/>
  <c r="C62" i="65"/>
  <c r="C61" i="65"/>
  <c r="C60" i="65"/>
  <c r="C59" i="65"/>
  <c r="C58" i="65"/>
  <c r="C57" i="65"/>
  <c r="C56" i="65"/>
  <c r="C55" i="65"/>
  <c r="C54" i="65"/>
  <c r="C53" i="65"/>
  <c r="C52" i="65"/>
  <c r="C51" i="65"/>
  <c r="C50" i="65"/>
  <c r="C49" i="65"/>
  <c r="C48" i="65"/>
  <c r="C47" i="65"/>
  <c r="C46" i="65"/>
  <c r="C45" i="65"/>
  <c r="C44" i="65"/>
  <c r="C43" i="65"/>
  <c r="C42" i="65"/>
  <c r="C41" i="65"/>
  <c r="C40" i="65"/>
  <c r="C39" i="65"/>
  <c r="C38" i="65"/>
  <c r="C37" i="65"/>
  <c r="C36" i="65"/>
  <c r="G35" i="65"/>
  <c r="C35" i="65"/>
  <c r="C34" i="65"/>
  <c r="C33" i="65"/>
  <c r="C32" i="65"/>
  <c r="C31" i="65"/>
  <c r="C30" i="65"/>
  <c r="C29" i="65"/>
  <c r="C28" i="65"/>
  <c r="C27" i="65"/>
  <c r="C26" i="65"/>
  <c r="C25" i="65"/>
  <c r="C24" i="65"/>
  <c r="C23" i="65"/>
  <c r="C22" i="65"/>
  <c r="C21" i="65"/>
  <c r="C20" i="65"/>
  <c r="G19" i="65"/>
  <c r="C19" i="65"/>
  <c r="C18" i="65"/>
  <c r="C17" i="65"/>
  <c r="C16" i="65"/>
  <c r="C15" i="65"/>
  <c r="C14" i="65"/>
  <c r="C13" i="65"/>
  <c r="C12" i="65"/>
  <c r="C11" i="65"/>
  <c r="C10" i="65"/>
  <c r="D9" i="65"/>
  <c r="D10" i="65" s="1"/>
  <c r="D11" i="65" s="1"/>
  <c r="D12" i="65" s="1"/>
  <c r="D13" i="65" s="1"/>
  <c r="C9" i="65"/>
  <c r="C8" i="65"/>
  <c r="C7" i="65"/>
  <c r="C6" i="65"/>
  <c r="D5" i="65"/>
  <c r="D6" i="65" s="1"/>
  <c r="D7" i="65" s="1"/>
  <c r="D8" i="65" s="1"/>
  <c r="C5" i="65"/>
  <c r="G3" i="65"/>
  <c r="C114" i="64"/>
  <c r="C113" i="64"/>
  <c r="C112" i="64"/>
  <c r="C111" i="64"/>
  <c r="C110" i="64"/>
  <c r="C109" i="64"/>
  <c r="C108" i="64"/>
  <c r="C107" i="64"/>
  <c r="C106" i="64"/>
  <c r="C105" i="64"/>
  <c r="C104" i="64"/>
  <c r="C103" i="64"/>
  <c r="C102" i="64"/>
  <c r="C101" i="64"/>
  <c r="C100" i="64"/>
  <c r="C99" i="64"/>
  <c r="C98" i="64"/>
  <c r="C97" i="64"/>
  <c r="C96" i="64"/>
  <c r="C95" i="64"/>
  <c r="C94" i="64"/>
  <c r="C93" i="64"/>
  <c r="C92" i="64"/>
  <c r="C91" i="64"/>
  <c r="C90" i="64"/>
  <c r="C89" i="64"/>
  <c r="C88" i="64"/>
  <c r="C87" i="64"/>
  <c r="C86" i="64"/>
  <c r="C85" i="64"/>
  <c r="C84" i="64"/>
  <c r="C83" i="64"/>
  <c r="C82" i="64"/>
  <c r="C81" i="64"/>
  <c r="C80" i="64"/>
  <c r="C79" i="64"/>
  <c r="C78" i="64"/>
  <c r="C77" i="64"/>
  <c r="C76" i="64"/>
  <c r="C75" i="64"/>
  <c r="C74" i="64"/>
  <c r="C73" i="64"/>
  <c r="C72" i="64"/>
  <c r="C71" i="64"/>
  <c r="C70" i="64"/>
  <c r="C69" i="64"/>
  <c r="C68" i="64"/>
  <c r="C67" i="64"/>
  <c r="C66" i="64"/>
  <c r="C65" i="64"/>
  <c r="C64" i="64"/>
  <c r="C63" i="64"/>
  <c r="C62" i="64"/>
  <c r="C61" i="64"/>
  <c r="C60" i="64"/>
  <c r="C59" i="64"/>
  <c r="C58" i="64"/>
  <c r="C57" i="64"/>
  <c r="C56" i="64"/>
  <c r="C55" i="64"/>
  <c r="C54" i="64"/>
  <c r="C53" i="64"/>
  <c r="C52" i="64"/>
  <c r="C51" i="64"/>
  <c r="C50" i="64"/>
  <c r="C49" i="64"/>
  <c r="C48" i="64"/>
  <c r="C47" i="64"/>
  <c r="C46" i="64"/>
  <c r="C45" i="64"/>
  <c r="C44" i="64"/>
  <c r="C43" i="64"/>
  <c r="C42" i="64"/>
  <c r="C41" i="64"/>
  <c r="C40" i="64"/>
  <c r="C39" i="64"/>
  <c r="C38" i="64"/>
  <c r="C37" i="64"/>
  <c r="C36" i="64"/>
  <c r="G35" i="64"/>
  <c r="C35" i="64"/>
  <c r="C34" i="64"/>
  <c r="C33" i="64"/>
  <c r="C32" i="64"/>
  <c r="C31" i="64"/>
  <c r="C30" i="64"/>
  <c r="C29" i="64"/>
  <c r="C28" i="64"/>
  <c r="C27" i="64"/>
  <c r="C26" i="64"/>
  <c r="C25" i="64"/>
  <c r="C24" i="64"/>
  <c r="C23" i="64"/>
  <c r="C22" i="64"/>
  <c r="C21" i="64"/>
  <c r="C20" i="64"/>
  <c r="G19" i="64"/>
  <c r="C19" i="64"/>
  <c r="C18" i="64"/>
  <c r="C17" i="64"/>
  <c r="C16" i="64"/>
  <c r="C15" i="64"/>
  <c r="C14" i="64"/>
  <c r="C13" i="64"/>
  <c r="C12" i="64"/>
  <c r="C11" i="64"/>
  <c r="C10" i="64"/>
  <c r="C9" i="64"/>
  <c r="C8" i="64"/>
  <c r="C7" i="64"/>
  <c r="C6" i="64"/>
  <c r="D5" i="64"/>
  <c r="D6" i="64" s="1"/>
  <c r="D7" i="64" s="1"/>
  <c r="D8" i="64" s="1"/>
  <c r="D9" i="64" s="1"/>
  <c r="D10" i="64" s="1"/>
  <c r="D11" i="64" s="1"/>
  <c r="D12" i="64" s="1"/>
  <c r="D13" i="64" s="1"/>
  <c r="D14" i="64" s="1"/>
  <c r="C5" i="64"/>
  <c r="G3" i="64"/>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G35" i="63"/>
  <c r="C35" i="63"/>
  <c r="C34" i="63"/>
  <c r="C33" i="63"/>
  <c r="C32" i="63"/>
  <c r="C31" i="63"/>
  <c r="C30" i="63"/>
  <c r="C29" i="63"/>
  <c r="C28" i="63"/>
  <c r="C27" i="63"/>
  <c r="C26" i="63"/>
  <c r="C25" i="63"/>
  <c r="C24" i="63"/>
  <c r="C23" i="63"/>
  <c r="C22" i="63"/>
  <c r="C21" i="63"/>
  <c r="C20" i="63"/>
  <c r="G19" i="63"/>
  <c r="C19" i="63"/>
  <c r="C18" i="63"/>
  <c r="C17" i="63"/>
  <c r="C16" i="63"/>
  <c r="C15" i="63"/>
  <c r="C14" i="63"/>
  <c r="C13" i="63"/>
  <c r="C12" i="63"/>
  <c r="C11" i="63"/>
  <c r="C10" i="63"/>
  <c r="C9" i="63"/>
  <c r="C8" i="63"/>
  <c r="C7" i="63"/>
  <c r="C6" i="63"/>
  <c r="D5" i="63"/>
  <c r="D6" i="63" s="1"/>
  <c r="D7" i="63" s="1"/>
  <c r="D8" i="63" s="1"/>
  <c r="D9" i="63" s="1"/>
  <c r="D10" i="63" s="1"/>
  <c r="D11" i="63" s="1"/>
  <c r="D12" i="63" s="1"/>
  <c r="D13" i="63" s="1"/>
  <c r="D14" i="63" s="1"/>
  <c r="C5" i="63"/>
  <c r="G3" i="63"/>
  <c r="C116" i="62"/>
  <c r="C115" i="62"/>
  <c r="C114" i="62"/>
  <c r="C113" i="62"/>
  <c r="C112" i="62"/>
  <c r="C111" i="62"/>
  <c r="C110" i="62"/>
  <c r="C109" i="62"/>
  <c r="C108" i="62"/>
  <c r="C107" i="62"/>
  <c r="C106" i="62"/>
  <c r="C105" i="62"/>
  <c r="C104" i="62"/>
  <c r="C103" i="62"/>
  <c r="C102" i="62"/>
  <c r="C101" i="62"/>
  <c r="C100" i="62"/>
  <c r="C99" i="62"/>
  <c r="C98" i="62"/>
  <c r="C97" i="62"/>
  <c r="C96" i="62"/>
  <c r="C95" i="62"/>
  <c r="C94" i="62"/>
  <c r="C93" i="62"/>
  <c r="C92" i="62"/>
  <c r="C91" i="62"/>
  <c r="C90" i="62"/>
  <c r="C89" i="62"/>
  <c r="C88" i="62"/>
  <c r="C87" i="62"/>
  <c r="C86" i="62"/>
  <c r="C85" i="62"/>
  <c r="C84" i="62"/>
  <c r="C83" i="62"/>
  <c r="C82" i="62"/>
  <c r="C81" i="62"/>
  <c r="C80" i="62"/>
  <c r="C79" i="62"/>
  <c r="C78" i="62"/>
  <c r="C77" i="62"/>
  <c r="C76" i="62"/>
  <c r="C75" i="62"/>
  <c r="C74" i="62"/>
  <c r="C73" i="62"/>
  <c r="C72" i="62"/>
  <c r="C71" i="62"/>
  <c r="C70" i="62"/>
  <c r="C69" i="62"/>
  <c r="C68" i="62"/>
  <c r="C67" i="62"/>
  <c r="C66" i="62"/>
  <c r="C65" i="62"/>
  <c r="C64" i="62"/>
  <c r="C63" i="62"/>
  <c r="C62" i="62"/>
  <c r="C61" i="62"/>
  <c r="C60" i="62"/>
  <c r="C59" i="62"/>
  <c r="C58" i="62"/>
  <c r="C57" i="62"/>
  <c r="C56" i="62"/>
  <c r="C55" i="62"/>
  <c r="C54" i="62"/>
  <c r="C53" i="62"/>
  <c r="C52" i="62"/>
  <c r="C51" i="62"/>
  <c r="C50" i="62"/>
  <c r="C49" i="62"/>
  <c r="C48" i="62"/>
  <c r="C47" i="62"/>
  <c r="C46" i="62"/>
  <c r="C45" i="62"/>
  <c r="C44" i="62"/>
  <c r="C43" i="62"/>
  <c r="C42" i="62"/>
  <c r="C41" i="62"/>
  <c r="C40" i="62"/>
  <c r="C39" i="62"/>
  <c r="C38" i="62"/>
  <c r="C37" i="62"/>
  <c r="C36" i="62"/>
  <c r="G35" i="62"/>
  <c r="C35" i="62"/>
  <c r="C34" i="62"/>
  <c r="C33" i="62"/>
  <c r="C32" i="62"/>
  <c r="C31" i="62"/>
  <c r="C30" i="62"/>
  <c r="C29" i="62"/>
  <c r="C28" i="62"/>
  <c r="C27" i="62"/>
  <c r="C26" i="62"/>
  <c r="C25" i="62"/>
  <c r="C24" i="62"/>
  <c r="C23" i="62"/>
  <c r="C22" i="62"/>
  <c r="C21" i="62"/>
  <c r="C20" i="62"/>
  <c r="G19" i="62"/>
  <c r="C19" i="62"/>
  <c r="C18" i="62"/>
  <c r="C17" i="62"/>
  <c r="C16" i="62"/>
  <c r="C15" i="62"/>
  <c r="C14" i="62"/>
  <c r="C13" i="62"/>
  <c r="C12" i="62"/>
  <c r="C11" i="62"/>
  <c r="C10" i="62"/>
  <c r="C9" i="62"/>
  <c r="C8" i="62"/>
  <c r="C7" i="62"/>
  <c r="C6" i="62"/>
  <c r="D5" i="62"/>
  <c r="D6" i="62" s="1"/>
  <c r="D7" i="62" s="1"/>
  <c r="D8" i="62" s="1"/>
  <c r="D9" i="62" s="1"/>
  <c r="D10" i="62" s="1"/>
  <c r="D11" i="62" s="1"/>
  <c r="D12" i="62" s="1"/>
  <c r="C5" i="62"/>
  <c r="G3" i="62"/>
  <c r="C66" i="61"/>
  <c r="E121" i="64" l="1"/>
  <c r="D122" i="64"/>
  <c r="E12" i="64"/>
  <c r="E13" i="64"/>
  <c r="J8" i="64"/>
  <c r="J7" i="64"/>
  <c r="D15" i="66"/>
  <c r="E14" i="66"/>
  <c r="I12" i="66"/>
  <c r="J8" i="66"/>
  <c r="J2" i="66"/>
  <c r="K12" i="66"/>
  <c r="J1" i="66"/>
  <c r="G12" i="66"/>
  <c r="J7" i="66"/>
  <c r="J5" i="66"/>
  <c r="K13" i="66"/>
  <c r="G13" i="66"/>
  <c r="I13" i="66"/>
  <c r="D14" i="65"/>
  <c r="E13" i="65"/>
  <c r="E12" i="65"/>
  <c r="I12" i="64"/>
  <c r="J2" i="64"/>
  <c r="J1" i="64"/>
  <c r="K12" i="64"/>
  <c r="G12" i="64"/>
  <c r="J5" i="64"/>
  <c r="E14" i="64"/>
  <c r="D15" i="64"/>
  <c r="K13" i="64"/>
  <c r="G13" i="64"/>
  <c r="I13" i="64"/>
  <c r="E12" i="63"/>
  <c r="E13" i="63"/>
  <c r="E14" i="63"/>
  <c r="D15" i="63"/>
  <c r="D16" i="63" s="1"/>
  <c r="E12" i="62"/>
  <c r="D13" i="62"/>
  <c r="D14" i="62" s="1"/>
  <c r="C82" i="61"/>
  <c r="C81" i="61"/>
  <c r="C80" i="61"/>
  <c r="C79" i="61"/>
  <c r="C78" i="61"/>
  <c r="C77" i="61"/>
  <c r="C76" i="61"/>
  <c r="C75" i="61"/>
  <c r="C74" i="61"/>
  <c r="C73" i="61"/>
  <c r="C72" i="61"/>
  <c r="C71" i="61"/>
  <c r="C70" i="61"/>
  <c r="C69" i="61"/>
  <c r="C68" i="61"/>
  <c r="C67" i="61"/>
  <c r="C65" i="61"/>
  <c r="C64" i="61"/>
  <c r="C63" i="61"/>
  <c r="C62" i="61"/>
  <c r="C61" i="61"/>
  <c r="C60" i="61"/>
  <c r="C59" i="61"/>
  <c r="C58" i="61"/>
  <c r="C57" i="61"/>
  <c r="C56" i="61"/>
  <c r="C55" i="61"/>
  <c r="C54" i="61"/>
  <c r="C53" i="61"/>
  <c r="C52" i="61"/>
  <c r="C51" i="61"/>
  <c r="C50" i="61"/>
  <c r="C49" i="61"/>
  <c r="C48" i="61"/>
  <c r="C47" i="61"/>
  <c r="C46" i="61"/>
  <c r="C45" i="61"/>
  <c r="C44" i="61"/>
  <c r="C43" i="61"/>
  <c r="C42" i="61"/>
  <c r="C41" i="61"/>
  <c r="C40" i="61"/>
  <c r="C39" i="61"/>
  <c r="C38" i="61"/>
  <c r="C37" i="61"/>
  <c r="C36" i="61"/>
  <c r="G35" i="61"/>
  <c r="C35" i="61"/>
  <c r="C34" i="61"/>
  <c r="C33" i="61"/>
  <c r="C32" i="61"/>
  <c r="C31" i="61"/>
  <c r="C30" i="61"/>
  <c r="C29" i="61"/>
  <c r="C28" i="61"/>
  <c r="C27" i="61"/>
  <c r="C26" i="61"/>
  <c r="C25" i="61"/>
  <c r="C24" i="61"/>
  <c r="C23" i="61"/>
  <c r="C22" i="61"/>
  <c r="C21" i="61"/>
  <c r="C20" i="61"/>
  <c r="G19" i="61"/>
  <c r="C19" i="61"/>
  <c r="C18" i="61"/>
  <c r="C17" i="61"/>
  <c r="C16" i="61"/>
  <c r="C15" i="61"/>
  <c r="C14" i="61"/>
  <c r="C13" i="61"/>
  <c r="C12" i="61"/>
  <c r="C11" i="61"/>
  <c r="C10" i="61"/>
  <c r="C9" i="61"/>
  <c r="C8" i="61"/>
  <c r="C7" i="61"/>
  <c r="C6" i="61"/>
  <c r="D5" i="61"/>
  <c r="D6" i="61" s="1"/>
  <c r="D7" i="61" s="1"/>
  <c r="D8" i="61" s="1"/>
  <c r="D9" i="61" s="1"/>
  <c r="D10" i="61" s="1"/>
  <c r="D11" i="61" s="1"/>
  <c r="D12" i="61" s="1"/>
  <c r="C5" i="61"/>
  <c r="G3" i="61"/>
  <c r="G21" i="19"/>
  <c r="C55" i="19"/>
  <c r="E55" i="19" s="1"/>
  <c r="D55" i="19"/>
  <c r="C56" i="19"/>
  <c r="D56" i="19"/>
  <c r="E56" i="19"/>
  <c r="C57" i="19"/>
  <c r="E57" i="19" s="1"/>
  <c r="D57" i="19"/>
  <c r="C58" i="19"/>
  <c r="E58" i="19" s="1"/>
  <c r="D58" i="19"/>
  <c r="D59" i="19" s="1"/>
  <c r="D60" i="19" s="1"/>
  <c r="E60" i="19" s="1"/>
  <c r="C59" i="19"/>
  <c r="C60" i="19"/>
  <c r="C43" i="19"/>
  <c r="C44" i="19"/>
  <c r="C45" i="19"/>
  <c r="C46" i="19"/>
  <c r="C47" i="19"/>
  <c r="C48" i="19"/>
  <c r="C49" i="19"/>
  <c r="C50" i="19"/>
  <c r="C51" i="19"/>
  <c r="C52" i="19"/>
  <c r="C53" i="19"/>
  <c r="C54" i="19"/>
  <c r="C29" i="19"/>
  <c r="C30" i="19"/>
  <c r="C31" i="19"/>
  <c r="C32" i="19"/>
  <c r="C33" i="19"/>
  <c r="C34" i="19"/>
  <c r="C35" i="19"/>
  <c r="C36" i="19"/>
  <c r="C37" i="19"/>
  <c r="C38" i="19"/>
  <c r="C39" i="19"/>
  <c r="C40" i="19"/>
  <c r="C41" i="19"/>
  <c r="C42" i="19"/>
  <c r="C33" i="57"/>
  <c r="D33" i="57"/>
  <c r="E33" i="57"/>
  <c r="C34" i="57"/>
  <c r="D34" i="57"/>
  <c r="E34" i="57"/>
  <c r="C35" i="57"/>
  <c r="E35" i="57" s="1"/>
  <c r="D35" i="57"/>
  <c r="C36" i="57"/>
  <c r="D36" i="57"/>
  <c r="D37" i="57" s="1"/>
  <c r="E36" i="57"/>
  <c r="C37" i="57"/>
  <c r="C38" i="57"/>
  <c r="C39" i="57"/>
  <c r="C40" i="57"/>
  <c r="C41" i="57"/>
  <c r="C42" i="57"/>
  <c r="C43" i="57"/>
  <c r="C44" i="57"/>
  <c r="C45" i="57"/>
  <c r="C46" i="57"/>
  <c r="C47" i="57"/>
  <c r="C48" i="57"/>
  <c r="C49" i="57"/>
  <c r="C50" i="57"/>
  <c r="C51" i="57"/>
  <c r="C52" i="57"/>
  <c r="C53" i="57"/>
  <c r="C54" i="57"/>
  <c r="C55" i="57"/>
  <c r="C56" i="57"/>
  <c r="D123" i="64" l="1"/>
  <c r="E122" i="64"/>
  <c r="G14" i="66"/>
  <c r="K14" i="66"/>
  <c r="I14" i="66"/>
  <c r="D16" i="66"/>
  <c r="E15" i="66"/>
  <c r="I12" i="65"/>
  <c r="J8" i="65"/>
  <c r="J2" i="65"/>
  <c r="J1" i="65"/>
  <c r="G12" i="65"/>
  <c r="J7" i="65"/>
  <c r="K12" i="65"/>
  <c r="J5" i="65"/>
  <c r="E14" i="65"/>
  <c r="D15" i="65"/>
  <c r="I13" i="65"/>
  <c r="K13" i="65"/>
  <c r="G13" i="65"/>
  <c r="D16" i="64"/>
  <c r="E15" i="64"/>
  <c r="G14" i="64"/>
  <c r="I14" i="64"/>
  <c r="K14" i="64"/>
  <c r="E15" i="63"/>
  <c r="D17" i="63"/>
  <c r="E16" i="63"/>
  <c r="I13" i="63"/>
  <c r="K13" i="63"/>
  <c r="G13" i="63"/>
  <c r="I12" i="63"/>
  <c r="J8" i="63"/>
  <c r="J2" i="63"/>
  <c r="J1" i="63"/>
  <c r="K12" i="63"/>
  <c r="G12" i="63"/>
  <c r="J7" i="63"/>
  <c r="J5" i="63"/>
  <c r="G14" i="63"/>
  <c r="K14" i="63"/>
  <c r="I14" i="63"/>
  <c r="E14" i="62"/>
  <c r="D15" i="62"/>
  <c r="I12" i="62"/>
  <c r="J8" i="62"/>
  <c r="J2" i="62"/>
  <c r="J1" i="62"/>
  <c r="G12" i="62"/>
  <c r="J7" i="62"/>
  <c r="K12" i="62"/>
  <c r="J5" i="62"/>
  <c r="E13" i="62"/>
  <c r="D13" i="61"/>
  <c r="E12" i="61"/>
  <c r="E59" i="19"/>
  <c r="E37" i="57"/>
  <c r="D38" i="57"/>
  <c r="D124" i="64" l="1"/>
  <c r="E123" i="64"/>
  <c r="E16" i="66"/>
  <c r="D17" i="66"/>
  <c r="K15" i="66"/>
  <c r="I15" i="66"/>
  <c r="G15" i="66"/>
  <c r="G14" i="65"/>
  <c r="K14" i="65"/>
  <c r="I14" i="65"/>
  <c r="D16" i="65"/>
  <c r="E15" i="65"/>
  <c r="K15" i="64"/>
  <c r="I15" i="64"/>
  <c r="G15" i="64"/>
  <c r="D17" i="64"/>
  <c r="E16" i="64"/>
  <c r="G16" i="63"/>
  <c r="I16" i="63"/>
  <c r="K16" i="63"/>
  <c r="D18" i="63"/>
  <c r="E17" i="63"/>
  <c r="K15" i="63"/>
  <c r="I15" i="63"/>
  <c r="G15" i="63"/>
  <c r="K13" i="62"/>
  <c r="I13" i="62"/>
  <c r="G13" i="62"/>
  <c r="D16" i="62"/>
  <c r="E15" i="62"/>
  <c r="G14" i="62"/>
  <c r="I14" i="62"/>
  <c r="K14" i="62"/>
  <c r="G12" i="61"/>
  <c r="J5" i="61"/>
  <c r="J8" i="61"/>
  <c r="K12" i="61"/>
  <c r="J7" i="61"/>
  <c r="I12" i="61"/>
  <c r="J2" i="61"/>
  <c r="J1" i="61"/>
  <c r="D14" i="61"/>
  <c r="E13" i="61"/>
  <c r="E38" i="57"/>
  <c r="D39" i="57"/>
  <c r="E39" i="57" s="1"/>
  <c r="D40" i="57"/>
  <c r="E124" i="64" l="1"/>
  <c r="D125" i="64"/>
  <c r="D18" i="66"/>
  <c r="E17" i="66"/>
  <c r="K16" i="66"/>
  <c r="G16" i="66"/>
  <c r="I16" i="66"/>
  <c r="K15" i="65"/>
  <c r="I15" i="65"/>
  <c r="G15" i="65"/>
  <c r="D17" i="65"/>
  <c r="E16" i="65"/>
  <c r="K16" i="64"/>
  <c r="I16" i="64"/>
  <c r="G16" i="64"/>
  <c r="D18" i="64"/>
  <c r="E17" i="64"/>
  <c r="K17" i="63"/>
  <c r="I17" i="63"/>
  <c r="G17" i="63"/>
  <c r="D19" i="63"/>
  <c r="E18" i="63"/>
  <c r="K15" i="62"/>
  <c r="I15" i="62"/>
  <c r="G15" i="62"/>
  <c r="E16" i="62"/>
  <c r="D17" i="62"/>
  <c r="G13" i="61"/>
  <c r="I13" i="61"/>
  <c r="K13" i="61"/>
  <c r="D15" i="61"/>
  <c r="E14" i="61"/>
  <c r="D41" i="57"/>
  <c r="E40" i="57"/>
  <c r="E125" i="64" l="1"/>
  <c r="D126" i="64"/>
  <c r="K17" i="66"/>
  <c r="I17" i="66"/>
  <c r="G17" i="66"/>
  <c r="D19" i="66"/>
  <c r="E18" i="66"/>
  <c r="K16" i="65"/>
  <c r="I16" i="65"/>
  <c r="G16" i="65"/>
  <c r="D18" i="65"/>
  <c r="E17" i="65"/>
  <c r="K17" i="64"/>
  <c r="I17" i="64"/>
  <c r="G17" i="64"/>
  <c r="D19" i="64"/>
  <c r="E18" i="64"/>
  <c r="K18" i="63"/>
  <c r="I18" i="63"/>
  <c r="G18" i="63"/>
  <c r="E19" i="63"/>
  <c r="D20" i="63"/>
  <c r="E17" i="62"/>
  <c r="D18" i="62"/>
  <c r="G16" i="62"/>
  <c r="K16" i="62"/>
  <c r="I16" i="62"/>
  <c r="K14" i="61"/>
  <c r="I14" i="61"/>
  <c r="G14" i="61"/>
  <c r="D16" i="61"/>
  <c r="E15" i="61"/>
  <c r="E41" i="57"/>
  <c r="D42" i="57"/>
  <c r="D127" i="64" l="1"/>
  <c r="E126" i="64"/>
  <c r="E19" i="66"/>
  <c r="D20" i="66"/>
  <c r="I18" i="66"/>
  <c r="K18" i="66"/>
  <c r="G18" i="66"/>
  <c r="K17" i="65"/>
  <c r="I17" i="65"/>
  <c r="G17" i="65"/>
  <c r="D19" i="65"/>
  <c r="E18" i="65"/>
  <c r="K18" i="64"/>
  <c r="I18" i="64"/>
  <c r="G18" i="64"/>
  <c r="E19" i="64"/>
  <c r="D20" i="64"/>
  <c r="E20" i="63"/>
  <c r="D21" i="63"/>
  <c r="D19" i="62"/>
  <c r="E18" i="62"/>
  <c r="K17" i="62"/>
  <c r="I17" i="62"/>
  <c r="G17" i="62"/>
  <c r="D17" i="61"/>
  <c r="E16" i="61"/>
  <c r="K15" i="61"/>
  <c r="I15" i="61"/>
  <c r="G15" i="61"/>
  <c r="E42" i="57"/>
  <c r="D43" i="57"/>
  <c r="I126" i="64" l="1"/>
  <c r="J121" i="64"/>
  <c r="G126" i="64"/>
  <c r="J119" i="64"/>
  <c r="K126" i="64"/>
  <c r="J122" i="64"/>
  <c r="D128" i="64"/>
  <c r="E127" i="64"/>
  <c r="E20" i="66"/>
  <c r="D21" i="66"/>
  <c r="K18" i="65"/>
  <c r="I18" i="65"/>
  <c r="G18" i="65"/>
  <c r="D20" i="65"/>
  <c r="E19" i="65"/>
  <c r="E20" i="64"/>
  <c r="D21" i="64"/>
  <c r="D22" i="63"/>
  <c r="E21" i="63"/>
  <c r="K18" i="62"/>
  <c r="I18" i="62"/>
  <c r="G18" i="62"/>
  <c r="E19" i="62"/>
  <c r="D20" i="62"/>
  <c r="K16" i="61"/>
  <c r="I16" i="61"/>
  <c r="G16" i="61"/>
  <c r="D18" i="61"/>
  <c r="E17" i="61"/>
  <c r="E43" i="57"/>
  <c r="D44" i="57"/>
  <c r="G127" i="64" l="1"/>
  <c r="I127" i="64"/>
  <c r="K127" i="64"/>
  <c r="E128" i="64"/>
  <c r="D129" i="64"/>
  <c r="D22" i="66"/>
  <c r="E21" i="66"/>
  <c r="D21" i="65"/>
  <c r="E20" i="65"/>
  <c r="D22" i="64"/>
  <c r="E21" i="64"/>
  <c r="D23" i="63"/>
  <c r="E22" i="63"/>
  <c r="E20" i="62"/>
  <c r="D21" i="62"/>
  <c r="K17" i="61"/>
  <c r="I17" i="61"/>
  <c r="G17" i="61"/>
  <c r="D19" i="61"/>
  <c r="E18" i="61"/>
  <c r="D45" i="57"/>
  <c r="E44" i="57"/>
  <c r="D130" i="64" l="1"/>
  <c r="E129" i="64"/>
  <c r="K128" i="64"/>
  <c r="G128" i="64"/>
  <c r="I128" i="64"/>
  <c r="D23" i="66"/>
  <c r="E22" i="66"/>
  <c r="D22" i="65"/>
  <c r="E21" i="65"/>
  <c r="D23" i="64"/>
  <c r="E22" i="64"/>
  <c r="D24" i="63"/>
  <c r="E23" i="63"/>
  <c r="D22" i="62"/>
  <c r="E21" i="62"/>
  <c r="G18" i="61"/>
  <c r="K18" i="61"/>
  <c r="I18" i="61"/>
  <c r="D20" i="61"/>
  <c r="E19" i="61"/>
  <c r="E45" i="57"/>
  <c r="D46" i="57"/>
  <c r="G129" i="64" l="1"/>
  <c r="K129" i="64"/>
  <c r="I129" i="64"/>
  <c r="D131" i="64"/>
  <c r="E130" i="64"/>
  <c r="D24" i="66"/>
  <c r="E23" i="66"/>
  <c r="D23" i="65"/>
  <c r="E22" i="65"/>
  <c r="D24" i="64"/>
  <c r="E23" i="64"/>
  <c r="D25" i="63"/>
  <c r="E24" i="63"/>
  <c r="D23" i="62"/>
  <c r="E22" i="62"/>
  <c r="D21" i="61"/>
  <c r="E20" i="61"/>
  <c r="E46" i="57"/>
  <c r="D47" i="57"/>
  <c r="G130" i="64" l="1"/>
  <c r="K130" i="64"/>
  <c r="I130" i="64"/>
  <c r="D132" i="64"/>
  <c r="E132" i="64" s="1"/>
  <c r="E131" i="64"/>
  <c r="D25" i="66"/>
  <c r="E24" i="66"/>
  <c r="E23" i="65"/>
  <c r="D24" i="65"/>
  <c r="D25" i="64"/>
  <c r="E24" i="64"/>
  <c r="D26" i="63"/>
  <c r="E25" i="63"/>
  <c r="D24" i="62"/>
  <c r="E23" i="62"/>
  <c r="E21" i="61"/>
  <c r="D22" i="61"/>
  <c r="E47" i="57"/>
  <c r="D48" i="57"/>
  <c r="I131" i="64" l="1"/>
  <c r="K131" i="64"/>
  <c r="G131" i="64"/>
  <c r="G132" i="64"/>
  <c r="K132" i="64"/>
  <c r="I132" i="64"/>
  <c r="D26" i="66"/>
  <c r="E25" i="66"/>
  <c r="D25" i="65"/>
  <c r="E24" i="65"/>
  <c r="D26" i="64"/>
  <c r="E25" i="64"/>
  <c r="E26" i="63"/>
  <c r="D27" i="63"/>
  <c r="D25" i="62"/>
  <c r="E24" i="62"/>
  <c r="D23" i="61"/>
  <c r="E22" i="61"/>
  <c r="D49" i="57"/>
  <c r="E49" i="57" s="1"/>
  <c r="D50" i="57"/>
  <c r="E48" i="57"/>
  <c r="D27" i="66" l="1"/>
  <c r="E26" i="66"/>
  <c r="D26" i="65"/>
  <c r="E25" i="65"/>
  <c r="E26" i="64"/>
  <c r="D27" i="64"/>
  <c r="E27" i="63"/>
  <c r="D28" i="63"/>
  <c r="D26" i="62"/>
  <c r="E25" i="62"/>
  <c r="D24" i="61"/>
  <c r="E23" i="61"/>
  <c r="E50" i="57"/>
  <c r="D51" i="57"/>
  <c r="D28" i="66" l="1"/>
  <c r="E27" i="66"/>
  <c r="D27" i="65"/>
  <c r="E26" i="65"/>
  <c r="E27" i="64"/>
  <c r="D28" i="64"/>
  <c r="D29" i="63"/>
  <c r="E28" i="63"/>
  <c r="E26" i="62"/>
  <c r="D27" i="62"/>
  <c r="E24" i="61"/>
  <c r="D25" i="61"/>
  <c r="E51" i="57"/>
  <c r="D52" i="57"/>
  <c r="D29" i="66" l="1"/>
  <c r="E28" i="66"/>
  <c r="E27" i="65"/>
  <c r="D28" i="65"/>
  <c r="D29" i="64"/>
  <c r="E28" i="64"/>
  <c r="K28" i="63"/>
  <c r="I28" i="63"/>
  <c r="J23" i="63"/>
  <c r="G28" i="63"/>
  <c r="J21" i="63"/>
  <c r="J24" i="63"/>
  <c r="D30" i="63"/>
  <c r="E29" i="63"/>
  <c r="E27" i="62"/>
  <c r="D28" i="62"/>
  <c r="D26" i="61"/>
  <c r="E25" i="61"/>
  <c r="D53" i="57"/>
  <c r="E52" i="57"/>
  <c r="J23" i="64" l="1"/>
  <c r="J24" i="64"/>
  <c r="J23" i="66"/>
  <c r="K28" i="66"/>
  <c r="J21" i="66"/>
  <c r="I28" i="66"/>
  <c r="G28" i="66"/>
  <c r="J24" i="66"/>
  <c r="D30" i="66"/>
  <c r="E29" i="66"/>
  <c r="D29" i="65"/>
  <c r="E28" i="65"/>
  <c r="K28" i="64"/>
  <c r="I28" i="64"/>
  <c r="G28" i="64"/>
  <c r="J21" i="64"/>
  <c r="D30" i="64"/>
  <c r="E29" i="64"/>
  <c r="G29" i="63"/>
  <c r="I29" i="63"/>
  <c r="K29" i="63"/>
  <c r="D31" i="63"/>
  <c r="E30" i="63"/>
  <c r="D29" i="62"/>
  <c r="E28" i="62"/>
  <c r="D27" i="61"/>
  <c r="E26" i="61"/>
  <c r="E53" i="57"/>
  <c r="D54" i="57"/>
  <c r="D31" i="66" l="1"/>
  <c r="E30" i="66"/>
  <c r="G29" i="66"/>
  <c r="I29" i="66"/>
  <c r="K29" i="66"/>
  <c r="I28" i="65"/>
  <c r="G28" i="65"/>
  <c r="J24" i="65"/>
  <c r="K28" i="65"/>
  <c r="J21" i="65"/>
  <c r="J23" i="65"/>
  <c r="E29" i="65"/>
  <c r="D30" i="65"/>
  <c r="D31" i="64"/>
  <c r="E30" i="64"/>
  <c r="G29" i="64"/>
  <c r="I29" i="64"/>
  <c r="K29" i="64"/>
  <c r="E31" i="63"/>
  <c r="D32" i="63"/>
  <c r="K30" i="63"/>
  <c r="I30" i="63"/>
  <c r="G30" i="63"/>
  <c r="D30" i="62"/>
  <c r="E29" i="62"/>
  <c r="K28" i="62"/>
  <c r="J23" i="62"/>
  <c r="I28" i="62"/>
  <c r="G28" i="62"/>
  <c r="J21" i="62"/>
  <c r="J24" i="62"/>
  <c r="D28" i="61"/>
  <c r="E27" i="61"/>
  <c r="E54" i="57"/>
  <c r="D55" i="57"/>
  <c r="K30" i="66" l="1"/>
  <c r="I30" i="66"/>
  <c r="G30" i="66"/>
  <c r="E31" i="66"/>
  <c r="D32" i="66"/>
  <c r="K29" i="65"/>
  <c r="I29" i="65"/>
  <c r="G29" i="65"/>
  <c r="D31" i="65"/>
  <c r="E30" i="65"/>
  <c r="I30" i="64"/>
  <c r="K30" i="64"/>
  <c r="G30" i="64"/>
  <c r="D32" i="64"/>
  <c r="E31" i="64"/>
  <c r="D33" i="63"/>
  <c r="E32" i="63"/>
  <c r="K31" i="63"/>
  <c r="G31" i="63"/>
  <c r="I31" i="63"/>
  <c r="I29" i="62"/>
  <c r="K29" i="62"/>
  <c r="G29" i="62"/>
  <c r="D31" i="62"/>
  <c r="E30" i="62"/>
  <c r="E28" i="61"/>
  <c r="D29" i="61"/>
  <c r="E55" i="57"/>
  <c r="D56" i="57"/>
  <c r="E56" i="57" s="1"/>
  <c r="D33" i="66" l="1"/>
  <c r="E32" i="66"/>
  <c r="I31" i="66"/>
  <c r="K31" i="66"/>
  <c r="G31" i="66"/>
  <c r="K30" i="65"/>
  <c r="I30" i="65"/>
  <c r="G30" i="65"/>
  <c r="D32" i="65"/>
  <c r="E31" i="65"/>
  <c r="I31" i="64"/>
  <c r="G31" i="64"/>
  <c r="K31" i="64"/>
  <c r="D33" i="64"/>
  <c r="E32" i="64"/>
  <c r="I32" i="63"/>
  <c r="G32" i="63"/>
  <c r="K32" i="63"/>
  <c r="D34" i="63"/>
  <c r="E33" i="63"/>
  <c r="K30" i="62"/>
  <c r="I30" i="62"/>
  <c r="G30" i="62"/>
  <c r="D32" i="62"/>
  <c r="E31" i="62"/>
  <c r="E29" i="61"/>
  <c r="D30" i="61"/>
  <c r="K28" i="61"/>
  <c r="J24" i="61"/>
  <c r="J23" i="61"/>
  <c r="G28" i="61"/>
  <c r="I28" i="61"/>
  <c r="J21" i="61"/>
  <c r="AA14" i="22"/>
  <c r="AA13" i="22"/>
  <c r="AA12" i="22"/>
  <c r="AA11" i="22"/>
  <c r="AA10" i="22"/>
  <c r="AA9" i="22"/>
  <c r="AA8" i="22"/>
  <c r="AA7" i="22"/>
  <c r="Z13" i="22"/>
  <c r="Z12" i="22"/>
  <c r="Z14" i="22"/>
  <c r="AA13" i="30"/>
  <c r="AA12" i="30"/>
  <c r="AA11" i="30"/>
  <c r="AA10" i="30"/>
  <c r="AA9" i="30"/>
  <c r="AA8" i="30"/>
  <c r="Z13" i="30"/>
  <c r="AA14" i="32"/>
  <c r="AA13" i="32"/>
  <c r="AA12" i="32"/>
  <c r="AA11" i="32"/>
  <c r="AA10" i="32"/>
  <c r="AA9" i="32"/>
  <c r="AA8" i="32"/>
  <c r="Z14" i="32"/>
  <c r="Z13" i="32"/>
  <c r="AA13" i="34"/>
  <c r="AA12" i="34"/>
  <c r="AA11" i="34"/>
  <c r="AA10" i="34"/>
  <c r="AA9" i="34"/>
  <c r="AA8" i="34"/>
  <c r="Z13" i="34"/>
  <c r="AB13" i="40"/>
  <c r="AB12" i="40"/>
  <c r="AB11" i="40"/>
  <c r="AB10" i="40"/>
  <c r="AB9" i="40"/>
  <c r="AB8" i="40"/>
  <c r="AA13" i="40"/>
  <c r="G19" i="34"/>
  <c r="P2" i="1"/>
  <c r="P1" i="1"/>
  <c r="Q2" i="22"/>
  <c r="Q1" i="22"/>
  <c r="Q2" i="24"/>
  <c r="Q1" i="24"/>
  <c r="Q2" i="25"/>
  <c r="Q1" i="25"/>
  <c r="Q2" i="32"/>
  <c r="Q1" i="32"/>
  <c r="Q2" i="38"/>
  <c r="Q1" i="38"/>
  <c r="Q2" i="34"/>
  <c r="Q1" i="34"/>
  <c r="Q2" i="36"/>
  <c r="Q1" i="36"/>
  <c r="Q2" i="40"/>
  <c r="Q1" i="40"/>
  <c r="J56" i="55"/>
  <c r="J55" i="55"/>
  <c r="J40" i="55"/>
  <c r="J39" i="55"/>
  <c r="J8" i="55"/>
  <c r="J7" i="55"/>
  <c r="J56" i="51"/>
  <c r="J55" i="51"/>
  <c r="J74" i="51"/>
  <c r="J73" i="51"/>
  <c r="J89" i="51"/>
  <c r="J90" i="51"/>
  <c r="J90" i="50"/>
  <c r="J89" i="50"/>
  <c r="J74" i="50"/>
  <c r="J73" i="50"/>
  <c r="J8" i="50"/>
  <c r="J7" i="50"/>
  <c r="J24" i="50"/>
  <c r="J23" i="50"/>
  <c r="J56" i="50"/>
  <c r="J55" i="50"/>
  <c r="I32" i="66" l="1"/>
  <c r="G32" i="66"/>
  <c r="K32" i="66"/>
  <c r="D34" i="66"/>
  <c r="E33" i="66"/>
  <c r="I31" i="65"/>
  <c r="K31" i="65"/>
  <c r="G31" i="65"/>
  <c r="D33" i="65"/>
  <c r="E32" i="65"/>
  <c r="I32" i="64"/>
  <c r="G32" i="64"/>
  <c r="K32" i="64"/>
  <c r="D34" i="64"/>
  <c r="E33" i="64"/>
  <c r="I33" i="63"/>
  <c r="K33" i="63"/>
  <c r="G33" i="63"/>
  <c r="E34" i="63"/>
  <c r="D35" i="63"/>
  <c r="K31" i="62"/>
  <c r="I31" i="62"/>
  <c r="G31" i="62"/>
  <c r="E32" i="62"/>
  <c r="D33" i="62"/>
  <c r="D31" i="61"/>
  <c r="E30" i="61"/>
  <c r="K29" i="61"/>
  <c r="I29" i="61"/>
  <c r="G29" i="61"/>
  <c r="G14" i="57"/>
  <c r="G15" i="57"/>
  <c r="G16" i="57"/>
  <c r="G17" i="57"/>
  <c r="G18" i="57"/>
  <c r="G13" i="57"/>
  <c r="Z13" i="19"/>
  <c r="Z14" i="36"/>
  <c r="Z13" i="36"/>
  <c r="C33" i="55"/>
  <c r="C34" i="55"/>
  <c r="C51" i="38"/>
  <c r="D51" i="38"/>
  <c r="E51" i="38"/>
  <c r="C52" i="38"/>
  <c r="D52" i="38"/>
  <c r="E52" i="38"/>
  <c r="C53" i="38"/>
  <c r="D53" i="38"/>
  <c r="E53" i="38"/>
  <c r="C54" i="38"/>
  <c r="D54" i="38"/>
  <c r="D55" i="38" s="1"/>
  <c r="E54" i="38"/>
  <c r="C55" i="38"/>
  <c r="C56" i="38"/>
  <c r="C57" i="38"/>
  <c r="C58" i="38"/>
  <c r="C59" i="38"/>
  <c r="C38" i="38"/>
  <c r="C39" i="38"/>
  <c r="C40" i="38"/>
  <c r="C41" i="38"/>
  <c r="C42" i="38"/>
  <c r="C43" i="38"/>
  <c r="C44" i="38"/>
  <c r="C45" i="38"/>
  <c r="C46" i="38"/>
  <c r="C47" i="38"/>
  <c r="C48" i="38"/>
  <c r="C49" i="38"/>
  <c r="C50" i="38"/>
  <c r="W26" i="40"/>
  <c r="W35" i="40"/>
  <c r="W36" i="40"/>
  <c r="W42" i="40"/>
  <c r="W43" i="40"/>
  <c r="W51" i="40"/>
  <c r="W52" i="40"/>
  <c r="W58" i="40"/>
  <c r="W59" i="40"/>
  <c r="W66" i="40"/>
  <c r="W67" i="40"/>
  <c r="Z13" i="28"/>
  <c r="X51" i="57"/>
  <c r="X50" i="57"/>
  <c r="X41" i="57"/>
  <c r="X40" i="57"/>
  <c r="X34" i="57"/>
  <c r="X33" i="57"/>
  <c r="X26" i="57"/>
  <c r="X67" i="40"/>
  <c r="X66" i="40"/>
  <c r="X59" i="40"/>
  <c r="X58" i="40"/>
  <c r="X52" i="40"/>
  <c r="X51" i="40"/>
  <c r="X43" i="40"/>
  <c r="X42" i="40"/>
  <c r="X36" i="40"/>
  <c r="X35" i="40"/>
  <c r="X26" i="40"/>
  <c r="W67" i="36"/>
  <c r="W66" i="36"/>
  <c r="W61" i="36"/>
  <c r="W60" i="36"/>
  <c r="W52" i="36"/>
  <c r="W51" i="36"/>
  <c r="W45" i="36"/>
  <c r="W44" i="36"/>
  <c r="W38" i="36"/>
  <c r="W37" i="36"/>
  <c r="W30" i="36"/>
  <c r="W29" i="36"/>
  <c r="W26" i="36"/>
  <c r="W57" i="34"/>
  <c r="W56" i="34"/>
  <c r="W52" i="34"/>
  <c r="W51" i="34"/>
  <c r="W44" i="34"/>
  <c r="W43" i="34"/>
  <c r="W39" i="34"/>
  <c r="W38" i="34"/>
  <c r="W34" i="34"/>
  <c r="W33" i="34"/>
  <c r="W26" i="34"/>
  <c r="W52" i="38"/>
  <c r="W51" i="38"/>
  <c r="W47" i="38"/>
  <c r="W46" i="38"/>
  <c r="W39" i="38"/>
  <c r="W38" i="38"/>
  <c r="W34" i="38"/>
  <c r="W33" i="38"/>
  <c r="W26" i="38"/>
  <c r="W65" i="32"/>
  <c r="W64" i="32"/>
  <c r="W58" i="32"/>
  <c r="W57" i="32"/>
  <c r="W51" i="32"/>
  <c r="W50" i="32"/>
  <c r="W45" i="32"/>
  <c r="W44" i="32"/>
  <c r="W38" i="32"/>
  <c r="W37" i="32"/>
  <c r="W30" i="32"/>
  <c r="W29" i="32"/>
  <c r="W26" i="32"/>
  <c r="W57" i="30"/>
  <c r="W56" i="30"/>
  <c r="W51" i="30"/>
  <c r="W50" i="30"/>
  <c r="W44" i="30"/>
  <c r="W43" i="30"/>
  <c r="W40" i="30"/>
  <c r="W39" i="30"/>
  <c r="W32" i="30"/>
  <c r="W31" i="30"/>
  <c r="W26" i="30"/>
  <c r="W59" i="28"/>
  <c r="W58" i="28"/>
  <c r="W51" i="28"/>
  <c r="W50" i="28"/>
  <c r="W45" i="28"/>
  <c r="W44" i="28"/>
  <c r="W38" i="28"/>
  <c r="W37" i="28"/>
  <c r="W32" i="28"/>
  <c r="W31" i="28"/>
  <c r="W26" i="28"/>
  <c r="W56" i="25"/>
  <c r="W55" i="25"/>
  <c r="W49" i="25"/>
  <c r="W48" i="25"/>
  <c r="W42" i="25"/>
  <c r="W41" i="25"/>
  <c r="W33" i="25"/>
  <c r="W32" i="25"/>
  <c r="W26" i="25"/>
  <c r="W49" i="24"/>
  <c r="W48" i="24"/>
  <c r="W45" i="24"/>
  <c r="W44" i="24"/>
  <c r="W36" i="24"/>
  <c r="W35" i="24"/>
  <c r="W31" i="24"/>
  <c r="W30" i="24"/>
  <c r="W26" i="24"/>
  <c r="W78" i="22"/>
  <c r="W77" i="22"/>
  <c r="W71" i="22"/>
  <c r="W70" i="22"/>
  <c r="W64" i="22"/>
  <c r="W63" i="22"/>
  <c r="W57" i="22"/>
  <c r="W56" i="22"/>
  <c r="W49" i="22"/>
  <c r="W48" i="22"/>
  <c r="W44" i="22"/>
  <c r="W43" i="22"/>
  <c r="W35" i="22"/>
  <c r="W34" i="22"/>
  <c r="W26" i="22"/>
  <c r="W56" i="19"/>
  <c r="W55" i="19"/>
  <c r="W50" i="19"/>
  <c r="W49" i="19"/>
  <c r="W44" i="19"/>
  <c r="W43" i="19"/>
  <c r="W38" i="19"/>
  <c r="W37" i="19"/>
  <c r="W30" i="19"/>
  <c r="W29" i="19"/>
  <c r="W58" i="1"/>
  <c r="W57" i="1"/>
  <c r="W50" i="1"/>
  <c r="W49" i="1"/>
  <c r="W44" i="1"/>
  <c r="W43" i="1"/>
  <c r="W35" i="1"/>
  <c r="W34" i="1"/>
  <c r="AA11" i="57"/>
  <c r="O529" i="11"/>
  <c r="O473" i="11"/>
  <c r="O471" i="11"/>
  <c r="V8" i="40" s="1"/>
  <c r="O475" i="11"/>
  <c r="O474" i="11"/>
  <c r="O472" i="11"/>
  <c r="O476" i="11"/>
  <c r="O477" i="11"/>
  <c r="T9" i="40" s="1"/>
  <c r="O470" i="11"/>
  <c r="C19" i="55"/>
  <c r="J7" i="39"/>
  <c r="J8" i="39"/>
  <c r="C51" i="59"/>
  <c r="C116" i="59"/>
  <c r="C115" i="59"/>
  <c r="C114" i="59"/>
  <c r="C113" i="59"/>
  <c r="C112" i="59"/>
  <c r="C111" i="59"/>
  <c r="C110" i="59"/>
  <c r="C109" i="59"/>
  <c r="C108" i="59"/>
  <c r="C107" i="59"/>
  <c r="C106" i="59"/>
  <c r="C105" i="59"/>
  <c r="C104" i="59"/>
  <c r="C103" i="59"/>
  <c r="C102" i="59"/>
  <c r="C101" i="59"/>
  <c r="C100" i="59"/>
  <c r="C99" i="59"/>
  <c r="C98" i="59"/>
  <c r="C97" i="59"/>
  <c r="C96" i="59"/>
  <c r="C95" i="59"/>
  <c r="C94" i="59"/>
  <c r="C93" i="59"/>
  <c r="C92" i="59"/>
  <c r="C91" i="59"/>
  <c r="C90" i="59"/>
  <c r="C89" i="59"/>
  <c r="C88" i="59"/>
  <c r="C87" i="59"/>
  <c r="C86" i="59"/>
  <c r="C85" i="59"/>
  <c r="C84" i="59"/>
  <c r="C83" i="59"/>
  <c r="C82" i="59"/>
  <c r="C81" i="59"/>
  <c r="C80" i="59"/>
  <c r="C79" i="59"/>
  <c r="C78" i="59"/>
  <c r="C77" i="59"/>
  <c r="C76" i="59"/>
  <c r="C75" i="59"/>
  <c r="C74" i="59"/>
  <c r="C73" i="59"/>
  <c r="C72" i="59"/>
  <c r="C71" i="59"/>
  <c r="C70" i="59"/>
  <c r="C69" i="59"/>
  <c r="C68" i="59"/>
  <c r="C67" i="59"/>
  <c r="C66" i="59"/>
  <c r="C65" i="59"/>
  <c r="C64" i="59"/>
  <c r="C63" i="59"/>
  <c r="C62" i="59"/>
  <c r="C61" i="59"/>
  <c r="C60" i="59"/>
  <c r="C59" i="59"/>
  <c r="C58" i="59"/>
  <c r="C57" i="59"/>
  <c r="C56" i="59"/>
  <c r="C55" i="59"/>
  <c r="C54" i="59"/>
  <c r="C53" i="59"/>
  <c r="C52" i="59"/>
  <c r="C50" i="59"/>
  <c r="C49" i="59"/>
  <c r="C48" i="59"/>
  <c r="C47" i="59"/>
  <c r="C46" i="59"/>
  <c r="C45" i="59"/>
  <c r="C44" i="59"/>
  <c r="C43" i="59"/>
  <c r="C42" i="59"/>
  <c r="C41" i="59"/>
  <c r="C40" i="59"/>
  <c r="C39" i="59"/>
  <c r="C38" i="59"/>
  <c r="C37" i="59"/>
  <c r="C36" i="59"/>
  <c r="G35" i="59"/>
  <c r="C35" i="59"/>
  <c r="C34" i="59"/>
  <c r="C33" i="59"/>
  <c r="C32" i="59"/>
  <c r="C31" i="59"/>
  <c r="C30" i="59"/>
  <c r="C29" i="59"/>
  <c r="C28" i="59"/>
  <c r="C27" i="59"/>
  <c r="C26" i="59"/>
  <c r="C25" i="59"/>
  <c r="C24" i="59"/>
  <c r="C23" i="59"/>
  <c r="C22" i="59"/>
  <c r="C21" i="59"/>
  <c r="C20" i="59"/>
  <c r="G19" i="59"/>
  <c r="C19" i="59"/>
  <c r="C18" i="59"/>
  <c r="C17" i="59"/>
  <c r="C16" i="59"/>
  <c r="C15" i="59"/>
  <c r="C14" i="59"/>
  <c r="C13" i="59"/>
  <c r="C12" i="59"/>
  <c r="C11" i="59"/>
  <c r="C10" i="59"/>
  <c r="C9" i="59"/>
  <c r="C8" i="59"/>
  <c r="C7" i="59"/>
  <c r="C6" i="59"/>
  <c r="D5" i="59"/>
  <c r="D6" i="59" s="1"/>
  <c r="D7" i="59" s="1"/>
  <c r="D8" i="59" s="1"/>
  <c r="D9" i="59" s="1"/>
  <c r="D10" i="59" s="1"/>
  <c r="D11" i="59" s="1"/>
  <c r="D12" i="59" s="1"/>
  <c r="D13" i="59" s="1"/>
  <c r="D14" i="59" s="1"/>
  <c r="C5" i="59"/>
  <c r="G3" i="59"/>
  <c r="N97" i="67" l="1"/>
  <c r="P96" i="67"/>
  <c r="R9" i="40"/>
  <c r="G33" i="66"/>
  <c r="K33" i="66"/>
  <c r="I33" i="66"/>
  <c r="E34" i="66"/>
  <c r="D35" i="66"/>
  <c r="O9" i="40"/>
  <c r="Q9" i="40"/>
  <c r="P9" i="40"/>
  <c r="U8" i="40"/>
  <c r="D34" i="65"/>
  <c r="E33" i="65"/>
  <c r="I32" i="65"/>
  <c r="G32" i="65"/>
  <c r="K32" i="65"/>
  <c r="G33" i="64"/>
  <c r="K33" i="64"/>
  <c r="I33" i="64"/>
  <c r="E34" i="64"/>
  <c r="D35" i="64"/>
  <c r="G34" i="63"/>
  <c r="I34" i="63"/>
  <c r="K34" i="63"/>
  <c r="D36" i="63"/>
  <c r="E35" i="63"/>
  <c r="D34" i="62"/>
  <c r="E33" i="62"/>
  <c r="I32" i="62"/>
  <c r="G32" i="62"/>
  <c r="K32" i="62"/>
  <c r="I30" i="61"/>
  <c r="K30" i="61"/>
  <c r="G30" i="61"/>
  <c r="D32" i="61"/>
  <c r="E31" i="61"/>
  <c r="S9" i="40"/>
  <c r="E55" i="38"/>
  <c r="D56" i="38"/>
  <c r="E13" i="59"/>
  <c r="E15" i="59"/>
  <c r="E12" i="59"/>
  <c r="E14" i="59"/>
  <c r="D15" i="59"/>
  <c r="D16" i="59" s="1"/>
  <c r="O528" i="11"/>
  <c r="B528" i="11"/>
  <c r="A528" i="11" s="1"/>
  <c r="A2" i="11"/>
  <c r="B3" i="11"/>
  <c r="A3" i="11" s="1"/>
  <c r="C3" i="11"/>
  <c r="C4" i="11" s="1"/>
  <c r="C5" i="11" s="1"/>
  <c r="C6" i="11" s="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A37" i="11"/>
  <c r="B38" i="11"/>
  <c r="B39" i="11" s="1"/>
  <c r="C38" i="11"/>
  <c r="C39" i="11" s="1"/>
  <c r="C40" i="11" s="1"/>
  <c r="C41" i="11" s="1"/>
  <c r="C42" i="11" s="1"/>
  <c r="C43" i="11" s="1"/>
  <c r="C44" i="11" s="1"/>
  <c r="B40" i="11"/>
  <c r="B41" i="11" s="1"/>
  <c r="C45" i="1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A79" i="11"/>
  <c r="B80" i="11"/>
  <c r="B81" i="11" s="1"/>
  <c r="C80" i="1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130" i="11" s="1"/>
  <c r="C131" i="11" s="1"/>
  <c r="C132" i="11" s="1"/>
  <c r="C133" i="11" s="1"/>
  <c r="C134" i="11" s="1"/>
  <c r="A135" i="11"/>
  <c r="B136" i="11"/>
  <c r="B137" i="11" s="1"/>
  <c r="C136" i="11"/>
  <c r="C137" i="11" s="1"/>
  <c r="C138" i="11" s="1"/>
  <c r="C139" i="11" s="1"/>
  <c r="C140" i="11" s="1"/>
  <c r="C141" i="11" s="1"/>
  <c r="C142" i="11" s="1"/>
  <c r="C143" i="11" s="1"/>
  <c r="C144" i="11" s="1"/>
  <c r="C145" i="11" s="1"/>
  <c r="C146" i="11" s="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B138" i="11"/>
  <c r="A138" i="11" s="1"/>
  <c r="A170" i="11"/>
  <c r="B171" i="11"/>
  <c r="A171" i="11" s="1"/>
  <c r="C171" i="11"/>
  <c r="C172" i="11" s="1"/>
  <c r="C173" i="11" s="1"/>
  <c r="C174" i="11" s="1"/>
  <c r="C175" i="11" s="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B172" i="11"/>
  <c r="A205" i="11"/>
  <c r="B206" i="11"/>
  <c r="B207" i="11" s="1"/>
  <c r="B208" i="11" s="1"/>
  <c r="C206" i="11"/>
  <c r="C207" i="11" s="1"/>
  <c r="C208" i="11" s="1"/>
  <c r="C209" i="11" s="1"/>
  <c r="C210" i="11" s="1"/>
  <c r="C211" i="11" s="1"/>
  <c r="C212" i="11" s="1"/>
  <c r="C213" i="11" s="1"/>
  <c r="C214" i="11" s="1"/>
  <c r="C215" i="11" s="1"/>
  <c r="C216" i="11" s="1"/>
  <c r="C217" i="11" s="1"/>
  <c r="C218" i="11" s="1"/>
  <c r="C219" i="11" s="1"/>
  <c r="C220" i="11" s="1"/>
  <c r="C221" i="11" s="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C246" i="11" s="1"/>
  <c r="A207" i="11"/>
  <c r="A247" i="11"/>
  <c r="B248" i="11"/>
  <c r="A248" i="11" s="1"/>
  <c r="C248" i="1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C279" i="11" s="1"/>
  <c r="C280" i="11" s="1"/>
  <c r="C281" i="11" s="1"/>
  <c r="C282" i="11" s="1"/>
  <c r="C283" i="11" s="1"/>
  <c r="C284" i="11" s="1"/>
  <c r="C285" i="11" s="1"/>
  <c r="C286" i="11" s="1"/>
  <c r="C287" i="11" s="1"/>
  <c r="C288" i="11" s="1"/>
  <c r="A289" i="11"/>
  <c r="B290" i="11"/>
  <c r="B291" i="11" s="1"/>
  <c r="C290" i="1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C318" i="11" s="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A338" i="11"/>
  <c r="B339" i="11"/>
  <c r="B340" i="11" s="1"/>
  <c r="C339" i="11"/>
  <c r="C340" i="11"/>
  <c r="C341" i="11" s="1"/>
  <c r="C342" i="11" s="1"/>
  <c r="C343" i="11" s="1"/>
  <c r="C344" i="11" s="1"/>
  <c r="C345" i="11" s="1"/>
  <c r="C346" i="11" s="1"/>
  <c r="C347" i="11" s="1"/>
  <c r="C348" i="11" s="1"/>
  <c r="C349" i="11" s="1"/>
  <c r="C350" i="11" s="1"/>
  <c r="C351" i="11" s="1"/>
  <c r="C352" i="11" s="1"/>
  <c r="C353" i="11" s="1"/>
  <c r="C354" i="11" s="1"/>
  <c r="C355" i="11" s="1"/>
  <c r="C356" i="11" s="1"/>
  <c r="C357" i="11" s="1"/>
  <c r="C358" i="11" s="1"/>
  <c r="C359" i="11" s="1"/>
  <c r="C360" i="11" s="1"/>
  <c r="C361" i="11" s="1"/>
  <c r="C362" i="11" s="1"/>
  <c r="C363" i="11" s="1"/>
  <c r="C364" i="11" s="1"/>
  <c r="C365" i="11" s="1"/>
  <c r="C366" i="11" s="1"/>
  <c r="C367" i="11" s="1"/>
  <c r="C368" i="11" s="1"/>
  <c r="C369" i="11" s="1"/>
  <c r="C370" i="11" s="1"/>
  <c r="C371" i="11" s="1"/>
  <c r="C372" i="11" s="1"/>
  <c r="C373" i="11" s="1"/>
  <c r="C374" i="11" s="1"/>
  <c r="C375" i="11" s="1"/>
  <c r="C376" i="11" s="1"/>
  <c r="C377" i="11" s="1"/>
  <c r="C378" i="11" s="1"/>
  <c r="C379" i="11" s="1"/>
  <c r="B341" i="11"/>
  <c r="B342" i="11" s="1"/>
  <c r="B343" i="11" s="1"/>
  <c r="B344" i="11" s="1"/>
  <c r="B345" i="11" s="1"/>
  <c r="A380" i="11"/>
  <c r="B381" i="11"/>
  <c r="B382" i="11" s="1"/>
  <c r="B383" i="11" s="1"/>
  <c r="B384" i="11" s="1"/>
  <c r="B385" i="11" s="1"/>
  <c r="B386" i="11" s="1"/>
  <c r="C381" i="11"/>
  <c r="C382" i="11" s="1"/>
  <c r="C383" i="11" s="1"/>
  <c r="C384" i="11" s="1"/>
  <c r="C385" i="11" s="1"/>
  <c r="C386" i="11" s="1"/>
  <c r="C387" i="11" s="1"/>
  <c r="C388" i="11" s="1"/>
  <c r="C389" i="11" s="1"/>
  <c r="C390" i="11" s="1"/>
  <c r="C391" i="11" s="1"/>
  <c r="C392" i="11" s="1"/>
  <c r="C393" i="11" s="1"/>
  <c r="C394" i="11" s="1"/>
  <c r="C395" i="11" s="1"/>
  <c r="C396" i="11" s="1"/>
  <c r="C397" i="11" s="1"/>
  <c r="C398" i="11" s="1"/>
  <c r="C399" i="11" s="1"/>
  <c r="C400" i="11" s="1"/>
  <c r="C401" i="11" s="1"/>
  <c r="C402" i="11" s="1"/>
  <c r="C403" i="11" s="1"/>
  <c r="C404" i="11" s="1"/>
  <c r="C405" i="11" s="1"/>
  <c r="C406" i="11" s="1"/>
  <c r="C407" i="11" s="1"/>
  <c r="C408" i="11" s="1"/>
  <c r="C409" i="11" s="1"/>
  <c r="C410" i="11" s="1"/>
  <c r="C411" i="11" s="1"/>
  <c r="C412" i="11" s="1"/>
  <c r="C413" i="11" s="1"/>
  <c r="C414" i="11" s="1"/>
  <c r="C415" i="11" s="1"/>
  <c r="C416" i="11" s="1"/>
  <c r="C417" i="11" s="1"/>
  <c r="C418" i="11" s="1"/>
  <c r="C419" i="11" s="1"/>
  <c r="C420" i="11" s="1"/>
  <c r="C421" i="11" s="1"/>
  <c r="C422" i="11" s="1"/>
  <c r="C423" i="11" s="1"/>
  <c r="C424" i="11" s="1"/>
  <c r="C425" i="11" s="1"/>
  <c r="C426" i="11" s="1"/>
  <c r="C427" i="11" s="1"/>
  <c r="C428" i="11" s="1"/>
  <c r="A429" i="11"/>
  <c r="B430" i="11"/>
  <c r="B431" i="11" s="1"/>
  <c r="C430" i="11"/>
  <c r="C431" i="11" s="1"/>
  <c r="C432" i="11" s="1"/>
  <c r="C433" i="11" s="1"/>
  <c r="C434" i="11" s="1"/>
  <c r="C435" i="11" s="1"/>
  <c r="C436" i="11" s="1"/>
  <c r="C437" i="11" s="1"/>
  <c r="C438" i="11" s="1"/>
  <c r="C439" i="11" s="1"/>
  <c r="C440" i="11" s="1"/>
  <c r="C441" i="11" s="1"/>
  <c r="C442" i="11" s="1"/>
  <c r="C443" i="11" s="1"/>
  <c r="C444" i="11" s="1"/>
  <c r="C445" i="11" s="1"/>
  <c r="C446" i="11" s="1"/>
  <c r="C447" i="11" s="1"/>
  <c r="C448" i="11" s="1"/>
  <c r="C449" i="11" s="1"/>
  <c r="C450" i="11" s="1"/>
  <c r="C451" i="11" s="1"/>
  <c r="C452" i="11" s="1"/>
  <c r="C453" i="11" s="1"/>
  <c r="C454" i="11" s="1"/>
  <c r="C455" i="11" s="1"/>
  <c r="C456" i="11" s="1"/>
  <c r="C457" i="11" s="1"/>
  <c r="C458" i="11" s="1"/>
  <c r="C459" i="11" s="1"/>
  <c r="C460" i="11" s="1"/>
  <c r="C461" i="11" s="1"/>
  <c r="C462" i="11" s="1"/>
  <c r="C463" i="11" s="1"/>
  <c r="A464" i="11"/>
  <c r="B465" i="11"/>
  <c r="A465" i="11" s="1"/>
  <c r="C465" i="11"/>
  <c r="C466" i="11" s="1"/>
  <c r="C467" i="11" s="1"/>
  <c r="C468" i="11" s="1"/>
  <c r="C469" i="11" s="1"/>
  <c r="C470" i="11" s="1"/>
  <c r="C471" i="11" s="1"/>
  <c r="C472" i="11" s="1"/>
  <c r="C473" i="11" s="1"/>
  <c r="C474" i="11" s="1"/>
  <c r="C475" i="11" s="1"/>
  <c r="C476" i="11" s="1"/>
  <c r="C477" i="11" s="1"/>
  <c r="C478" i="11" s="1"/>
  <c r="C479" i="11" s="1"/>
  <c r="C480" i="11" s="1"/>
  <c r="C481" i="11" s="1"/>
  <c r="C482" i="11" s="1"/>
  <c r="C483" i="11" s="1"/>
  <c r="C484" i="11" s="1"/>
  <c r="C485" i="11" s="1"/>
  <c r="C486" i="11" s="1"/>
  <c r="C487" i="11" s="1"/>
  <c r="C488" i="11" s="1"/>
  <c r="C489" i="11" s="1"/>
  <c r="C490" i="11" s="1"/>
  <c r="C491" i="11" s="1"/>
  <c r="C492" i="11" s="1"/>
  <c r="C493" i="11" s="1"/>
  <c r="C494" i="11" s="1"/>
  <c r="C495" i="11" s="1"/>
  <c r="C496" i="11" s="1"/>
  <c r="C497" i="11" s="1"/>
  <c r="C498" i="11" s="1"/>
  <c r="C499" i="11" s="1"/>
  <c r="C500" i="11" s="1"/>
  <c r="C501" i="11" s="1"/>
  <c r="C502" i="11" s="1"/>
  <c r="C503" i="11" s="1"/>
  <c r="C504" i="11" s="1"/>
  <c r="C505" i="11" s="1"/>
  <c r="C506" i="11" s="1"/>
  <c r="A507" i="11"/>
  <c r="B508" i="11"/>
  <c r="A508" i="11" s="1"/>
  <c r="C508" i="11"/>
  <c r="C509" i="11" s="1"/>
  <c r="C510" i="11" s="1"/>
  <c r="C511" i="11" s="1"/>
  <c r="C512" i="11" s="1"/>
  <c r="C513" i="11" s="1"/>
  <c r="C514" i="11" s="1"/>
  <c r="C515" i="11" s="1"/>
  <c r="C516" i="11" s="1"/>
  <c r="C517" i="11" s="1"/>
  <c r="C518" i="11" s="1"/>
  <c r="C519" i="11" s="1"/>
  <c r="C520" i="11" s="1"/>
  <c r="C521" i="11" s="1"/>
  <c r="C522" i="11" s="1"/>
  <c r="C523" i="11" s="1"/>
  <c r="C524" i="11" s="1"/>
  <c r="C525" i="11" s="1"/>
  <c r="C526" i="11" s="1"/>
  <c r="C527" i="11" s="1"/>
  <c r="C529" i="11" s="1"/>
  <c r="C530" i="11" s="1"/>
  <c r="C531" i="11" s="1"/>
  <c r="C532" i="11" s="1"/>
  <c r="C533" i="11" s="1"/>
  <c r="C534" i="11" s="1"/>
  <c r="C535" i="11" s="1"/>
  <c r="C32" i="57"/>
  <c r="C31" i="57"/>
  <c r="C30" i="57"/>
  <c r="C29" i="57"/>
  <c r="C28" i="57"/>
  <c r="C27" i="57"/>
  <c r="C26" i="57"/>
  <c r="D25" i="57"/>
  <c r="D26" i="57" s="1"/>
  <c r="D27" i="57" s="1"/>
  <c r="D28" i="57" s="1"/>
  <c r="D29" i="57" s="1"/>
  <c r="D30" i="57" s="1"/>
  <c r="D31" i="57" s="1"/>
  <c r="C25" i="57"/>
  <c r="E8" i="57" s="1"/>
  <c r="AA14" i="57"/>
  <c r="N13" i="57"/>
  <c r="M11" i="57"/>
  <c r="O11" i="57" s="1"/>
  <c r="AA10" i="57"/>
  <c r="M10" i="57"/>
  <c r="AA9" i="57"/>
  <c r="M9" i="57"/>
  <c r="AA8" i="57"/>
  <c r="M8" i="57"/>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G35" i="55"/>
  <c r="C35" i="55"/>
  <c r="C32" i="55"/>
  <c r="C31" i="55"/>
  <c r="C30" i="55"/>
  <c r="C29" i="55"/>
  <c r="C28" i="55"/>
  <c r="C27" i="55"/>
  <c r="C26" i="55"/>
  <c r="C25" i="55"/>
  <c r="C24" i="55"/>
  <c r="C23" i="55"/>
  <c r="C22" i="55"/>
  <c r="C21" i="55"/>
  <c r="C20" i="55"/>
  <c r="C18" i="55"/>
  <c r="C17" i="55"/>
  <c r="C16" i="55"/>
  <c r="C15" i="55"/>
  <c r="C14" i="55"/>
  <c r="C13" i="55"/>
  <c r="C12" i="55"/>
  <c r="C11" i="55"/>
  <c r="C10" i="55"/>
  <c r="C9" i="55"/>
  <c r="C8" i="55"/>
  <c r="C7" i="55"/>
  <c r="C6" i="55"/>
  <c r="D5" i="55"/>
  <c r="D6" i="55" s="1"/>
  <c r="D7" i="55" s="1"/>
  <c r="D8" i="55" s="1"/>
  <c r="D9" i="55" s="1"/>
  <c r="D10" i="55" s="1"/>
  <c r="D11" i="55" s="1"/>
  <c r="D12" i="55" s="1"/>
  <c r="D13" i="55" s="1"/>
  <c r="D14" i="55" s="1"/>
  <c r="C5" i="55"/>
  <c r="G3" i="55"/>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55" i="54"/>
  <c r="C54" i="54"/>
  <c r="C53" i="54"/>
  <c r="C52" i="54"/>
  <c r="C51" i="54"/>
  <c r="C50" i="54"/>
  <c r="C49" i="54"/>
  <c r="C48" i="54"/>
  <c r="C47" i="54"/>
  <c r="C46" i="54"/>
  <c r="C45" i="54"/>
  <c r="C44" i="54"/>
  <c r="C43" i="54"/>
  <c r="C42" i="54"/>
  <c r="C41" i="54"/>
  <c r="C40" i="54"/>
  <c r="C39" i="54"/>
  <c r="C38" i="54"/>
  <c r="C37" i="54"/>
  <c r="C36" i="54"/>
  <c r="G35" i="54"/>
  <c r="C35" i="54"/>
  <c r="C34" i="54"/>
  <c r="C33" i="54"/>
  <c r="C32" i="54"/>
  <c r="C31" i="54"/>
  <c r="C30" i="54"/>
  <c r="C29" i="54"/>
  <c r="C28" i="54"/>
  <c r="C27" i="54"/>
  <c r="C26" i="54"/>
  <c r="C25" i="54"/>
  <c r="C24" i="54"/>
  <c r="C23" i="54"/>
  <c r="C22" i="54"/>
  <c r="C21" i="54"/>
  <c r="C20" i="54"/>
  <c r="G19" i="54"/>
  <c r="C19" i="54"/>
  <c r="C18" i="54"/>
  <c r="C17" i="54"/>
  <c r="C16" i="54"/>
  <c r="C15" i="54"/>
  <c r="C14" i="54"/>
  <c r="C13" i="54"/>
  <c r="C12" i="54"/>
  <c r="C11" i="54"/>
  <c r="C10" i="54"/>
  <c r="C9" i="54"/>
  <c r="C8" i="54"/>
  <c r="C7" i="54"/>
  <c r="D6" i="54"/>
  <c r="D7" i="54" s="1"/>
  <c r="D8" i="54" s="1"/>
  <c r="D9" i="54" s="1"/>
  <c r="D10" i="54" s="1"/>
  <c r="D11" i="54" s="1"/>
  <c r="D12" i="54" s="1"/>
  <c r="D13" i="54" s="1"/>
  <c r="D14" i="54" s="1"/>
  <c r="C6" i="54"/>
  <c r="D5" i="54"/>
  <c r="C5" i="54"/>
  <c r="G3" i="54"/>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G35" i="53"/>
  <c r="C35" i="53"/>
  <c r="C34" i="53"/>
  <c r="C33" i="53"/>
  <c r="C32" i="53"/>
  <c r="C31" i="53"/>
  <c r="C30" i="53"/>
  <c r="C29" i="53"/>
  <c r="C28" i="53"/>
  <c r="C27" i="53"/>
  <c r="C26" i="53"/>
  <c r="C25" i="53"/>
  <c r="C24" i="53"/>
  <c r="C23" i="53"/>
  <c r="C22" i="53"/>
  <c r="C21" i="53"/>
  <c r="C20" i="53"/>
  <c r="G19" i="53"/>
  <c r="C19" i="53"/>
  <c r="C18" i="53"/>
  <c r="C17" i="53"/>
  <c r="C16" i="53"/>
  <c r="C15" i="53"/>
  <c r="C14" i="53"/>
  <c r="C13" i="53"/>
  <c r="C12" i="53"/>
  <c r="C11" i="53"/>
  <c r="C10" i="53"/>
  <c r="C9" i="53"/>
  <c r="C8" i="53"/>
  <c r="C7" i="53"/>
  <c r="C6" i="53"/>
  <c r="D5" i="53"/>
  <c r="D6" i="53" s="1"/>
  <c r="D7" i="53" s="1"/>
  <c r="D8" i="53" s="1"/>
  <c r="D9" i="53" s="1"/>
  <c r="D10" i="53" s="1"/>
  <c r="D11" i="53" s="1"/>
  <c r="D12" i="53" s="1"/>
  <c r="C5" i="53"/>
  <c r="G3" i="53"/>
  <c r="C116" i="51"/>
  <c r="C115" i="51"/>
  <c r="C114" i="51"/>
  <c r="C113" i="51"/>
  <c r="C112" i="51"/>
  <c r="C111" i="51"/>
  <c r="C110" i="51"/>
  <c r="C109" i="51"/>
  <c r="C108" i="51"/>
  <c r="C107" i="51"/>
  <c r="C106" i="51"/>
  <c r="C105" i="51"/>
  <c r="C104" i="51"/>
  <c r="C103" i="51"/>
  <c r="C102" i="51"/>
  <c r="C101" i="51"/>
  <c r="C100" i="51"/>
  <c r="C99" i="51"/>
  <c r="C98" i="51"/>
  <c r="C97" i="51"/>
  <c r="C96" i="51"/>
  <c r="C95" i="51"/>
  <c r="C94" i="51"/>
  <c r="C93" i="51"/>
  <c r="C92" i="51"/>
  <c r="C91" i="51"/>
  <c r="C90" i="51"/>
  <c r="C89" i="51"/>
  <c r="C88" i="51"/>
  <c r="C87" i="51"/>
  <c r="C86" i="51"/>
  <c r="C85" i="51"/>
  <c r="C84" i="51"/>
  <c r="C83" i="51"/>
  <c r="C82" i="51"/>
  <c r="C81" i="51"/>
  <c r="C80" i="51"/>
  <c r="C79" i="51"/>
  <c r="C78" i="51"/>
  <c r="C77" i="51"/>
  <c r="C76" i="51"/>
  <c r="C75" i="51"/>
  <c r="C74" i="51"/>
  <c r="C73" i="51"/>
  <c r="C72" i="51"/>
  <c r="C71" i="51"/>
  <c r="C70" i="51"/>
  <c r="C69" i="51"/>
  <c r="C68" i="51"/>
  <c r="C67" i="51"/>
  <c r="C66" i="51"/>
  <c r="C65" i="51"/>
  <c r="C64" i="51"/>
  <c r="C63" i="51"/>
  <c r="C62" i="51"/>
  <c r="C61" i="51"/>
  <c r="C60" i="51"/>
  <c r="C59" i="51"/>
  <c r="C58" i="51"/>
  <c r="C57" i="51"/>
  <c r="C56" i="51"/>
  <c r="C55" i="51"/>
  <c r="C54" i="51"/>
  <c r="C53" i="51"/>
  <c r="C52" i="51"/>
  <c r="C51" i="51"/>
  <c r="C50" i="51"/>
  <c r="C49" i="51"/>
  <c r="C48" i="51"/>
  <c r="C47" i="51"/>
  <c r="C46" i="51"/>
  <c r="C45" i="51"/>
  <c r="C44" i="51"/>
  <c r="C43" i="51"/>
  <c r="C42" i="51"/>
  <c r="C41" i="51"/>
  <c r="C40" i="51"/>
  <c r="C39" i="51"/>
  <c r="C38" i="51"/>
  <c r="C37" i="51"/>
  <c r="C36" i="51"/>
  <c r="G35" i="51"/>
  <c r="C35" i="51"/>
  <c r="C34" i="51"/>
  <c r="C33" i="51"/>
  <c r="C32" i="51"/>
  <c r="C31" i="51"/>
  <c r="C30" i="51"/>
  <c r="C29" i="51"/>
  <c r="C28" i="51"/>
  <c r="C27" i="51"/>
  <c r="C26" i="51"/>
  <c r="C25" i="51"/>
  <c r="C24" i="51"/>
  <c r="C23" i="51"/>
  <c r="C22" i="51"/>
  <c r="C21" i="51"/>
  <c r="C20" i="51"/>
  <c r="G19" i="51"/>
  <c r="C19" i="51"/>
  <c r="C18" i="51"/>
  <c r="C17" i="51"/>
  <c r="C16" i="51"/>
  <c r="C15" i="51"/>
  <c r="C14" i="51"/>
  <c r="C13" i="51"/>
  <c r="E13" i="51" s="1"/>
  <c r="C12" i="51"/>
  <c r="E12" i="51" s="1"/>
  <c r="C11" i="51"/>
  <c r="C10" i="51"/>
  <c r="C9" i="51"/>
  <c r="C8" i="51"/>
  <c r="C7" i="51"/>
  <c r="D6" i="51"/>
  <c r="D7" i="51" s="1"/>
  <c r="D8" i="51" s="1"/>
  <c r="D9" i="51" s="1"/>
  <c r="D10" i="51" s="1"/>
  <c r="D11" i="51" s="1"/>
  <c r="D12" i="51" s="1"/>
  <c r="D13" i="51" s="1"/>
  <c r="D14" i="51" s="1"/>
  <c r="C6" i="51"/>
  <c r="D5" i="51"/>
  <c r="C5" i="51"/>
  <c r="G3" i="51"/>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G35" i="50"/>
  <c r="C35" i="50"/>
  <c r="C34" i="50"/>
  <c r="C33" i="50"/>
  <c r="C32" i="50"/>
  <c r="C31" i="50"/>
  <c r="C30" i="50"/>
  <c r="C29" i="50"/>
  <c r="C28" i="50"/>
  <c r="C27" i="50"/>
  <c r="C26" i="50"/>
  <c r="C25" i="50"/>
  <c r="C24" i="50"/>
  <c r="C23" i="50"/>
  <c r="C22" i="50"/>
  <c r="C21" i="50"/>
  <c r="C20" i="50"/>
  <c r="G19" i="50"/>
  <c r="C19" i="50"/>
  <c r="C18" i="50"/>
  <c r="C17" i="50"/>
  <c r="C16" i="50"/>
  <c r="C15" i="50"/>
  <c r="C14" i="50"/>
  <c r="C13" i="50"/>
  <c r="C12" i="50"/>
  <c r="C11" i="50"/>
  <c r="C10" i="50"/>
  <c r="C9" i="50"/>
  <c r="C8" i="50"/>
  <c r="C7" i="50"/>
  <c r="C6" i="50"/>
  <c r="D5" i="50"/>
  <c r="D6" i="50" s="1"/>
  <c r="D7" i="50" s="1"/>
  <c r="D8" i="50" s="1"/>
  <c r="D9" i="50" s="1"/>
  <c r="D10" i="50" s="1"/>
  <c r="D11" i="50" s="1"/>
  <c r="D12" i="50" s="1"/>
  <c r="D13" i="50" s="1"/>
  <c r="D14" i="50" s="1"/>
  <c r="C5" i="50"/>
  <c r="G3" i="50"/>
  <c r="C116" i="48"/>
  <c r="C115" i="48"/>
  <c r="C114" i="48"/>
  <c r="C113" i="48"/>
  <c r="C112" i="48"/>
  <c r="C111" i="48"/>
  <c r="C110" i="48"/>
  <c r="C109" i="48"/>
  <c r="C108" i="48"/>
  <c r="C107" i="48"/>
  <c r="C106" i="48"/>
  <c r="C105" i="48"/>
  <c r="C104" i="48"/>
  <c r="C103" i="48"/>
  <c r="C102" i="48"/>
  <c r="C101" i="48"/>
  <c r="C100" i="48"/>
  <c r="C99" i="48"/>
  <c r="C98" i="48"/>
  <c r="C97" i="48"/>
  <c r="C96" i="48"/>
  <c r="C95" i="48"/>
  <c r="C94" i="48"/>
  <c r="C93" i="48"/>
  <c r="C92" i="48"/>
  <c r="C91" i="48"/>
  <c r="C90" i="48"/>
  <c r="C89" i="48"/>
  <c r="C88" i="48"/>
  <c r="C87" i="48"/>
  <c r="C86"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C60" i="48"/>
  <c r="C59" i="48"/>
  <c r="C58" i="48"/>
  <c r="C57" i="48"/>
  <c r="C56" i="48"/>
  <c r="C55" i="48"/>
  <c r="C54" i="48"/>
  <c r="C53" i="48"/>
  <c r="C52" i="48"/>
  <c r="C51" i="48"/>
  <c r="C50" i="48"/>
  <c r="C49" i="48"/>
  <c r="C48" i="48"/>
  <c r="C47" i="48"/>
  <c r="C46" i="48"/>
  <c r="C45" i="48"/>
  <c r="C44" i="48"/>
  <c r="C43" i="48"/>
  <c r="C42" i="48"/>
  <c r="C41" i="48"/>
  <c r="C40" i="48"/>
  <c r="C39" i="48"/>
  <c r="C38" i="48"/>
  <c r="C37" i="48"/>
  <c r="C36" i="48"/>
  <c r="G35" i="48"/>
  <c r="C35" i="48"/>
  <c r="C34" i="48"/>
  <c r="C33" i="48"/>
  <c r="C32" i="48"/>
  <c r="C31" i="48"/>
  <c r="C30" i="48"/>
  <c r="C29" i="48"/>
  <c r="C28" i="48"/>
  <c r="C27" i="48"/>
  <c r="C26" i="48"/>
  <c r="C25" i="48"/>
  <c r="C24" i="48"/>
  <c r="C23" i="48"/>
  <c r="C22" i="48"/>
  <c r="C21" i="48"/>
  <c r="C20" i="48"/>
  <c r="G19" i="48"/>
  <c r="C19" i="48"/>
  <c r="C18" i="48"/>
  <c r="C17" i="48"/>
  <c r="C16" i="48"/>
  <c r="C15" i="48"/>
  <c r="E15" i="48" s="1"/>
  <c r="C14" i="48"/>
  <c r="E14" i="48" s="1"/>
  <c r="C13" i="48"/>
  <c r="E13" i="48" s="1"/>
  <c r="C12" i="48"/>
  <c r="E12" i="48" s="1"/>
  <c r="C11" i="48"/>
  <c r="C10" i="48"/>
  <c r="C9" i="48"/>
  <c r="C8" i="48"/>
  <c r="C7" i="48"/>
  <c r="C6" i="48"/>
  <c r="D5" i="48"/>
  <c r="D6" i="48" s="1"/>
  <c r="D7" i="48" s="1"/>
  <c r="D8" i="48" s="1"/>
  <c r="D9" i="48" s="1"/>
  <c r="D10" i="48" s="1"/>
  <c r="D11" i="48" s="1"/>
  <c r="D12" i="48" s="1"/>
  <c r="D13" i="48" s="1"/>
  <c r="D14" i="48" s="1"/>
  <c r="D15" i="48" s="1"/>
  <c r="D16" i="48" s="1"/>
  <c r="C5" i="48"/>
  <c r="G3" i="48"/>
  <c r="E21" i="40"/>
  <c r="E21" i="36"/>
  <c r="E21" i="34"/>
  <c r="E21" i="38"/>
  <c r="E21" i="32"/>
  <c r="E21" i="30"/>
  <c r="E21" i="28"/>
  <c r="E21" i="25"/>
  <c r="E21" i="24"/>
  <c r="E20" i="24"/>
  <c r="E22" i="22"/>
  <c r="I97" i="67" l="1"/>
  <c r="L97" i="67"/>
  <c r="M97" i="67"/>
  <c r="K97" i="67"/>
  <c r="O96" i="67"/>
  <c r="I107" i="67"/>
  <c r="J97" i="67"/>
  <c r="D36" i="66"/>
  <c r="E35" i="66"/>
  <c r="G34" i="66"/>
  <c r="K34" i="66"/>
  <c r="I34" i="66"/>
  <c r="K33" i="65"/>
  <c r="I33" i="65"/>
  <c r="G33" i="65"/>
  <c r="E34" i="65"/>
  <c r="D35" i="65"/>
  <c r="D36" i="64"/>
  <c r="E35" i="64"/>
  <c r="G34" i="64"/>
  <c r="K34" i="64"/>
  <c r="I34" i="64"/>
  <c r="D37" i="63"/>
  <c r="E36" i="63"/>
  <c r="K33" i="62"/>
  <c r="I33" i="62"/>
  <c r="G33" i="62"/>
  <c r="E34" i="62"/>
  <c r="D35" i="62"/>
  <c r="I31" i="61"/>
  <c r="G31" i="61"/>
  <c r="K31" i="61"/>
  <c r="D33" i="61"/>
  <c r="E32" i="61"/>
  <c r="C528" i="11"/>
  <c r="V10" i="57"/>
  <c r="E12" i="55"/>
  <c r="D57" i="38"/>
  <c r="E56" i="38"/>
  <c r="K15" i="59"/>
  <c r="I15" i="59"/>
  <c r="G15" i="59"/>
  <c r="G13" i="59"/>
  <c r="K13" i="59"/>
  <c r="I13" i="59"/>
  <c r="I12" i="59"/>
  <c r="J8" i="59"/>
  <c r="J2" i="59"/>
  <c r="J1" i="59"/>
  <c r="G12" i="59"/>
  <c r="J7" i="59"/>
  <c r="J5" i="59"/>
  <c r="K12" i="59"/>
  <c r="D17" i="59"/>
  <c r="E16" i="59"/>
  <c r="G14" i="59"/>
  <c r="I14" i="59"/>
  <c r="K14" i="59"/>
  <c r="E9" i="57"/>
  <c r="E10" i="57"/>
  <c r="E6" i="57"/>
  <c r="E7" i="57"/>
  <c r="E5" i="57"/>
  <c r="E11" i="57"/>
  <c r="B139" i="11"/>
  <c r="B509" i="11"/>
  <c r="A339" i="11"/>
  <c r="B466" i="11"/>
  <c r="B467" i="11" s="1"/>
  <c r="B468" i="11" s="1"/>
  <c r="B469" i="11" s="1"/>
  <c r="A136" i="11"/>
  <c r="A290" i="11"/>
  <c r="B249" i="11"/>
  <c r="B250" i="11" s="1"/>
  <c r="A250" i="11" s="1"/>
  <c r="B4" i="11"/>
  <c r="B5" i="11" s="1"/>
  <c r="B6" i="11" s="1"/>
  <c r="A38" i="11"/>
  <c r="A341" i="11"/>
  <c r="A41" i="11"/>
  <c r="B42" i="11"/>
  <c r="B387" i="11"/>
  <c r="B346" i="11"/>
  <c r="A345" i="11"/>
  <c r="A40" i="11"/>
  <c r="B470" i="11"/>
  <c r="A469" i="11"/>
  <c r="B251" i="11"/>
  <c r="A431" i="11"/>
  <c r="A343" i="11"/>
  <c r="A206" i="11"/>
  <c r="A381" i="11"/>
  <c r="A430" i="11"/>
  <c r="A172" i="11"/>
  <c r="B173" i="11"/>
  <c r="B432" i="11"/>
  <c r="B209" i="11"/>
  <c r="A208" i="11"/>
  <c r="A5" i="11"/>
  <c r="A4" i="11"/>
  <c r="A468" i="11"/>
  <c r="A344" i="11"/>
  <c r="B140" i="11"/>
  <c r="A139" i="11"/>
  <c r="A466" i="11"/>
  <c r="A342" i="11"/>
  <c r="B82" i="11"/>
  <c r="A137" i="11"/>
  <c r="A340" i="11"/>
  <c r="B292" i="11"/>
  <c r="A291" i="11"/>
  <c r="A80" i="11"/>
  <c r="A39" i="11"/>
  <c r="D32" i="57"/>
  <c r="E31" i="57"/>
  <c r="E28" i="57"/>
  <c r="E27" i="57"/>
  <c r="E29" i="57"/>
  <c r="E30" i="57"/>
  <c r="E13" i="55"/>
  <c r="E14" i="55"/>
  <c r="D15" i="55"/>
  <c r="E12" i="54"/>
  <c r="E13" i="54"/>
  <c r="E14" i="54"/>
  <c r="D15" i="54"/>
  <c r="E12" i="53"/>
  <c r="D13" i="53"/>
  <c r="E14" i="51"/>
  <c r="D15" i="51"/>
  <c r="D16" i="51" s="1"/>
  <c r="E13" i="50"/>
  <c r="E12" i="50"/>
  <c r="E14" i="50"/>
  <c r="D15" i="50"/>
  <c r="D17" i="48"/>
  <c r="E16" i="48"/>
  <c r="P106" i="67" l="1"/>
  <c r="D37" i="66"/>
  <c r="E36" i="66"/>
  <c r="D36" i="65"/>
  <c r="E35" i="65"/>
  <c r="G34" i="65"/>
  <c r="K34" i="65"/>
  <c r="I34" i="65"/>
  <c r="D37" i="64"/>
  <c r="E36" i="64"/>
  <c r="E37" i="63"/>
  <c r="D38" i="63"/>
  <c r="G34" i="62"/>
  <c r="I34" i="62"/>
  <c r="K34" i="62"/>
  <c r="D36" i="62"/>
  <c r="E35" i="62"/>
  <c r="G32" i="61"/>
  <c r="K32" i="61"/>
  <c r="I32" i="61"/>
  <c r="D34" i="61"/>
  <c r="E33" i="61"/>
  <c r="Q2" i="57"/>
  <c r="Q1" i="57"/>
  <c r="D58" i="38"/>
  <c r="E57" i="38"/>
  <c r="K16" i="59"/>
  <c r="I16" i="59"/>
  <c r="G16" i="59"/>
  <c r="E17" i="59"/>
  <c r="D18" i="59"/>
  <c r="A509" i="11"/>
  <c r="B510" i="11"/>
  <c r="A467" i="11"/>
  <c r="A249" i="11"/>
  <c r="B252" i="11"/>
  <c r="A251" i="11"/>
  <c r="A81" i="11"/>
  <c r="A209" i="11"/>
  <c r="B210" i="11"/>
  <c r="A173" i="11"/>
  <c r="B174" i="11"/>
  <c r="A382" i="11"/>
  <c r="B388" i="11"/>
  <c r="A387" i="11"/>
  <c r="B83" i="11"/>
  <c r="A82" i="11"/>
  <c r="A42" i="11"/>
  <c r="B43" i="11"/>
  <c r="B433" i="11"/>
  <c r="A432" i="11"/>
  <c r="A140" i="11"/>
  <c r="B141" i="11"/>
  <c r="A470" i="11"/>
  <c r="B471" i="11"/>
  <c r="B293" i="11"/>
  <c r="A292" i="11"/>
  <c r="A346" i="11"/>
  <c r="B347" i="11"/>
  <c r="B7" i="11"/>
  <c r="A6" i="11"/>
  <c r="E32" i="57"/>
  <c r="D16" i="55"/>
  <c r="E15" i="55"/>
  <c r="D16" i="54"/>
  <c r="E15" i="54"/>
  <c r="D14" i="53"/>
  <c r="E13" i="53"/>
  <c r="E16" i="51"/>
  <c r="D17" i="51"/>
  <c r="E15" i="51"/>
  <c r="D16" i="50"/>
  <c r="E15" i="50"/>
  <c r="D18" i="48"/>
  <c r="E17" i="48"/>
  <c r="E37" i="66" l="1"/>
  <c r="D38" i="66"/>
  <c r="D37" i="65"/>
  <c r="E36" i="65"/>
  <c r="E37" i="64"/>
  <c r="D38" i="64"/>
  <c r="D39" i="63"/>
  <c r="E38" i="63"/>
  <c r="D37" i="62"/>
  <c r="E36" i="62"/>
  <c r="G33" i="61"/>
  <c r="I33" i="61"/>
  <c r="K33" i="61"/>
  <c r="D35" i="61"/>
  <c r="E34" i="61"/>
  <c r="D59" i="38"/>
  <c r="E59" i="38" s="1"/>
  <c r="E58" i="38"/>
  <c r="D19" i="59"/>
  <c r="E18" i="59"/>
  <c r="K17" i="59"/>
  <c r="I17" i="59"/>
  <c r="G17" i="59"/>
  <c r="A510" i="11"/>
  <c r="B511" i="11"/>
  <c r="A83" i="11"/>
  <c r="B84" i="11"/>
  <c r="B294" i="11"/>
  <c r="A293" i="11"/>
  <c r="B472" i="11"/>
  <c r="A471" i="11"/>
  <c r="A388" i="11"/>
  <c r="B389" i="11"/>
  <c r="B142" i="11"/>
  <c r="A141" i="11"/>
  <c r="B175" i="11"/>
  <c r="A174" i="11"/>
  <c r="A433" i="11"/>
  <c r="B434" i="11"/>
  <c r="B44" i="11"/>
  <c r="A43" i="11"/>
  <c r="A210" i="11"/>
  <c r="B211" i="11"/>
  <c r="A7" i="11"/>
  <c r="B8" i="11"/>
  <c r="A347" i="11"/>
  <c r="B348" i="11"/>
  <c r="A383" i="11"/>
  <c r="B253" i="11"/>
  <c r="A252" i="11"/>
  <c r="D17" i="55"/>
  <c r="E16" i="55"/>
  <c r="E16" i="54"/>
  <c r="D17" i="54"/>
  <c r="D15" i="53"/>
  <c r="E14" i="53"/>
  <c r="D18" i="51"/>
  <c r="E17" i="51"/>
  <c r="D17" i="50"/>
  <c r="E16" i="50"/>
  <c r="D19" i="48"/>
  <c r="E18" i="48"/>
  <c r="D39" i="66" l="1"/>
  <c r="E38" i="66"/>
  <c r="D38" i="65"/>
  <c r="E37" i="65"/>
  <c r="D39" i="64"/>
  <c r="E38" i="64"/>
  <c r="D40" i="63"/>
  <c r="E39" i="63"/>
  <c r="D38" i="62"/>
  <c r="E37" i="62"/>
  <c r="K34" i="61"/>
  <c r="I34" i="61"/>
  <c r="G34" i="61"/>
  <c r="D36" i="61"/>
  <c r="E35" i="61"/>
  <c r="K18" i="59"/>
  <c r="I18" i="59"/>
  <c r="G18" i="59"/>
  <c r="D20" i="59"/>
  <c r="E19" i="59"/>
  <c r="A511" i="11"/>
  <c r="B512" i="11"/>
  <c r="B176" i="11"/>
  <c r="A175" i="11"/>
  <c r="B349" i="11"/>
  <c r="A348" i="11"/>
  <c r="A472" i="11"/>
  <c r="B473" i="11"/>
  <c r="A253" i="11"/>
  <c r="B254" i="11"/>
  <c r="A294" i="11"/>
  <c r="B295" i="11"/>
  <c r="B435" i="11"/>
  <c r="A434" i="11"/>
  <c r="A84" i="11"/>
  <c r="B85" i="11"/>
  <c r="A142" i="11"/>
  <c r="B143" i="11"/>
  <c r="B9" i="11"/>
  <c r="A8" i="11"/>
  <c r="B390" i="11"/>
  <c r="A389" i="11"/>
  <c r="A211" i="11"/>
  <c r="B212" i="11"/>
  <c r="A44" i="11"/>
  <c r="B45" i="11"/>
  <c r="A384" i="11"/>
  <c r="D18" i="55"/>
  <c r="D19" i="55" s="1"/>
  <c r="E19" i="55" s="1"/>
  <c r="E17" i="55"/>
  <c r="D18" i="54"/>
  <c r="E17" i="54"/>
  <c r="D16" i="53"/>
  <c r="E15" i="53"/>
  <c r="D19" i="51"/>
  <c r="E18" i="51"/>
  <c r="D18" i="50"/>
  <c r="E17" i="50"/>
  <c r="D20" i="48"/>
  <c r="E19" i="48"/>
  <c r="D40" i="66" l="1"/>
  <c r="E39" i="66"/>
  <c r="D39" i="65"/>
  <c r="E38" i="65"/>
  <c r="D40" i="64"/>
  <c r="E39" i="64"/>
  <c r="D41" i="63"/>
  <c r="E40" i="63"/>
  <c r="D39" i="62"/>
  <c r="E38" i="62"/>
  <c r="D37" i="61"/>
  <c r="E36" i="61"/>
  <c r="K19" i="55"/>
  <c r="G19" i="55"/>
  <c r="I19" i="55"/>
  <c r="D21" i="59"/>
  <c r="E20" i="59"/>
  <c r="B513" i="11"/>
  <c r="A512" i="11"/>
  <c r="B474" i="11"/>
  <c r="A473" i="11"/>
  <c r="A85" i="11"/>
  <c r="B86" i="11"/>
  <c r="B296" i="11"/>
  <c r="A295" i="11"/>
  <c r="A349" i="11"/>
  <c r="B350" i="11"/>
  <c r="A9" i="11"/>
  <c r="B10" i="11"/>
  <c r="B144" i="11"/>
  <c r="A143" i="11"/>
  <c r="A386" i="11"/>
  <c r="A385" i="11"/>
  <c r="B46" i="11"/>
  <c r="A45" i="11"/>
  <c r="B213" i="11"/>
  <c r="A212" i="11"/>
  <c r="B436" i="11"/>
  <c r="A435" i="11"/>
  <c r="B391" i="11"/>
  <c r="A390" i="11"/>
  <c r="B255" i="11"/>
  <c r="A254" i="11"/>
  <c r="A176" i="11"/>
  <c r="B177" i="11"/>
  <c r="E18" i="55"/>
  <c r="D19" i="54"/>
  <c r="E18" i="54"/>
  <c r="D17" i="53"/>
  <c r="E16" i="53"/>
  <c r="D20" i="51"/>
  <c r="E19" i="51"/>
  <c r="D19" i="50"/>
  <c r="E18" i="50"/>
  <c r="E20" i="48"/>
  <c r="D21" i="48"/>
  <c r="D41" i="66" l="1"/>
  <c r="E40" i="66"/>
  <c r="D40" i="65"/>
  <c r="E39" i="65"/>
  <c r="D41" i="64"/>
  <c r="E40" i="64"/>
  <c r="D42" i="63"/>
  <c r="E41" i="63"/>
  <c r="D40" i="62"/>
  <c r="E39" i="62"/>
  <c r="D38" i="61"/>
  <c r="E37" i="61"/>
  <c r="D22" i="59"/>
  <c r="E21" i="59"/>
  <c r="B514" i="11"/>
  <c r="A513" i="11"/>
  <c r="B351" i="11"/>
  <c r="A350" i="11"/>
  <c r="A213" i="11"/>
  <c r="B214" i="11"/>
  <c r="A296" i="11"/>
  <c r="B297" i="11"/>
  <c r="B87" i="11"/>
  <c r="A86" i="11"/>
  <c r="A177" i="11"/>
  <c r="B178" i="11"/>
  <c r="A46" i="11"/>
  <c r="B47" i="11"/>
  <c r="B11" i="11"/>
  <c r="A10" i="11"/>
  <c r="B392" i="11"/>
  <c r="A391" i="11"/>
  <c r="A436" i="11"/>
  <c r="B437" i="11"/>
  <c r="A255" i="11"/>
  <c r="B256" i="11"/>
  <c r="A144" i="11"/>
  <c r="B145" i="11"/>
  <c r="A474" i="11"/>
  <c r="B475" i="11"/>
  <c r="D20" i="55"/>
  <c r="E19" i="54"/>
  <c r="D20" i="54"/>
  <c r="D18" i="53"/>
  <c r="E17" i="53"/>
  <c r="E20" i="51"/>
  <c r="D21" i="51"/>
  <c r="E19" i="50"/>
  <c r="D20" i="50"/>
  <c r="D22" i="48"/>
  <c r="E21" i="48"/>
  <c r="D42" i="66" l="1"/>
  <c r="E41" i="66"/>
  <c r="E40" i="65"/>
  <c r="D41" i="65"/>
  <c r="D42" i="64"/>
  <c r="E41" i="64"/>
  <c r="D43" i="63"/>
  <c r="E42" i="63"/>
  <c r="D41" i="62"/>
  <c r="E40" i="62"/>
  <c r="E38" i="61"/>
  <c r="D39" i="61"/>
  <c r="D23" i="59"/>
  <c r="E22" i="59"/>
  <c r="A514" i="11"/>
  <c r="B515" i="11"/>
  <c r="B257" i="11"/>
  <c r="A256" i="11"/>
  <c r="A178" i="11"/>
  <c r="B179" i="11"/>
  <c r="A437" i="11"/>
  <c r="B438" i="11"/>
  <c r="B215" i="11"/>
  <c r="A214" i="11"/>
  <c r="A87" i="11"/>
  <c r="B88" i="11"/>
  <c r="A392" i="11"/>
  <c r="B393" i="11"/>
  <c r="A11" i="11"/>
  <c r="B12" i="11"/>
  <c r="B476" i="11"/>
  <c r="A475" i="11"/>
  <c r="B352" i="11"/>
  <c r="A351" i="11"/>
  <c r="A145" i="11"/>
  <c r="B146" i="11"/>
  <c r="B48" i="11"/>
  <c r="A47" i="11"/>
  <c r="B298" i="11"/>
  <c r="A297" i="11"/>
  <c r="D21" i="55"/>
  <c r="E20" i="55"/>
  <c r="D21" i="54"/>
  <c r="E20" i="54"/>
  <c r="D19" i="53"/>
  <c r="E18" i="53"/>
  <c r="D22" i="51"/>
  <c r="E21" i="51"/>
  <c r="E20" i="50"/>
  <c r="D21" i="50"/>
  <c r="D23" i="48"/>
  <c r="E22" i="48"/>
  <c r="D43" i="66" l="1"/>
  <c r="E42" i="66"/>
  <c r="D42" i="65"/>
  <c r="E41" i="65"/>
  <c r="D43" i="64"/>
  <c r="E42" i="64"/>
  <c r="D44" i="63"/>
  <c r="E43" i="63"/>
  <c r="D42" i="62"/>
  <c r="E41" i="62"/>
  <c r="D40" i="61"/>
  <c r="E39" i="61"/>
  <c r="D24" i="59"/>
  <c r="E23" i="59"/>
  <c r="B516" i="11"/>
  <c r="A515" i="11"/>
  <c r="A179" i="11"/>
  <c r="B180" i="11"/>
  <c r="A146" i="11"/>
  <c r="B147" i="11"/>
  <c r="B477" i="11"/>
  <c r="A476" i="11"/>
  <c r="A48" i="11"/>
  <c r="B49" i="11"/>
  <c r="A215" i="11"/>
  <c r="B216" i="11"/>
  <c r="A257" i="11"/>
  <c r="B258" i="11"/>
  <c r="B13" i="11"/>
  <c r="A12" i="11"/>
  <c r="A298" i="11"/>
  <c r="B299" i="11"/>
  <c r="A88" i="11"/>
  <c r="B89" i="11"/>
  <c r="B353" i="11"/>
  <c r="A352" i="11"/>
  <c r="A393" i="11"/>
  <c r="B394" i="11"/>
  <c r="A438" i="11"/>
  <c r="B439" i="11"/>
  <c r="D22" i="55"/>
  <c r="E21" i="55"/>
  <c r="D22" i="54"/>
  <c r="E21" i="54"/>
  <c r="E19" i="53"/>
  <c r="D20" i="53"/>
  <c r="D23" i="51"/>
  <c r="E22" i="51"/>
  <c r="D22" i="50"/>
  <c r="E21" i="50"/>
  <c r="D24" i="48"/>
  <c r="E23" i="48"/>
  <c r="D44" i="66" l="1"/>
  <c r="E43" i="66"/>
  <c r="D43" i="65"/>
  <c r="E42" i="65"/>
  <c r="D44" i="64"/>
  <c r="E43" i="64"/>
  <c r="D45" i="63"/>
  <c r="E44" i="63"/>
  <c r="D43" i="62"/>
  <c r="E42" i="62"/>
  <c r="D41" i="61"/>
  <c r="E40" i="61"/>
  <c r="D25" i="59"/>
  <c r="E24" i="59"/>
  <c r="B517" i="11"/>
  <c r="A516" i="11"/>
  <c r="B300" i="11"/>
  <c r="A299" i="11"/>
  <c r="A394" i="11"/>
  <c r="B395" i="11"/>
  <c r="B50" i="11"/>
  <c r="A49" i="11"/>
  <c r="B14" i="11"/>
  <c r="A13" i="11"/>
  <c r="A258" i="11"/>
  <c r="B259" i="11"/>
  <c r="B181" i="11"/>
  <c r="A180" i="11"/>
  <c r="B440" i="11"/>
  <c r="A439" i="11"/>
  <c r="A353" i="11"/>
  <c r="B354" i="11"/>
  <c r="B217" i="11"/>
  <c r="A216" i="11"/>
  <c r="A477" i="11"/>
  <c r="B478" i="11"/>
  <c r="B148" i="11"/>
  <c r="A147" i="11"/>
  <c r="B90" i="11"/>
  <c r="A89" i="11"/>
  <c r="D23" i="55"/>
  <c r="E22" i="55"/>
  <c r="D23" i="54"/>
  <c r="E22" i="54"/>
  <c r="D21" i="53"/>
  <c r="E20" i="53"/>
  <c r="E23" i="51"/>
  <c r="D24" i="51"/>
  <c r="D23" i="50"/>
  <c r="E22" i="50"/>
  <c r="D25" i="48"/>
  <c r="E24" i="48"/>
  <c r="E44" i="66" l="1"/>
  <c r="D45" i="66"/>
  <c r="D44" i="65"/>
  <c r="E43" i="65"/>
  <c r="E44" i="64"/>
  <c r="D45" i="64"/>
  <c r="J37" i="63"/>
  <c r="J39" i="63"/>
  <c r="J40" i="63"/>
  <c r="K44" i="63"/>
  <c r="G44" i="63"/>
  <c r="I44" i="63"/>
  <c r="D46" i="63"/>
  <c r="E45" i="63"/>
  <c r="D44" i="62"/>
  <c r="E43" i="62"/>
  <c r="E41" i="61"/>
  <c r="D42" i="61"/>
  <c r="D26" i="59"/>
  <c r="E25" i="59"/>
  <c r="B518" i="11"/>
  <c r="A517" i="11"/>
  <c r="B91" i="11"/>
  <c r="A90" i="11"/>
  <c r="B355" i="11"/>
  <c r="A354" i="11"/>
  <c r="A50" i="11"/>
  <c r="B51" i="11"/>
  <c r="B396" i="11"/>
  <c r="A395" i="11"/>
  <c r="A478" i="11"/>
  <c r="B479" i="11"/>
  <c r="B441" i="11"/>
  <c r="A440" i="11"/>
  <c r="A181" i="11"/>
  <c r="B182" i="11"/>
  <c r="B301" i="11"/>
  <c r="A300" i="11"/>
  <c r="B218" i="11"/>
  <c r="A217" i="11"/>
  <c r="B15" i="11"/>
  <c r="A14" i="11"/>
  <c r="B149" i="11"/>
  <c r="A148" i="11"/>
  <c r="A259" i="11"/>
  <c r="B260" i="11"/>
  <c r="D24" i="55"/>
  <c r="E23" i="55"/>
  <c r="D24" i="54"/>
  <c r="E23" i="54"/>
  <c r="D22" i="53"/>
  <c r="E21" i="53"/>
  <c r="D25" i="51"/>
  <c r="E24" i="51"/>
  <c r="D24" i="50"/>
  <c r="E23" i="50"/>
  <c r="D26" i="48"/>
  <c r="E25" i="48"/>
  <c r="J39" i="64" l="1"/>
  <c r="J40" i="64"/>
  <c r="D46" i="66"/>
  <c r="E45" i="66"/>
  <c r="K44" i="66"/>
  <c r="J40" i="66"/>
  <c r="G44" i="66"/>
  <c r="J37" i="66"/>
  <c r="J39" i="66"/>
  <c r="I44" i="66"/>
  <c r="D45" i="65"/>
  <c r="E44" i="65"/>
  <c r="D46" i="64"/>
  <c r="E45" i="64"/>
  <c r="K44" i="64"/>
  <c r="J37" i="64"/>
  <c r="I44" i="64"/>
  <c r="G44" i="64"/>
  <c r="K45" i="63"/>
  <c r="I45" i="63"/>
  <c r="G45" i="63"/>
  <c r="D47" i="63"/>
  <c r="E46" i="63"/>
  <c r="D45" i="62"/>
  <c r="E44" i="62"/>
  <c r="D43" i="61"/>
  <c r="E42" i="61"/>
  <c r="E26" i="59"/>
  <c r="D27" i="59"/>
  <c r="A518" i="11"/>
  <c r="B519" i="11"/>
  <c r="B16" i="11"/>
  <c r="A15" i="11"/>
  <c r="A396" i="11"/>
  <c r="B397" i="11"/>
  <c r="A355" i="11"/>
  <c r="B356" i="11"/>
  <c r="A149" i="11"/>
  <c r="B150" i="11"/>
  <c r="B183" i="11"/>
  <c r="A182" i="11"/>
  <c r="B92" i="11"/>
  <c r="A91" i="11"/>
  <c r="A218" i="11"/>
  <c r="B219" i="11"/>
  <c r="B442" i="11"/>
  <c r="A441" i="11"/>
  <c r="A51" i="11"/>
  <c r="B52" i="11"/>
  <c r="A260" i="11"/>
  <c r="B261" i="11"/>
  <c r="B302" i="11"/>
  <c r="A301" i="11"/>
  <c r="B480" i="11"/>
  <c r="A479" i="11"/>
  <c r="D25" i="55"/>
  <c r="E24" i="55"/>
  <c r="D25" i="54"/>
  <c r="E24" i="54"/>
  <c r="D23" i="53"/>
  <c r="E22" i="53"/>
  <c r="D26" i="51"/>
  <c r="E25" i="51"/>
  <c r="D25" i="50"/>
  <c r="E24" i="50"/>
  <c r="D27" i="48"/>
  <c r="E26" i="48"/>
  <c r="K45" i="66" l="1"/>
  <c r="I45" i="66"/>
  <c r="G45" i="66"/>
  <c r="D47" i="66"/>
  <c r="E46" i="66"/>
  <c r="K44" i="65"/>
  <c r="J39" i="65"/>
  <c r="J40" i="65"/>
  <c r="I44" i="65"/>
  <c r="G44" i="65"/>
  <c r="J37" i="65"/>
  <c r="D46" i="65"/>
  <c r="E45" i="65"/>
  <c r="K45" i="64"/>
  <c r="I45" i="64"/>
  <c r="G45" i="64"/>
  <c r="D47" i="64"/>
  <c r="E46" i="64"/>
  <c r="D48" i="63"/>
  <c r="E47" i="63"/>
  <c r="K46" i="63"/>
  <c r="G46" i="63"/>
  <c r="J39" i="62"/>
  <c r="J40" i="62"/>
  <c r="J37" i="62"/>
  <c r="G44" i="62"/>
  <c r="K44" i="62"/>
  <c r="I44" i="62"/>
  <c r="D46" i="62"/>
  <c r="E45" i="62"/>
  <c r="D44" i="61"/>
  <c r="E43" i="61"/>
  <c r="D28" i="59"/>
  <c r="E27" i="59"/>
  <c r="B520" i="11"/>
  <c r="A519" i="11"/>
  <c r="B151" i="11"/>
  <c r="A150" i="11"/>
  <c r="A397" i="11"/>
  <c r="B398" i="11"/>
  <c r="A442" i="11"/>
  <c r="B443" i="11"/>
  <c r="A480" i="11"/>
  <c r="B481" i="11"/>
  <c r="B303" i="11"/>
  <c r="A302" i="11"/>
  <c r="A261" i="11"/>
  <c r="B262" i="11"/>
  <c r="A92" i="11"/>
  <c r="B93" i="11"/>
  <c r="A183" i="11"/>
  <c r="B184" i="11"/>
  <c r="B357" i="11"/>
  <c r="A356" i="11"/>
  <c r="B220" i="11"/>
  <c r="A219" i="11"/>
  <c r="B17" i="11"/>
  <c r="A16" i="11"/>
  <c r="A52" i="11"/>
  <c r="B53" i="11"/>
  <c r="D26" i="55"/>
  <c r="E25" i="55"/>
  <c r="D26" i="54"/>
  <c r="E25" i="54"/>
  <c r="D24" i="53"/>
  <c r="E23" i="53"/>
  <c r="E26" i="51"/>
  <c r="D27" i="51"/>
  <c r="D26" i="50"/>
  <c r="E25" i="50"/>
  <c r="E27" i="48"/>
  <c r="D28" i="48"/>
  <c r="D48" i="66" l="1"/>
  <c r="E47" i="66"/>
  <c r="K46" i="66"/>
  <c r="G46" i="66"/>
  <c r="K45" i="65"/>
  <c r="I45" i="65"/>
  <c r="G45" i="65"/>
  <c r="D47" i="65"/>
  <c r="E46" i="65"/>
  <c r="K46" i="64"/>
  <c r="G46" i="64"/>
  <c r="D48" i="64"/>
  <c r="E47" i="64"/>
  <c r="K47" i="63"/>
  <c r="G47" i="63"/>
  <c r="D52" i="63"/>
  <c r="D49" i="63"/>
  <c r="E48" i="63"/>
  <c r="K45" i="62"/>
  <c r="I45" i="62"/>
  <c r="G45" i="62"/>
  <c r="D47" i="62"/>
  <c r="E46" i="62"/>
  <c r="D45" i="61"/>
  <c r="E44" i="61"/>
  <c r="D29" i="59"/>
  <c r="E28" i="59"/>
  <c r="A520" i="11"/>
  <c r="B521" i="11"/>
  <c r="A17" i="11"/>
  <c r="B18" i="11"/>
  <c r="B304" i="11"/>
  <c r="A303" i="11"/>
  <c r="B358" i="11"/>
  <c r="A357" i="11"/>
  <c r="B185" i="11"/>
  <c r="A184" i="11"/>
  <c r="A398" i="11"/>
  <c r="B399" i="11"/>
  <c r="A220" i="11"/>
  <c r="B221" i="11"/>
  <c r="B482" i="11"/>
  <c r="A481" i="11"/>
  <c r="B444" i="11"/>
  <c r="A443" i="11"/>
  <c r="A53" i="11"/>
  <c r="B54" i="11"/>
  <c r="B94" i="11"/>
  <c r="A93" i="11"/>
  <c r="A151" i="11"/>
  <c r="B152" i="11"/>
  <c r="B263" i="11"/>
  <c r="A262" i="11"/>
  <c r="E26" i="55"/>
  <c r="D27" i="55"/>
  <c r="E26" i="54"/>
  <c r="D27" i="54"/>
  <c r="D25" i="53"/>
  <c r="E24" i="53"/>
  <c r="D28" i="51"/>
  <c r="E27" i="51"/>
  <c r="E26" i="50"/>
  <c r="D27" i="50"/>
  <c r="D29" i="48"/>
  <c r="E28" i="48"/>
  <c r="K47" i="66" l="1"/>
  <c r="G47" i="66"/>
  <c r="D52" i="66"/>
  <c r="D49" i="66"/>
  <c r="E48" i="66"/>
  <c r="K46" i="65"/>
  <c r="G46" i="65"/>
  <c r="D48" i="65"/>
  <c r="E47" i="65"/>
  <c r="K47" i="64"/>
  <c r="G47" i="64"/>
  <c r="D52" i="64"/>
  <c r="D49" i="64"/>
  <c r="E48" i="64"/>
  <c r="K48" i="63"/>
  <c r="G48" i="63"/>
  <c r="D50" i="63"/>
  <c r="E50" i="63" s="1"/>
  <c r="E49" i="63"/>
  <c r="D53" i="63"/>
  <c r="E52" i="63"/>
  <c r="K46" i="62"/>
  <c r="G46" i="62"/>
  <c r="E47" i="62"/>
  <c r="D48" i="62"/>
  <c r="J39" i="61"/>
  <c r="K44" i="61"/>
  <c r="J40" i="61"/>
  <c r="I44" i="61"/>
  <c r="G44" i="61"/>
  <c r="J37" i="61"/>
  <c r="D46" i="61"/>
  <c r="E45" i="61"/>
  <c r="I28" i="59"/>
  <c r="J24" i="59"/>
  <c r="K28" i="59"/>
  <c r="J23" i="59"/>
  <c r="G28" i="59"/>
  <c r="J21" i="59"/>
  <c r="E29" i="59"/>
  <c r="D30" i="59"/>
  <c r="B522" i="11"/>
  <c r="A521" i="11"/>
  <c r="B222" i="11"/>
  <c r="A221" i="11"/>
  <c r="A94" i="11"/>
  <c r="B95" i="11"/>
  <c r="B55" i="11"/>
  <c r="A54" i="11"/>
  <c r="B264" i="11"/>
  <c r="A263" i="11"/>
  <c r="A444" i="11"/>
  <c r="B445" i="11"/>
  <c r="B359" i="11"/>
  <c r="A358" i="11"/>
  <c r="A304" i="11"/>
  <c r="B305" i="11"/>
  <c r="B153" i="11"/>
  <c r="A152" i="11"/>
  <c r="A185" i="11"/>
  <c r="B186" i="11"/>
  <c r="B19" i="11"/>
  <c r="A18" i="11"/>
  <c r="A399" i="11"/>
  <c r="B400" i="11"/>
  <c r="A482" i="11"/>
  <c r="B483" i="11"/>
  <c r="D28" i="55"/>
  <c r="E27" i="55"/>
  <c r="D28" i="54"/>
  <c r="E27" i="54"/>
  <c r="D26" i="53"/>
  <c r="E25" i="53"/>
  <c r="D29" i="51"/>
  <c r="E28" i="51"/>
  <c r="E27" i="50"/>
  <c r="D28" i="50"/>
  <c r="D30" i="48"/>
  <c r="E29" i="48"/>
  <c r="K48" i="66" l="1"/>
  <c r="G48" i="66"/>
  <c r="D50" i="66"/>
  <c r="E50" i="66" s="1"/>
  <c r="E49" i="66"/>
  <c r="D53" i="66"/>
  <c r="E52" i="66"/>
  <c r="K47" i="65"/>
  <c r="G47" i="65"/>
  <c r="D52" i="65"/>
  <c r="D49" i="65"/>
  <c r="E48" i="65"/>
  <c r="K48" i="64"/>
  <c r="G48" i="64"/>
  <c r="D50" i="64"/>
  <c r="E50" i="64" s="1"/>
  <c r="E49" i="64"/>
  <c r="D53" i="64"/>
  <c r="E52" i="64"/>
  <c r="E53" i="63"/>
  <c r="D54" i="63"/>
  <c r="K49" i="63"/>
  <c r="G49" i="63"/>
  <c r="K50" i="63"/>
  <c r="G50" i="63"/>
  <c r="D52" i="62"/>
  <c r="D49" i="62"/>
  <c r="E48" i="62"/>
  <c r="K47" i="62"/>
  <c r="G47" i="62"/>
  <c r="D47" i="61"/>
  <c r="E46" i="61"/>
  <c r="I45" i="61"/>
  <c r="G45" i="61"/>
  <c r="K45" i="61"/>
  <c r="D31" i="59"/>
  <c r="E30" i="59"/>
  <c r="K29" i="59"/>
  <c r="I29" i="59"/>
  <c r="G29" i="59"/>
  <c r="B523" i="11"/>
  <c r="A522" i="11"/>
  <c r="A153" i="11"/>
  <c r="B154" i="11"/>
  <c r="A55" i="11"/>
  <c r="B56" i="11"/>
  <c r="B401" i="11"/>
  <c r="A400" i="11"/>
  <c r="A305" i="11"/>
  <c r="B306" i="11"/>
  <c r="B96" i="11"/>
  <c r="A95" i="11"/>
  <c r="A19" i="11"/>
  <c r="B20" i="11"/>
  <c r="B187" i="11"/>
  <c r="A186" i="11"/>
  <c r="B360" i="11"/>
  <c r="A359" i="11"/>
  <c r="B446" i="11"/>
  <c r="A445" i="11"/>
  <c r="A483" i="11"/>
  <c r="B484" i="11"/>
  <c r="A264" i="11"/>
  <c r="B265" i="11"/>
  <c r="A222" i="11"/>
  <c r="B223" i="11"/>
  <c r="D29" i="55"/>
  <c r="E28" i="55"/>
  <c r="D29" i="54"/>
  <c r="E28" i="54"/>
  <c r="D27" i="53"/>
  <c r="E26" i="53"/>
  <c r="E29" i="51"/>
  <c r="D30" i="51"/>
  <c r="D29" i="50"/>
  <c r="E28" i="50"/>
  <c r="E30" i="48"/>
  <c r="D31" i="48"/>
  <c r="K49" i="66" l="1"/>
  <c r="G49" i="66"/>
  <c r="K50" i="66"/>
  <c r="G50" i="66"/>
  <c r="E53" i="66"/>
  <c r="D54" i="66"/>
  <c r="D50" i="65"/>
  <c r="E50" i="65" s="1"/>
  <c r="E49" i="65"/>
  <c r="K48" i="65"/>
  <c r="G48" i="65"/>
  <c r="D53" i="65"/>
  <c r="E52" i="65"/>
  <c r="E53" i="64"/>
  <c r="D54" i="64"/>
  <c r="K49" i="64"/>
  <c r="G49" i="64"/>
  <c r="K50" i="64"/>
  <c r="G50" i="64"/>
  <c r="D55" i="63"/>
  <c r="E54" i="63"/>
  <c r="K48" i="62"/>
  <c r="G48" i="62"/>
  <c r="D50" i="62"/>
  <c r="E50" i="62" s="1"/>
  <c r="E49" i="62"/>
  <c r="D53" i="62"/>
  <c r="E52" i="62"/>
  <c r="G46" i="61"/>
  <c r="K46" i="61"/>
  <c r="D48" i="61"/>
  <c r="E47" i="61"/>
  <c r="K30" i="59"/>
  <c r="I30" i="59"/>
  <c r="G30" i="59"/>
  <c r="D32" i="59"/>
  <c r="E31" i="59"/>
  <c r="B524" i="11"/>
  <c r="A523" i="11"/>
  <c r="A446" i="11"/>
  <c r="B447" i="11"/>
  <c r="A96" i="11"/>
  <c r="B97" i="11"/>
  <c r="B361" i="11"/>
  <c r="A360" i="11"/>
  <c r="B224" i="11"/>
  <c r="A223" i="11"/>
  <c r="A187" i="11"/>
  <c r="B188" i="11"/>
  <c r="B402" i="11"/>
  <c r="A401" i="11"/>
  <c r="A20" i="11"/>
  <c r="B21" i="11"/>
  <c r="B57" i="11"/>
  <c r="A56" i="11"/>
  <c r="B307" i="11"/>
  <c r="A306" i="11"/>
  <c r="B266" i="11"/>
  <c r="A265" i="11"/>
  <c r="A154" i="11"/>
  <c r="B155" i="11"/>
  <c r="B485" i="11"/>
  <c r="A484" i="11"/>
  <c r="D30" i="55"/>
  <c r="E29" i="55"/>
  <c r="E29" i="54"/>
  <c r="D30" i="54"/>
  <c r="D28" i="53"/>
  <c r="E27" i="53"/>
  <c r="D31" i="51"/>
  <c r="E30" i="51"/>
  <c r="D30" i="50"/>
  <c r="E29" i="50"/>
  <c r="D32" i="48"/>
  <c r="E31" i="48"/>
  <c r="D55" i="66" l="1"/>
  <c r="E54" i="66"/>
  <c r="D54" i="65"/>
  <c r="E53" i="65"/>
  <c r="K49" i="65"/>
  <c r="G49" i="65"/>
  <c r="K50" i="65"/>
  <c r="G50" i="65"/>
  <c r="D55" i="64"/>
  <c r="E54" i="64"/>
  <c r="D56" i="63"/>
  <c r="E55" i="63"/>
  <c r="E53" i="62"/>
  <c r="D54" i="62"/>
  <c r="K49" i="62"/>
  <c r="G49" i="62"/>
  <c r="K50" i="62"/>
  <c r="G50" i="62"/>
  <c r="G47" i="61"/>
  <c r="K47" i="61"/>
  <c r="D52" i="61"/>
  <c r="D49" i="61"/>
  <c r="E48" i="61"/>
  <c r="I31" i="59"/>
  <c r="K31" i="59"/>
  <c r="G31" i="59"/>
  <c r="D33" i="59"/>
  <c r="E32" i="59"/>
  <c r="B525" i="11"/>
  <c r="A524" i="11"/>
  <c r="A57" i="11"/>
  <c r="B58" i="11"/>
  <c r="A361" i="11"/>
  <c r="B362" i="11"/>
  <c r="B189" i="11"/>
  <c r="A188" i="11"/>
  <c r="A224" i="11"/>
  <c r="B225" i="11"/>
  <c r="B22" i="11"/>
  <c r="A21" i="11"/>
  <c r="A97" i="11"/>
  <c r="B98" i="11"/>
  <c r="A402" i="11"/>
  <c r="B403" i="11"/>
  <c r="B156" i="11"/>
  <c r="A155" i="11"/>
  <c r="B448" i="11"/>
  <c r="A447" i="11"/>
  <c r="A266" i="11"/>
  <c r="B267" i="11"/>
  <c r="A307" i="11"/>
  <c r="B308" i="11"/>
  <c r="B486" i="11"/>
  <c r="A485" i="11"/>
  <c r="E30" i="55"/>
  <c r="D31" i="55"/>
  <c r="D31" i="54"/>
  <c r="E30" i="54"/>
  <c r="D29" i="53"/>
  <c r="E28" i="53"/>
  <c r="D32" i="51"/>
  <c r="E31" i="51"/>
  <c r="E30" i="50"/>
  <c r="D31" i="50"/>
  <c r="D33" i="48"/>
  <c r="E32" i="48"/>
  <c r="D56" i="66" l="1"/>
  <c r="E55" i="66"/>
  <c r="D55" i="65"/>
  <c r="E54" i="65"/>
  <c r="D56" i="64"/>
  <c r="E55" i="64"/>
  <c r="D57" i="63"/>
  <c r="E56" i="63"/>
  <c r="D55" i="62"/>
  <c r="E54" i="62"/>
  <c r="G48" i="61"/>
  <c r="K48" i="61"/>
  <c r="D50" i="61"/>
  <c r="E50" i="61" s="1"/>
  <c r="E49" i="61"/>
  <c r="D53" i="61"/>
  <c r="E52" i="61"/>
  <c r="I32" i="59"/>
  <c r="K32" i="59"/>
  <c r="G32" i="59"/>
  <c r="D34" i="59"/>
  <c r="E33" i="59"/>
  <c r="B526" i="11"/>
  <c r="A525" i="11"/>
  <c r="A22" i="11"/>
  <c r="B23" i="11"/>
  <c r="A225" i="11"/>
  <c r="B226" i="11"/>
  <c r="B487" i="11"/>
  <c r="A486" i="11"/>
  <c r="B190" i="11"/>
  <c r="A189" i="11"/>
  <c r="A308" i="11"/>
  <c r="B309" i="11"/>
  <c r="A362" i="11"/>
  <c r="B363" i="11"/>
  <c r="A156" i="11"/>
  <c r="B157" i="11"/>
  <c r="A98" i="11"/>
  <c r="B99" i="11"/>
  <c r="B449" i="11"/>
  <c r="A448" i="11"/>
  <c r="A267" i="11"/>
  <c r="B268" i="11"/>
  <c r="B404" i="11"/>
  <c r="A403" i="11"/>
  <c r="B59" i="11"/>
  <c r="A58" i="11"/>
  <c r="E31" i="55"/>
  <c r="D32" i="55"/>
  <c r="D33" i="55" s="1"/>
  <c r="D32" i="54"/>
  <c r="E31" i="54"/>
  <c r="D30" i="53"/>
  <c r="E29" i="53"/>
  <c r="D33" i="51"/>
  <c r="E32" i="51"/>
  <c r="D32" i="50"/>
  <c r="E31" i="50"/>
  <c r="D34" i="48"/>
  <c r="E33" i="48"/>
  <c r="D57" i="66" l="1"/>
  <c r="E56" i="66"/>
  <c r="D56" i="65"/>
  <c r="E55" i="65"/>
  <c r="D57" i="64"/>
  <c r="E56" i="64"/>
  <c r="D58" i="63"/>
  <c r="E57" i="63"/>
  <c r="D56" i="62"/>
  <c r="E55" i="62"/>
  <c r="D54" i="61"/>
  <c r="E53" i="61"/>
  <c r="G49" i="61"/>
  <c r="K49" i="61"/>
  <c r="G50" i="61"/>
  <c r="K50" i="61"/>
  <c r="E33" i="55"/>
  <c r="D34" i="55"/>
  <c r="E34" i="55" s="1"/>
  <c r="L49" i="57"/>
  <c r="J49" i="57"/>
  <c r="I49" i="57"/>
  <c r="H49" i="57"/>
  <c r="K49" i="57"/>
  <c r="G49" i="57"/>
  <c r="N49" i="57"/>
  <c r="K33" i="59"/>
  <c r="G33" i="59"/>
  <c r="I33" i="59"/>
  <c r="E34" i="59"/>
  <c r="D35" i="59"/>
  <c r="A526" i="11"/>
  <c r="B527" i="11"/>
  <c r="A487" i="11"/>
  <c r="B488" i="11"/>
  <c r="B450" i="11"/>
  <c r="A449" i="11"/>
  <c r="A59" i="11"/>
  <c r="B60" i="11"/>
  <c r="B405" i="11"/>
  <c r="A404" i="11"/>
  <c r="A99" i="11"/>
  <c r="B100" i="11"/>
  <c r="A268" i="11"/>
  <c r="B269" i="11"/>
  <c r="B364" i="11"/>
  <c r="A363" i="11"/>
  <c r="B24" i="11"/>
  <c r="A23" i="11"/>
  <c r="B191" i="11"/>
  <c r="A190" i="11"/>
  <c r="A157" i="11"/>
  <c r="B158" i="11"/>
  <c r="B227" i="11"/>
  <c r="A226" i="11"/>
  <c r="B310" i="11"/>
  <c r="A309" i="11"/>
  <c r="E32" i="55"/>
  <c r="D33" i="54"/>
  <c r="E32" i="54"/>
  <c r="E30" i="53"/>
  <c r="D31" i="53"/>
  <c r="D34" i="51"/>
  <c r="E33" i="51"/>
  <c r="D33" i="50"/>
  <c r="E32" i="50"/>
  <c r="D35" i="48"/>
  <c r="E34" i="48"/>
  <c r="D58" i="66" l="1"/>
  <c r="E57" i="66"/>
  <c r="E56" i="65"/>
  <c r="D57" i="65"/>
  <c r="D58" i="64"/>
  <c r="E57" i="64"/>
  <c r="D59" i="63"/>
  <c r="E58" i="63"/>
  <c r="D57" i="62"/>
  <c r="E56" i="62"/>
  <c r="E54" i="61"/>
  <c r="D55" i="61"/>
  <c r="I34" i="55"/>
  <c r="G34" i="55"/>
  <c r="K34" i="55"/>
  <c r="K33" i="55"/>
  <c r="G33" i="55"/>
  <c r="H33" i="55"/>
  <c r="I33" i="55"/>
  <c r="M49" i="57"/>
  <c r="D36" i="59"/>
  <c r="E35" i="59"/>
  <c r="G34" i="59"/>
  <c r="K34" i="59"/>
  <c r="I34" i="59"/>
  <c r="B529" i="11"/>
  <c r="A527" i="11"/>
  <c r="B159" i="11"/>
  <c r="A158" i="11"/>
  <c r="A405" i="11"/>
  <c r="B406" i="11"/>
  <c r="A191" i="11"/>
  <c r="B192" i="11"/>
  <c r="A364" i="11"/>
  <c r="B365" i="11"/>
  <c r="B451" i="11"/>
  <c r="A450" i="11"/>
  <c r="B61" i="11"/>
  <c r="A60" i="11"/>
  <c r="B311" i="11"/>
  <c r="A310" i="11"/>
  <c r="B270" i="11"/>
  <c r="A269" i="11"/>
  <c r="B489" i="11"/>
  <c r="A488" i="11"/>
  <c r="A24" i="11"/>
  <c r="B25" i="11"/>
  <c r="A227" i="11"/>
  <c r="B228" i="11"/>
  <c r="A100" i="11"/>
  <c r="B101" i="11"/>
  <c r="D34" i="54"/>
  <c r="E33" i="54"/>
  <c r="D32" i="53"/>
  <c r="E31" i="53"/>
  <c r="E34" i="51"/>
  <c r="D35" i="51"/>
  <c r="D34" i="50"/>
  <c r="E33" i="50"/>
  <c r="D36" i="48"/>
  <c r="E35" i="48"/>
  <c r="D59" i="66" l="1"/>
  <c r="E58" i="66"/>
  <c r="D58" i="65"/>
  <c r="E57" i="65"/>
  <c r="D59" i="64"/>
  <c r="E58" i="64"/>
  <c r="D60" i="63"/>
  <c r="E59" i="63"/>
  <c r="D58" i="62"/>
  <c r="E57" i="62"/>
  <c r="D56" i="61"/>
  <c r="E55" i="61"/>
  <c r="D37" i="59"/>
  <c r="E36" i="59"/>
  <c r="A529" i="11"/>
  <c r="B530" i="11"/>
  <c r="A365" i="11"/>
  <c r="B366" i="11"/>
  <c r="B490" i="11"/>
  <c r="A489" i="11"/>
  <c r="A451" i="11"/>
  <c r="B452" i="11"/>
  <c r="B229" i="11"/>
  <c r="A228" i="11"/>
  <c r="B407" i="11"/>
  <c r="A406" i="11"/>
  <c r="B102" i="11"/>
  <c r="A101" i="11"/>
  <c r="B26" i="11"/>
  <c r="A25" i="11"/>
  <c r="A270" i="11"/>
  <c r="B271" i="11"/>
  <c r="A61" i="11"/>
  <c r="B62" i="11"/>
  <c r="A192" i="11"/>
  <c r="B193" i="11"/>
  <c r="A311" i="11"/>
  <c r="B312" i="11"/>
  <c r="B160" i="11"/>
  <c r="A159" i="11"/>
  <c r="D35" i="55"/>
  <c r="E34" i="54"/>
  <c r="D35" i="54"/>
  <c r="D33" i="53"/>
  <c r="E32" i="53"/>
  <c r="D36" i="51"/>
  <c r="E35" i="51"/>
  <c r="E34" i="50"/>
  <c r="D35" i="50"/>
  <c r="D37" i="48"/>
  <c r="E36" i="48"/>
  <c r="D60" i="66" l="1"/>
  <c r="E59" i="66"/>
  <c r="D59" i="65"/>
  <c r="E58" i="65"/>
  <c r="D60" i="64"/>
  <c r="E59" i="64"/>
  <c r="D61" i="63"/>
  <c r="E60" i="63"/>
  <c r="D59" i="62"/>
  <c r="E58" i="62"/>
  <c r="D57" i="61"/>
  <c r="E56" i="61"/>
  <c r="D38" i="59"/>
  <c r="E37" i="59"/>
  <c r="B531" i="11"/>
  <c r="A530" i="11"/>
  <c r="A407" i="11"/>
  <c r="B408" i="11"/>
  <c r="A229" i="11"/>
  <c r="B230" i="11"/>
  <c r="B491" i="11"/>
  <c r="A490" i="11"/>
  <c r="B194" i="11"/>
  <c r="A193" i="11"/>
  <c r="A366" i="11"/>
  <c r="B367" i="11"/>
  <c r="B313" i="11"/>
  <c r="A312" i="11"/>
  <c r="A26" i="11"/>
  <c r="B27" i="11"/>
  <c r="B453" i="11"/>
  <c r="A452" i="11"/>
  <c r="B63" i="11"/>
  <c r="A62" i="11"/>
  <c r="A271" i="11"/>
  <c r="B272" i="11"/>
  <c r="B161" i="11"/>
  <c r="A160" i="11"/>
  <c r="B103" i="11"/>
  <c r="A102" i="11"/>
  <c r="D36" i="55"/>
  <c r="E35" i="55"/>
  <c r="D36" i="54"/>
  <c r="E35" i="54"/>
  <c r="D34" i="53"/>
  <c r="E33" i="53"/>
  <c r="D37" i="51"/>
  <c r="E36" i="51"/>
  <c r="D36" i="50"/>
  <c r="E35" i="50"/>
  <c r="D38" i="48"/>
  <c r="E37" i="48"/>
  <c r="E60" i="66" l="1"/>
  <c r="D61" i="66"/>
  <c r="D60" i="65"/>
  <c r="E59" i="65"/>
  <c r="D61" i="64"/>
  <c r="E60" i="64"/>
  <c r="J55" i="63"/>
  <c r="J56" i="63"/>
  <c r="J53" i="63"/>
  <c r="K60" i="63"/>
  <c r="I60" i="63"/>
  <c r="G60" i="63"/>
  <c r="D62" i="63"/>
  <c r="E61" i="63"/>
  <c r="D60" i="62"/>
  <c r="E59" i="62"/>
  <c r="E57" i="61"/>
  <c r="D58" i="61"/>
  <c r="D39" i="59"/>
  <c r="E38" i="59"/>
  <c r="A531" i="11"/>
  <c r="B532" i="11"/>
  <c r="B162" i="11"/>
  <c r="A161" i="11"/>
  <c r="A313" i="11"/>
  <c r="B314" i="11"/>
  <c r="A491" i="11"/>
  <c r="B492" i="11"/>
  <c r="A272" i="11"/>
  <c r="B273" i="11"/>
  <c r="B368" i="11"/>
  <c r="A367" i="11"/>
  <c r="B231" i="11"/>
  <c r="A230" i="11"/>
  <c r="A453" i="11"/>
  <c r="B454" i="11"/>
  <c r="B28" i="11"/>
  <c r="A27" i="11"/>
  <c r="B409" i="11"/>
  <c r="A408" i="11"/>
  <c r="A103" i="11"/>
  <c r="B104" i="11"/>
  <c r="A194" i="11"/>
  <c r="B195" i="11"/>
  <c r="B64" i="11"/>
  <c r="A63" i="11"/>
  <c r="D37" i="55"/>
  <c r="E36" i="55"/>
  <c r="D37" i="54"/>
  <c r="E36" i="54"/>
  <c r="D35" i="53"/>
  <c r="E34" i="53"/>
  <c r="E37" i="51"/>
  <c r="D38" i="51"/>
  <c r="D37" i="50"/>
  <c r="E36" i="50"/>
  <c r="D39" i="48"/>
  <c r="E38" i="48"/>
  <c r="D62" i="66" l="1"/>
  <c r="E61" i="66"/>
  <c r="K60" i="66"/>
  <c r="G60" i="66"/>
  <c r="J55" i="66"/>
  <c r="J56" i="66"/>
  <c r="J53" i="66"/>
  <c r="I60" i="66"/>
  <c r="D61" i="65"/>
  <c r="E60" i="65"/>
  <c r="J56" i="64"/>
  <c r="J55" i="64"/>
  <c r="K60" i="64"/>
  <c r="G60" i="64"/>
  <c r="I60" i="64"/>
  <c r="J53" i="64"/>
  <c r="D62" i="64"/>
  <c r="E61" i="64"/>
  <c r="K61" i="63"/>
  <c r="I61" i="63"/>
  <c r="G61" i="63"/>
  <c r="D63" i="63"/>
  <c r="E62" i="63"/>
  <c r="D61" i="62"/>
  <c r="E60" i="62"/>
  <c r="D59" i="61"/>
  <c r="E58" i="61"/>
  <c r="E39" i="59"/>
  <c r="D40" i="59"/>
  <c r="B533" i="11"/>
  <c r="A532" i="11"/>
  <c r="B105" i="11"/>
  <c r="A104" i="11"/>
  <c r="B274" i="11"/>
  <c r="A273" i="11"/>
  <c r="A231" i="11"/>
  <c r="B232" i="11"/>
  <c r="A368" i="11"/>
  <c r="B369" i="11"/>
  <c r="A409" i="11"/>
  <c r="B410" i="11"/>
  <c r="A314" i="11"/>
  <c r="B315" i="11"/>
  <c r="A28" i="11"/>
  <c r="B29" i="11"/>
  <c r="B455" i="11"/>
  <c r="A454" i="11"/>
  <c r="B65" i="11"/>
  <c r="A64" i="11"/>
  <c r="A492" i="11"/>
  <c r="B493" i="11"/>
  <c r="B196" i="11"/>
  <c r="A195" i="11"/>
  <c r="A162" i="11"/>
  <c r="B163" i="11"/>
  <c r="D38" i="55"/>
  <c r="E37" i="55"/>
  <c r="E37" i="54"/>
  <c r="D38" i="54"/>
  <c r="D36" i="53"/>
  <c r="E35" i="53"/>
  <c r="D39" i="51"/>
  <c r="E38" i="51"/>
  <c r="D38" i="50"/>
  <c r="E37" i="50"/>
  <c r="D40" i="48"/>
  <c r="E39" i="48"/>
  <c r="K61" i="66" l="1"/>
  <c r="I61" i="66"/>
  <c r="G61" i="66"/>
  <c r="D63" i="66"/>
  <c r="E62" i="66"/>
  <c r="K60" i="65"/>
  <c r="J55" i="65"/>
  <c r="I60" i="65"/>
  <c r="J56" i="65"/>
  <c r="G60" i="65"/>
  <c r="J53" i="65"/>
  <c r="D62" i="65"/>
  <c r="E61" i="65"/>
  <c r="K61" i="64"/>
  <c r="I61" i="64"/>
  <c r="G61" i="64"/>
  <c r="D63" i="64"/>
  <c r="E62" i="64"/>
  <c r="K62" i="63"/>
  <c r="I62" i="63"/>
  <c r="G62" i="63"/>
  <c r="E63" i="63"/>
  <c r="D64" i="63"/>
  <c r="J55" i="62"/>
  <c r="G60" i="62"/>
  <c r="J53" i="62"/>
  <c r="J56" i="62"/>
  <c r="K60" i="62"/>
  <c r="I60" i="62"/>
  <c r="E61" i="62"/>
  <c r="D62" i="62"/>
  <c r="D60" i="61"/>
  <c r="E59" i="61"/>
  <c r="D41" i="59"/>
  <c r="E40" i="59"/>
  <c r="A533" i="11"/>
  <c r="B534" i="11"/>
  <c r="B164" i="11"/>
  <c r="A163" i="11"/>
  <c r="B233" i="11"/>
  <c r="A232" i="11"/>
  <c r="A196" i="11"/>
  <c r="B197" i="11"/>
  <c r="B275" i="11"/>
  <c r="A274" i="11"/>
  <c r="B494" i="11"/>
  <c r="A493" i="11"/>
  <c r="B30" i="11"/>
  <c r="A29" i="11"/>
  <c r="B370" i="11"/>
  <c r="A369" i="11"/>
  <c r="A105" i="11"/>
  <c r="B106" i="11"/>
  <c r="B66" i="11"/>
  <c r="A65" i="11"/>
  <c r="B411" i="11"/>
  <c r="A410" i="11"/>
  <c r="A455" i="11"/>
  <c r="B456" i="11"/>
  <c r="B316" i="11"/>
  <c r="A315" i="11"/>
  <c r="D39" i="55"/>
  <c r="E38" i="55"/>
  <c r="D39" i="54"/>
  <c r="E38" i="54"/>
  <c r="D37" i="53"/>
  <c r="E36" i="53"/>
  <c r="D40" i="51"/>
  <c r="E39" i="51"/>
  <c r="D39" i="50"/>
  <c r="E38" i="50"/>
  <c r="D41" i="48"/>
  <c r="E40" i="48"/>
  <c r="E63" i="66" l="1"/>
  <c r="D64" i="66"/>
  <c r="I62" i="66"/>
  <c r="K62" i="66"/>
  <c r="G62" i="66"/>
  <c r="K61" i="65"/>
  <c r="I61" i="65"/>
  <c r="G61" i="65"/>
  <c r="D63" i="65"/>
  <c r="E62" i="65"/>
  <c r="K62" i="64"/>
  <c r="I62" i="64"/>
  <c r="G62" i="64"/>
  <c r="E63" i="64"/>
  <c r="D64" i="64"/>
  <c r="D65" i="63"/>
  <c r="E64" i="63"/>
  <c r="K63" i="63"/>
  <c r="I63" i="63"/>
  <c r="G63" i="63"/>
  <c r="D63" i="62"/>
  <c r="E62" i="62"/>
  <c r="K61" i="62"/>
  <c r="I61" i="62"/>
  <c r="G61" i="62"/>
  <c r="D61" i="61"/>
  <c r="E60" i="61"/>
  <c r="D42" i="59"/>
  <c r="E41" i="59"/>
  <c r="A534" i="11"/>
  <c r="B535" i="11"/>
  <c r="A535" i="11" s="1"/>
  <c r="A494" i="11"/>
  <c r="B495" i="11"/>
  <c r="B67" i="11"/>
  <c r="A66" i="11"/>
  <c r="A411" i="11"/>
  <c r="B412" i="11"/>
  <c r="A316" i="11"/>
  <c r="B317" i="11"/>
  <c r="A370" i="11"/>
  <c r="B371" i="11"/>
  <c r="B234" i="11"/>
  <c r="A233" i="11"/>
  <c r="A275" i="11"/>
  <c r="B276" i="11"/>
  <c r="A106" i="11"/>
  <c r="B107" i="11"/>
  <c r="B198" i="11"/>
  <c r="A197" i="11"/>
  <c r="B457" i="11"/>
  <c r="A456" i="11"/>
  <c r="A30" i="11"/>
  <c r="B31" i="11"/>
  <c r="A164" i="11"/>
  <c r="B165" i="11"/>
  <c r="D40" i="55"/>
  <c r="E39" i="55"/>
  <c r="D40" i="54"/>
  <c r="E39" i="54"/>
  <c r="D38" i="53"/>
  <c r="E37" i="53"/>
  <c r="E40" i="51"/>
  <c r="D41" i="51"/>
  <c r="D40" i="50"/>
  <c r="E39" i="50"/>
  <c r="D42" i="48"/>
  <c r="E41" i="48"/>
  <c r="D65" i="66" l="1"/>
  <c r="E64" i="66"/>
  <c r="I63" i="66"/>
  <c r="G63" i="66"/>
  <c r="K63" i="66"/>
  <c r="K62" i="65"/>
  <c r="I62" i="65"/>
  <c r="G62" i="65"/>
  <c r="D64" i="65"/>
  <c r="E63" i="65"/>
  <c r="D65" i="64"/>
  <c r="E64" i="64"/>
  <c r="G63" i="64"/>
  <c r="I63" i="64"/>
  <c r="K63" i="64"/>
  <c r="K64" i="63"/>
  <c r="I64" i="63"/>
  <c r="G64" i="63"/>
  <c r="D66" i="63"/>
  <c r="E65" i="63"/>
  <c r="K62" i="62"/>
  <c r="I62" i="62"/>
  <c r="G62" i="62"/>
  <c r="E63" i="62"/>
  <c r="D64" i="62"/>
  <c r="J55" i="61"/>
  <c r="K60" i="61"/>
  <c r="I60" i="61"/>
  <c r="G60" i="61"/>
  <c r="J53" i="61"/>
  <c r="J56" i="61"/>
  <c r="D62" i="61"/>
  <c r="E61" i="61"/>
  <c r="D43" i="59"/>
  <c r="E42" i="59"/>
  <c r="B458" i="11"/>
  <c r="A457" i="11"/>
  <c r="B413" i="11"/>
  <c r="A412" i="11"/>
  <c r="B166" i="11"/>
  <c r="A165" i="11"/>
  <c r="B108" i="11"/>
  <c r="A107" i="11"/>
  <c r="B68" i="11"/>
  <c r="A67" i="11"/>
  <c r="A234" i="11"/>
  <c r="B235" i="11"/>
  <c r="A371" i="11"/>
  <c r="B372" i="11"/>
  <c r="B32" i="11"/>
  <c r="A31" i="11"/>
  <c r="B277" i="11"/>
  <c r="A276" i="11"/>
  <c r="A495" i="11"/>
  <c r="B496" i="11"/>
  <c r="B318" i="11"/>
  <c r="A317" i="11"/>
  <c r="A198" i="11"/>
  <c r="B199" i="11"/>
  <c r="D41" i="55"/>
  <c r="E40" i="55"/>
  <c r="E40" i="54"/>
  <c r="D41" i="54"/>
  <c r="D39" i="53"/>
  <c r="E38" i="53"/>
  <c r="D42" i="51"/>
  <c r="E41" i="51"/>
  <c r="D41" i="50"/>
  <c r="E40" i="50"/>
  <c r="D43" i="48"/>
  <c r="E42" i="48"/>
  <c r="G64" i="66" l="1"/>
  <c r="K64" i="66"/>
  <c r="I64" i="66"/>
  <c r="D66" i="66"/>
  <c r="E65" i="66"/>
  <c r="G63" i="65"/>
  <c r="I63" i="65"/>
  <c r="K63" i="65"/>
  <c r="D65" i="65"/>
  <c r="E64" i="65"/>
  <c r="K64" i="64"/>
  <c r="I64" i="64"/>
  <c r="G64" i="64"/>
  <c r="D66" i="64"/>
  <c r="E65" i="64"/>
  <c r="I65" i="63"/>
  <c r="K65" i="63"/>
  <c r="G65" i="63"/>
  <c r="D67" i="63"/>
  <c r="E66" i="63"/>
  <c r="D65" i="62"/>
  <c r="E64" i="62"/>
  <c r="G63" i="62"/>
  <c r="K63" i="62"/>
  <c r="I63" i="62"/>
  <c r="I61" i="61"/>
  <c r="G61" i="61"/>
  <c r="K61" i="61"/>
  <c r="D63" i="61"/>
  <c r="E62" i="61"/>
  <c r="D44" i="59"/>
  <c r="E43" i="59"/>
  <c r="A166" i="11"/>
  <c r="B167" i="11"/>
  <c r="A235" i="11"/>
  <c r="B236" i="11"/>
  <c r="A277" i="11"/>
  <c r="B278" i="11"/>
  <c r="B33" i="11"/>
  <c r="A32" i="11"/>
  <c r="B414" i="11"/>
  <c r="A413" i="11"/>
  <c r="A318" i="11"/>
  <c r="B319" i="11"/>
  <c r="B497" i="11"/>
  <c r="A496" i="11"/>
  <c r="A372" i="11"/>
  <c r="B373" i="11"/>
  <c r="B200" i="11"/>
  <c r="A199" i="11"/>
  <c r="A68" i="11"/>
  <c r="B69" i="11"/>
  <c r="A108" i="11"/>
  <c r="B109" i="11"/>
  <c r="A458" i="11"/>
  <c r="B459" i="11"/>
  <c r="D42" i="55"/>
  <c r="E41" i="55"/>
  <c r="D42" i="54"/>
  <c r="E41" i="54"/>
  <c r="D40" i="53"/>
  <c r="E39" i="53"/>
  <c r="D43" i="51"/>
  <c r="E42" i="51"/>
  <c r="D42" i="50"/>
  <c r="E41" i="50"/>
  <c r="D44" i="48"/>
  <c r="E43" i="48"/>
  <c r="D67" i="66" l="1"/>
  <c r="E66" i="66"/>
  <c r="K65" i="66"/>
  <c r="I65" i="66"/>
  <c r="G65" i="66"/>
  <c r="E65" i="65"/>
  <c r="D66" i="65"/>
  <c r="I64" i="65"/>
  <c r="G64" i="65"/>
  <c r="K64" i="65"/>
  <c r="G65" i="64"/>
  <c r="K65" i="64"/>
  <c r="I65" i="64"/>
  <c r="D67" i="64"/>
  <c r="E66" i="64"/>
  <c r="I66" i="63"/>
  <c r="K66" i="63"/>
  <c r="G66" i="63"/>
  <c r="E67" i="63"/>
  <c r="D71" i="63"/>
  <c r="K64" i="62"/>
  <c r="I64" i="62"/>
  <c r="G64" i="62"/>
  <c r="D66" i="62"/>
  <c r="E65" i="62"/>
  <c r="G62" i="61"/>
  <c r="K62" i="61"/>
  <c r="I62" i="61"/>
  <c r="D64" i="61"/>
  <c r="E63" i="61"/>
  <c r="E44" i="59"/>
  <c r="D45" i="59"/>
  <c r="B34" i="11"/>
  <c r="A33" i="11"/>
  <c r="A459" i="11"/>
  <c r="B460" i="11"/>
  <c r="B320" i="11"/>
  <c r="A319" i="11"/>
  <c r="A236" i="11"/>
  <c r="B237" i="11"/>
  <c r="B70" i="11"/>
  <c r="A69" i="11"/>
  <c r="A109" i="11"/>
  <c r="B110" i="11"/>
  <c r="B168" i="11"/>
  <c r="A167" i="11"/>
  <c r="B201" i="11"/>
  <c r="A200" i="11"/>
  <c r="A373" i="11"/>
  <c r="B374" i="11"/>
  <c r="B279" i="11"/>
  <c r="A278" i="11"/>
  <c r="B498" i="11"/>
  <c r="A497" i="11"/>
  <c r="A414" i="11"/>
  <c r="B415" i="11"/>
  <c r="D43" i="55"/>
  <c r="E42" i="55"/>
  <c r="D43" i="54"/>
  <c r="E42" i="54"/>
  <c r="D41" i="53"/>
  <c r="E40" i="53"/>
  <c r="D44" i="51"/>
  <c r="E43" i="51"/>
  <c r="D43" i="50"/>
  <c r="E42" i="50"/>
  <c r="D45" i="48"/>
  <c r="E44" i="48"/>
  <c r="K66" i="66" l="1"/>
  <c r="I66" i="66"/>
  <c r="G66" i="66"/>
  <c r="E67" i="66"/>
  <c r="D71" i="66"/>
  <c r="D67" i="65"/>
  <c r="E66" i="65"/>
  <c r="K65" i="65"/>
  <c r="I65" i="65"/>
  <c r="G65" i="65"/>
  <c r="I66" i="64"/>
  <c r="K66" i="64"/>
  <c r="G66" i="64"/>
  <c r="E67" i="64"/>
  <c r="D71" i="64"/>
  <c r="D72" i="63"/>
  <c r="E71" i="63"/>
  <c r="G65" i="62"/>
  <c r="I65" i="62"/>
  <c r="K65" i="62"/>
  <c r="D67" i="62"/>
  <c r="E66" i="62"/>
  <c r="G63" i="61"/>
  <c r="K63" i="61"/>
  <c r="I63" i="61"/>
  <c r="D65" i="61"/>
  <c r="D66" i="61" s="1"/>
  <c r="E66" i="61" s="1"/>
  <c r="E64" i="61"/>
  <c r="E45" i="59"/>
  <c r="D46" i="59"/>
  <c r="J39" i="59"/>
  <c r="I44" i="59"/>
  <c r="K44" i="59"/>
  <c r="J40" i="59"/>
  <c r="G44" i="59"/>
  <c r="J37" i="59"/>
  <c r="B238" i="11"/>
  <c r="A237" i="11"/>
  <c r="A320" i="11"/>
  <c r="B321" i="11"/>
  <c r="B111" i="11"/>
  <c r="A110" i="11"/>
  <c r="A498" i="11"/>
  <c r="B499" i="11"/>
  <c r="A70" i="11"/>
  <c r="B71" i="11"/>
  <c r="B416" i="11"/>
  <c r="A415" i="11"/>
  <c r="B169" i="11"/>
  <c r="A169" i="11" s="1"/>
  <c r="A168" i="11"/>
  <c r="A279" i="11"/>
  <c r="B280" i="11"/>
  <c r="A34" i="11"/>
  <c r="B35" i="11"/>
  <c r="A201" i="11"/>
  <c r="B202" i="11"/>
  <c r="B461" i="11"/>
  <c r="A460" i="11"/>
  <c r="B375" i="11"/>
  <c r="A374" i="11"/>
  <c r="D44" i="55"/>
  <c r="E43" i="55"/>
  <c r="D44" i="54"/>
  <c r="E43" i="54"/>
  <c r="D42" i="53"/>
  <c r="E41" i="53"/>
  <c r="D45" i="51"/>
  <c r="E44" i="51"/>
  <c r="D44" i="50"/>
  <c r="E43" i="50"/>
  <c r="D46" i="48"/>
  <c r="E45" i="48"/>
  <c r="D72" i="66" l="1"/>
  <c r="E71" i="66"/>
  <c r="K66" i="65"/>
  <c r="G66" i="65"/>
  <c r="I66" i="65"/>
  <c r="D71" i="65"/>
  <c r="E67" i="65"/>
  <c r="D72" i="64"/>
  <c r="E71" i="64"/>
  <c r="D73" i="63"/>
  <c r="E72" i="63"/>
  <c r="K66" i="62"/>
  <c r="I66" i="62"/>
  <c r="G66" i="62"/>
  <c r="E67" i="62"/>
  <c r="D71" i="62"/>
  <c r="G66" i="61"/>
  <c r="I66" i="61"/>
  <c r="K66" i="61"/>
  <c r="K64" i="61"/>
  <c r="I64" i="61"/>
  <c r="G64" i="61"/>
  <c r="E65" i="61"/>
  <c r="D47" i="59"/>
  <c r="E46" i="59"/>
  <c r="K45" i="59"/>
  <c r="I45" i="59"/>
  <c r="G45" i="59"/>
  <c r="B376" i="11"/>
  <c r="A375" i="11"/>
  <c r="B322" i="11"/>
  <c r="A321" i="11"/>
  <c r="B462" i="11"/>
  <c r="A461" i="11"/>
  <c r="B203" i="11"/>
  <c r="A202" i="11"/>
  <c r="B36" i="11"/>
  <c r="A36" i="11" s="1"/>
  <c r="A35" i="11"/>
  <c r="B112" i="11"/>
  <c r="A111" i="11"/>
  <c r="B281" i="11"/>
  <c r="A280" i="11"/>
  <c r="A238" i="11"/>
  <c r="B239" i="11"/>
  <c r="A416" i="11"/>
  <c r="B417" i="11"/>
  <c r="B72" i="11"/>
  <c r="A71" i="11"/>
  <c r="B500" i="11"/>
  <c r="A499" i="11"/>
  <c r="D45" i="55"/>
  <c r="E44" i="55"/>
  <c r="E44" i="54"/>
  <c r="D45" i="54"/>
  <c r="E42" i="53"/>
  <c r="D43" i="53"/>
  <c r="D46" i="51"/>
  <c r="E45" i="51"/>
  <c r="D45" i="50"/>
  <c r="E44" i="50"/>
  <c r="D47" i="48"/>
  <c r="E46" i="48"/>
  <c r="D73" i="66" l="1"/>
  <c r="E72" i="66"/>
  <c r="D72" i="65"/>
  <c r="E71" i="65"/>
  <c r="D73" i="64"/>
  <c r="E72" i="64"/>
  <c r="D74" i="63"/>
  <c r="E73" i="63"/>
  <c r="D72" i="62"/>
  <c r="E71" i="62"/>
  <c r="D67" i="61"/>
  <c r="K65" i="61"/>
  <c r="I65" i="61"/>
  <c r="G65" i="61"/>
  <c r="G46" i="59"/>
  <c r="K46" i="59"/>
  <c r="D48" i="59"/>
  <c r="E47" i="59"/>
  <c r="A112" i="11"/>
  <c r="B113" i="11"/>
  <c r="A462" i="11"/>
  <c r="B463" i="11"/>
  <c r="A463" i="11" s="1"/>
  <c r="A203" i="11"/>
  <c r="B204" i="11"/>
  <c r="A204" i="11" s="1"/>
  <c r="A500" i="11"/>
  <c r="B501" i="11"/>
  <c r="A322" i="11"/>
  <c r="B323" i="11"/>
  <c r="B240" i="11"/>
  <c r="A239" i="11"/>
  <c r="A281" i="11"/>
  <c r="B282" i="11"/>
  <c r="B418" i="11"/>
  <c r="A417" i="11"/>
  <c r="A72" i="11"/>
  <c r="B73" i="11"/>
  <c r="B377" i="11"/>
  <c r="A376" i="11"/>
  <c r="D46" i="55"/>
  <c r="E45" i="55"/>
  <c r="D46" i="54"/>
  <c r="E45" i="54"/>
  <c r="D44" i="53"/>
  <c r="E43" i="53"/>
  <c r="D47" i="51"/>
  <c r="E46" i="51"/>
  <c r="D46" i="50"/>
  <c r="E45" i="50"/>
  <c r="E47" i="48"/>
  <c r="D48" i="48"/>
  <c r="D74" i="66" l="1"/>
  <c r="E73" i="66"/>
  <c r="E72" i="65"/>
  <c r="D73" i="65"/>
  <c r="D74" i="64"/>
  <c r="E73" i="64"/>
  <c r="D75" i="63"/>
  <c r="E74" i="63"/>
  <c r="D73" i="62"/>
  <c r="E72" i="62"/>
  <c r="D71" i="61"/>
  <c r="E67" i="61"/>
  <c r="K47" i="59"/>
  <c r="G47" i="59"/>
  <c r="D49" i="59"/>
  <c r="D52" i="59"/>
  <c r="E48" i="59"/>
  <c r="B378" i="11"/>
  <c r="A377" i="11"/>
  <c r="A73" i="11"/>
  <c r="B74" i="11"/>
  <c r="A282" i="11"/>
  <c r="B283" i="11"/>
  <c r="B114" i="11"/>
  <c r="A113" i="11"/>
  <c r="B502" i="11"/>
  <c r="A501" i="11"/>
  <c r="A323" i="11"/>
  <c r="B324" i="11"/>
  <c r="A418" i="11"/>
  <c r="B419" i="11"/>
  <c r="A240" i="11"/>
  <c r="B241" i="11"/>
  <c r="D47" i="55"/>
  <c r="E46" i="55"/>
  <c r="D47" i="54"/>
  <c r="E46" i="54"/>
  <c r="D45" i="53"/>
  <c r="E44" i="53"/>
  <c r="D48" i="51"/>
  <c r="E47" i="51"/>
  <c r="D47" i="50"/>
  <c r="E46" i="50"/>
  <c r="D52" i="48"/>
  <c r="D49" i="48"/>
  <c r="E48" i="48"/>
  <c r="D75" i="66" l="1"/>
  <c r="E74" i="66"/>
  <c r="D74" i="65"/>
  <c r="E73" i="65"/>
  <c r="D75" i="64"/>
  <c r="E74" i="64"/>
  <c r="E75" i="63"/>
  <c r="D76" i="63"/>
  <c r="D74" i="62"/>
  <c r="E73" i="62"/>
  <c r="D72" i="61"/>
  <c r="E71" i="61"/>
  <c r="K48" i="59"/>
  <c r="G48" i="59"/>
  <c r="D53" i="59"/>
  <c r="E52" i="59"/>
  <c r="D50" i="59"/>
  <c r="E49" i="59"/>
  <c r="B325" i="11"/>
  <c r="A324" i="11"/>
  <c r="A74" i="11"/>
  <c r="B75" i="11"/>
  <c r="B242" i="11"/>
  <c r="A241" i="11"/>
  <c r="A502" i="11"/>
  <c r="B503" i="11"/>
  <c r="A283" i="11"/>
  <c r="B284" i="11"/>
  <c r="A419" i="11"/>
  <c r="B420" i="11"/>
  <c r="A114" i="11"/>
  <c r="B115" i="11"/>
  <c r="B379" i="11"/>
  <c r="A379" i="11" s="1"/>
  <c r="A378" i="11"/>
  <c r="D48" i="55"/>
  <c r="E47" i="55"/>
  <c r="D48" i="54"/>
  <c r="E47" i="54"/>
  <c r="D46" i="53"/>
  <c r="E45" i="53"/>
  <c r="D52" i="51"/>
  <c r="D49" i="51"/>
  <c r="E48" i="51"/>
  <c r="E47" i="50"/>
  <c r="D48" i="50"/>
  <c r="D50" i="48"/>
  <c r="E50" i="48" s="1"/>
  <c r="E49" i="48"/>
  <c r="D53" i="48"/>
  <c r="E52" i="48"/>
  <c r="D76" i="66" l="1"/>
  <c r="E75" i="66"/>
  <c r="D75" i="65"/>
  <c r="E74" i="65"/>
  <c r="E75" i="64"/>
  <c r="D76" i="64"/>
  <c r="E76" i="63"/>
  <c r="D77" i="63"/>
  <c r="D75" i="62"/>
  <c r="E74" i="62"/>
  <c r="D73" i="61"/>
  <c r="E72" i="61"/>
  <c r="E50" i="59"/>
  <c r="G50" i="59" s="1"/>
  <c r="D51" i="59"/>
  <c r="E51" i="59" s="1"/>
  <c r="K49" i="59"/>
  <c r="G49" i="59"/>
  <c r="E53" i="59"/>
  <c r="D54" i="59"/>
  <c r="A75" i="11"/>
  <c r="B76" i="11"/>
  <c r="A284" i="11"/>
  <c r="B285" i="11"/>
  <c r="B504" i="11"/>
  <c r="A503" i="11"/>
  <c r="A242" i="11"/>
  <c r="B243" i="11"/>
  <c r="B116" i="11"/>
  <c r="A115" i="11"/>
  <c r="B421" i="11"/>
  <c r="A420" i="11"/>
  <c r="A325" i="11"/>
  <c r="B326" i="11"/>
  <c r="D52" i="55"/>
  <c r="D49" i="55"/>
  <c r="E48" i="55"/>
  <c r="D52" i="54"/>
  <c r="D49" i="54"/>
  <c r="E48" i="54"/>
  <c r="D47" i="53"/>
  <c r="E46" i="53"/>
  <c r="D50" i="51"/>
  <c r="E50" i="51" s="1"/>
  <c r="E49" i="51"/>
  <c r="D53" i="51"/>
  <c r="E52" i="51"/>
  <c r="D52" i="50"/>
  <c r="D49" i="50"/>
  <c r="E48" i="50"/>
  <c r="D54" i="48"/>
  <c r="E53" i="48"/>
  <c r="E76" i="66" l="1"/>
  <c r="D77" i="66"/>
  <c r="D76" i="65"/>
  <c r="E75" i="65"/>
  <c r="D77" i="64"/>
  <c r="E76" i="64"/>
  <c r="D78" i="63"/>
  <c r="E77" i="63"/>
  <c r="D76" i="62"/>
  <c r="E75" i="62"/>
  <c r="D74" i="61"/>
  <c r="E73" i="61"/>
  <c r="K50" i="59"/>
  <c r="K51" i="59"/>
  <c r="G51" i="59"/>
  <c r="H51" i="59"/>
  <c r="D55" i="59"/>
  <c r="E54" i="59"/>
  <c r="B286" i="11"/>
  <c r="A285" i="11"/>
  <c r="A504" i="11"/>
  <c r="B505" i="11"/>
  <c r="B327" i="11"/>
  <c r="A326" i="11"/>
  <c r="A421" i="11"/>
  <c r="B422" i="11"/>
  <c r="B77" i="11"/>
  <c r="A76" i="11"/>
  <c r="A243" i="11"/>
  <c r="B244" i="11"/>
  <c r="A116" i="11"/>
  <c r="B117" i="11"/>
  <c r="D50" i="55"/>
  <c r="E50" i="55" s="1"/>
  <c r="E49" i="55"/>
  <c r="D53" i="55"/>
  <c r="E52" i="55"/>
  <c r="D50" i="54"/>
  <c r="E50" i="54" s="1"/>
  <c r="E49" i="54"/>
  <c r="D53" i="54"/>
  <c r="E52" i="54"/>
  <c r="E47" i="53"/>
  <c r="D48" i="53"/>
  <c r="D54" i="51"/>
  <c r="E53" i="51"/>
  <c r="E49" i="50"/>
  <c r="D50" i="50"/>
  <c r="E50" i="50" s="1"/>
  <c r="D53" i="50"/>
  <c r="E52" i="50"/>
  <c r="D55" i="48"/>
  <c r="E54" i="48"/>
  <c r="E77" i="66" l="1"/>
  <c r="D78" i="66"/>
  <c r="D77" i="65"/>
  <c r="E76" i="65"/>
  <c r="D78" i="64"/>
  <c r="E77" i="64"/>
  <c r="E78" i="63"/>
  <c r="D79" i="63"/>
  <c r="D77" i="62"/>
  <c r="E76" i="62"/>
  <c r="D75" i="61"/>
  <c r="E74" i="61"/>
  <c r="D56" i="59"/>
  <c r="E55" i="59"/>
  <c r="A244" i="11"/>
  <c r="B245" i="11"/>
  <c r="A77" i="11"/>
  <c r="B78" i="11"/>
  <c r="A78" i="11" s="1"/>
  <c r="A422" i="11"/>
  <c r="B423" i="11"/>
  <c r="B328" i="11"/>
  <c r="A327" i="11"/>
  <c r="B506" i="11"/>
  <c r="A506" i="11" s="1"/>
  <c r="A505" i="11"/>
  <c r="B118" i="11"/>
  <c r="A117" i="11"/>
  <c r="A286" i="11"/>
  <c r="B287" i="11"/>
  <c r="D54" i="55"/>
  <c r="E53" i="55"/>
  <c r="D54" i="54"/>
  <c r="E53" i="54"/>
  <c r="D49" i="53"/>
  <c r="D52" i="53"/>
  <c r="E48" i="53"/>
  <c r="D55" i="51"/>
  <c r="E54" i="51"/>
  <c r="D54" i="50"/>
  <c r="E53" i="50"/>
  <c r="D56" i="48"/>
  <c r="E55" i="48"/>
  <c r="D79" i="66" l="1"/>
  <c r="E78" i="66"/>
  <c r="D78" i="65"/>
  <c r="E77" i="65"/>
  <c r="D79" i="64"/>
  <c r="E78" i="64"/>
  <c r="D80" i="63"/>
  <c r="E79" i="63"/>
  <c r="K78" i="63"/>
  <c r="I78" i="63"/>
  <c r="G78" i="63"/>
  <c r="J71" i="63"/>
  <c r="J74" i="63"/>
  <c r="J73" i="63"/>
  <c r="D78" i="62"/>
  <c r="E77" i="62"/>
  <c r="E75" i="61"/>
  <c r="D76" i="61"/>
  <c r="D57" i="59"/>
  <c r="E56" i="59"/>
  <c r="B288" i="11"/>
  <c r="A288" i="11" s="1"/>
  <c r="A287" i="11"/>
  <c r="A328" i="11"/>
  <c r="B329" i="11"/>
  <c r="A423" i="11"/>
  <c r="B424" i="11"/>
  <c r="A118" i="11"/>
  <c r="B119" i="11"/>
  <c r="A245" i="11"/>
  <c r="B246" i="11"/>
  <c r="A246" i="11" s="1"/>
  <c r="D55" i="55"/>
  <c r="E54" i="55"/>
  <c r="D55" i="54"/>
  <c r="E54" i="54"/>
  <c r="E49" i="53"/>
  <c r="D50" i="53"/>
  <c r="E50" i="53" s="1"/>
  <c r="D53" i="53"/>
  <c r="E52" i="53"/>
  <c r="D56" i="51"/>
  <c r="E55" i="51"/>
  <c r="D55" i="50"/>
  <c r="E54" i="50"/>
  <c r="D57" i="48"/>
  <c r="E56" i="48"/>
  <c r="K78" i="66" l="1"/>
  <c r="I78" i="66"/>
  <c r="G78" i="66"/>
  <c r="J71" i="66"/>
  <c r="J74" i="66"/>
  <c r="J73" i="66"/>
  <c r="D80" i="66"/>
  <c r="E79" i="66"/>
  <c r="D79" i="65"/>
  <c r="E78" i="65"/>
  <c r="K78" i="64"/>
  <c r="I78" i="64"/>
  <c r="G78" i="64"/>
  <c r="J71" i="64"/>
  <c r="J74" i="64"/>
  <c r="J73" i="64"/>
  <c r="D80" i="64"/>
  <c r="E79" i="64"/>
  <c r="K79" i="63"/>
  <c r="I79" i="63"/>
  <c r="G79" i="63"/>
  <c r="E80" i="63"/>
  <c r="D81" i="63"/>
  <c r="E78" i="62"/>
  <c r="D79" i="62"/>
  <c r="D77" i="61"/>
  <c r="E76" i="61"/>
  <c r="D58" i="59"/>
  <c r="E57" i="59"/>
  <c r="B330" i="11"/>
  <c r="A329" i="11"/>
  <c r="B120" i="11"/>
  <c r="A119" i="11"/>
  <c r="B425" i="11"/>
  <c r="A424" i="11"/>
  <c r="D56" i="55"/>
  <c r="E55" i="55"/>
  <c r="D56" i="54"/>
  <c r="E55" i="54"/>
  <c r="D54" i="53"/>
  <c r="E53" i="53"/>
  <c r="E56" i="51"/>
  <c r="D57" i="51"/>
  <c r="D56" i="50"/>
  <c r="E55" i="50"/>
  <c r="D58" i="48"/>
  <c r="E57" i="48"/>
  <c r="K79" i="66" l="1"/>
  <c r="I79" i="66"/>
  <c r="G79" i="66"/>
  <c r="E80" i="66"/>
  <c r="D81" i="66"/>
  <c r="K78" i="65"/>
  <c r="J74" i="65"/>
  <c r="I78" i="65"/>
  <c r="G78" i="65"/>
  <c r="J71" i="65"/>
  <c r="J73" i="65"/>
  <c r="D80" i="65"/>
  <c r="E79" i="65"/>
  <c r="K79" i="64"/>
  <c r="I79" i="64"/>
  <c r="G79" i="64"/>
  <c r="E80" i="64"/>
  <c r="D81" i="64"/>
  <c r="D82" i="63"/>
  <c r="E81" i="63"/>
  <c r="I80" i="63"/>
  <c r="G80" i="63"/>
  <c r="K80" i="63"/>
  <c r="D80" i="62"/>
  <c r="E79" i="62"/>
  <c r="K78" i="62"/>
  <c r="I78" i="62"/>
  <c r="G78" i="62"/>
  <c r="J71" i="62"/>
  <c r="J74" i="62"/>
  <c r="J73" i="62"/>
  <c r="E77" i="61"/>
  <c r="D78" i="61"/>
  <c r="D59" i="59"/>
  <c r="E58" i="59"/>
  <c r="B426" i="11"/>
  <c r="A425" i="11"/>
  <c r="B121" i="11"/>
  <c r="A120" i="11"/>
  <c r="A330" i="11"/>
  <c r="B331" i="11"/>
  <c r="D57" i="55"/>
  <c r="E56" i="55"/>
  <c r="D57" i="54"/>
  <c r="E56" i="54"/>
  <c r="D55" i="53"/>
  <c r="E54" i="53"/>
  <c r="D58" i="51"/>
  <c r="E57" i="51"/>
  <c r="D57" i="50"/>
  <c r="E56" i="50"/>
  <c r="D59" i="48"/>
  <c r="E58" i="48"/>
  <c r="E81" i="66" l="1"/>
  <c r="D82" i="66"/>
  <c r="I80" i="66"/>
  <c r="G80" i="66"/>
  <c r="K80" i="66"/>
  <c r="G79" i="65"/>
  <c r="K79" i="65"/>
  <c r="I79" i="65"/>
  <c r="D81" i="65"/>
  <c r="E80" i="65"/>
  <c r="G80" i="64"/>
  <c r="I80" i="64"/>
  <c r="K80" i="64"/>
  <c r="D82" i="64"/>
  <c r="E81" i="64"/>
  <c r="K81" i="63"/>
  <c r="I81" i="63"/>
  <c r="G81" i="63"/>
  <c r="D83" i="63"/>
  <c r="E82" i="63"/>
  <c r="K79" i="62"/>
  <c r="I79" i="62"/>
  <c r="G79" i="62"/>
  <c r="E80" i="62"/>
  <c r="D81" i="62"/>
  <c r="D79" i="61"/>
  <c r="E78" i="61"/>
  <c r="D60" i="59"/>
  <c r="E59" i="59"/>
  <c r="A331" i="11"/>
  <c r="B332" i="11"/>
  <c r="A121" i="11"/>
  <c r="B122" i="11"/>
  <c r="B427" i="11"/>
  <c r="A426" i="11"/>
  <c r="D58" i="55"/>
  <c r="E57" i="55"/>
  <c r="D58" i="54"/>
  <c r="E57" i="54"/>
  <c r="D56" i="53"/>
  <c r="E55" i="53"/>
  <c r="D59" i="51"/>
  <c r="E58" i="51"/>
  <c r="D58" i="50"/>
  <c r="E57" i="50"/>
  <c r="D60" i="48"/>
  <c r="E59" i="48"/>
  <c r="D83" i="66" l="1"/>
  <c r="E82" i="66"/>
  <c r="G81" i="66"/>
  <c r="K81" i="66"/>
  <c r="I81" i="66"/>
  <c r="G80" i="65"/>
  <c r="K80" i="65"/>
  <c r="I80" i="65"/>
  <c r="D82" i="65"/>
  <c r="E81" i="65"/>
  <c r="K81" i="64"/>
  <c r="I81" i="64"/>
  <c r="G81" i="64"/>
  <c r="D83" i="64"/>
  <c r="E82" i="64"/>
  <c r="I82" i="63"/>
  <c r="K82" i="63"/>
  <c r="G82" i="63"/>
  <c r="D87" i="63"/>
  <c r="E83" i="63"/>
  <c r="D84" i="63"/>
  <c r="E84" i="63" s="1"/>
  <c r="D82" i="62"/>
  <c r="E81" i="62"/>
  <c r="G80" i="62"/>
  <c r="K80" i="62"/>
  <c r="I80" i="62"/>
  <c r="I78" i="61"/>
  <c r="G78" i="61"/>
  <c r="J71" i="61"/>
  <c r="J73" i="61"/>
  <c r="J74" i="61"/>
  <c r="K78" i="61"/>
  <c r="D80" i="61"/>
  <c r="E79" i="61"/>
  <c r="E60" i="59"/>
  <c r="D61" i="59"/>
  <c r="A427" i="11"/>
  <c r="B428" i="11"/>
  <c r="A428" i="11" s="1"/>
  <c r="B123" i="11"/>
  <c r="A122" i="11"/>
  <c r="B333" i="11"/>
  <c r="A332" i="11"/>
  <c r="D59" i="55"/>
  <c r="E58" i="55"/>
  <c r="D59" i="54"/>
  <c r="E58" i="54"/>
  <c r="D57" i="53"/>
  <c r="E56" i="53"/>
  <c r="D60" i="51"/>
  <c r="E59" i="51"/>
  <c r="D59" i="50"/>
  <c r="E58" i="50"/>
  <c r="D61" i="48"/>
  <c r="E60" i="48"/>
  <c r="G82" i="66" l="1"/>
  <c r="K82" i="66"/>
  <c r="I82" i="66"/>
  <c r="D87" i="66"/>
  <c r="D84" i="66"/>
  <c r="E84" i="66" s="1"/>
  <c r="E83" i="66"/>
  <c r="I81" i="65"/>
  <c r="G81" i="65"/>
  <c r="K81" i="65"/>
  <c r="E82" i="65"/>
  <c r="D83" i="65"/>
  <c r="G82" i="64"/>
  <c r="K82" i="64"/>
  <c r="I82" i="64"/>
  <c r="D84" i="64"/>
  <c r="E84" i="64" s="1"/>
  <c r="D87" i="64"/>
  <c r="E83" i="64"/>
  <c r="K84" i="63"/>
  <c r="G84" i="63"/>
  <c r="I84" i="63"/>
  <c r="K83" i="63"/>
  <c r="I83" i="63"/>
  <c r="G83" i="63"/>
  <c r="E87" i="63"/>
  <c r="D88" i="63"/>
  <c r="K81" i="62"/>
  <c r="I81" i="62"/>
  <c r="G81" i="62"/>
  <c r="E82" i="62"/>
  <c r="D83" i="62"/>
  <c r="G79" i="61"/>
  <c r="K79" i="61"/>
  <c r="I79" i="61"/>
  <c r="D81" i="61"/>
  <c r="E80" i="61"/>
  <c r="E61" i="59"/>
  <c r="D62" i="59"/>
  <c r="J55" i="59"/>
  <c r="I60" i="59"/>
  <c r="K60" i="59"/>
  <c r="G60" i="59"/>
  <c r="J53" i="59"/>
  <c r="J56" i="59"/>
  <c r="B334" i="11"/>
  <c r="A333" i="11"/>
  <c r="A123" i="11"/>
  <c r="B124" i="11"/>
  <c r="D60" i="55"/>
  <c r="E59" i="55"/>
  <c r="D60" i="54"/>
  <c r="E59" i="54"/>
  <c r="D58" i="53"/>
  <c r="E57" i="53"/>
  <c r="E60" i="51"/>
  <c r="D61" i="51"/>
  <c r="D60" i="50"/>
  <c r="E59" i="50"/>
  <c r="E61" i="48"/>
  <c r="D62" i="48"/>
  <c r="K83" i="66" l="1"/>
  <c r="I83" i="66"/>
  <c r="G83" i="66"/>
  <c r="I84" i="66"/>
  <c r="K84" i="66"/>
  <c r="G84" i="66"/>
  <c r="D88" i="66"/>
  <c r="E87" i="66"/>
  <c r="K82" i="65"/>
  <c r="I82" i="65"/>
  <c r="G82" i="65"/>
  <c r="D87" i="65"/>
  <c r="D84" i="65"/>
  <c r="E84" i="65" s="1"/>
  <c r="E83" i="65"/>
  <c r="I83" i="64"/>
  <c r="K83" i="64"/>
  <c r="G83" i="64"/>
  <c r="D88" i="64"/>
  <c r="E87" i="64"/>
  <c r="I84" i="64"/>
  <c r="K84" i="64"/>
  <c r="G84" i="64"/>
  <c r="D89" i="63"/>
  <c r="E88" i="63"/>
  <c r="D87" i="62"/>
  <c r="E83" i="62"/>
  <c r="D84" i="62"/>
  <c r="E84" i="62" s="1"/>
  <c r="G82" i="62"/>
  <c r="I82" i="62"/>
  <c r="K82" i="62"/>
  <c r="G80" i="61"/>
  <c r="K80" i="61"/>
  <c r="I80" i="61"/>
  <c r="D82" i="61"/>
  <c r="E81" i="61"/>
  <c r="D63" i="59"/>
  <c r="E62" i="59"/>
  <c r="K61" i="59"/>
  <c r="I61" i="59"/>
  <c r="G61" i="59"/>
  <c r="B125" i="11"/>
  <c r="A124" i="11"/>
  <c r="B335" i="11"/>
  <c r="A334" i="11"/>
  <c r="D61" i="55"/>
  <c r="E60" i="55"/>
  <c r="D61" i="54"/>
  <c r="E60" i="54"/>
  <c r="D59" i="53"/>
  <c r="E58" i="53"/>
  <c r="D62" i="51"/>
  <c r="E61" i="51"/>
  <c r="D61" i="50"/>
  <c r="E60" i="50"/>
  <c r="D63" i="48"/>
  <c r="E62" i="48"/>
  <c r="D89" i="66" l="1"/>
  <c r="E88" i="66"/>
  <c r="K83" i="65"/>
  <c r="I83" i="65"/>
  <c r="G83" i="65"/>
  <c r="K84" i="65"/>
  <c r="I84" i="65"/>
  <c r="G84" i="65"/>
  <c r="D88" i="65"/>
  <c r="E87" i="65"/>
  <c r="D89" i="64"/>
  <c r="E88" i="64"/>
  <c r="D90" i="63"/>
  <c r="E89" i="63"/>
  <c r="K84" i="62"/>
  <c r="I84" i="62"/>
  <c r="G84" i="62"/>
  <c r="K83" i="62"/>
  <c r="I83" i="62"/>
  <c r="G83" i="62"/>
  <c r="D88" i="62"/>
  <c r="E87" i="62"/>
  <c r="K81" i="61"/>
  <c r="I81" i="61"/>
  <c r="G81" i="61"/>
  <c r="E82" i="61"/>
  <c r="K62" i="59"/>
  <c r="I62" i="59"/>
  <c r="G62" i="59"/>
  <c r="D64" i="59"/>
  <c r="E63" i="59"/>
  <c r="B336" i="11"/>
  <c r="A335" i="11"/>
  <c r="A125" i="11"/>
  <c r="B126" i="11"/>
  <c r="D62" i="55"/>
  <c r="E61" i="55"/>
  <c r="D62" i="54"/>
  <c r="E61" i="54"/>
  <c r="D60" i="53"/>
  <c r="E59" i="53"/>
  <c r="D63" i="51"/>
  <c r="E62" i="51"/>
  <c r="D62" i="50"/>
  <c r="E61" i="50"/>
  <c r="D64" i="48"/>
  <c r="E63" i="48"/>
  <c r="E89" i="66" l="1"/>
  <c r="D90" i="66"/>
  <c r="D89" i="65"/>
  <c r="E88" i="65"/>
  <c r="D90" i="64"/>
  <c r="E89" i="64"/>
  <c r="E90" i="63"/>
  <c r="D91" i="63"/>
  <c r="D89" i="62"/>
  <c r="E88" i="62"/>
  <c r="K82" i="61"/>
  <c r="I82" i="61"/>
  <c r="G82" i="61"/>
  <c r="G63" i="59"/>
  <c r="K63" i="59"/>
  <c r="I63" i="59"/>
  <c r="D65" i="59"/>
  <c r="E64" i="59"/>
  <c r="A126" i="11"/>
  <c r="B127" i="11"/>
  <c r="B337" i="11"/>
  <c r="A337" i="11" s="1"/>
  <c r="A336" i="11"/>
  <c r="D63" i="55"/>
  <c r="E62" i="55"/>
  <c r="D63" i="54"/>
  <c r="E62" i="54"/>
  <c r="D61" i="53"/>
  <c r="E60" i="53"/>
  <c r="D64" i="51"/>
  <c r="E63" i="51"/>
  <c r="E62" i="50"/>
  <c r="D63" i="50"/>
  <c r="D65" i="48"/>
  <c r="E64" i="48"/>
  <c r="D91" i="66" l="1"/>
  <c r="E90" i="66"/>
  <c r="D90" i="65"/>
  <c r="E89" i="65"/>
  <c r="E90" i="64"/>
  <c r="D91" i="64"/>
  <c r="E91" i="63"/>
  <c r="D92" i="63"/>
  <c r="D90" i="62"/>
  <c r="E89" i="62"/>
  <c r="I64" i="59"/>
  <c r="K64" i="59"/>
  <c r="G64" i="59"/>
  <c r="D66" i="59"/>
  <c r="E65" i="59"/>
  <c r="A127" i="11"/>
  <c r="B128" i="11"/>
  <c r="D64" i="55"/>
  <c r="E63" i="55"/>
  <c r="E63" i="54"/>
  <c r="D64" i="54"/>
  <c r="D62" i="53"/>
  <c r="E61" i="53"/>
  <c r="D65" i="51"/>
  <c r="E64" i="51"/>
  <c r="E63" i="50"/>
  <c r="D64" i="50"/>
  <c r="D66" i="48"/>
  <c r="E65" i="48"/>
  <c r="E91" i="66" l="1"/>
  <c r="D92" i="66"/>
  <c r="D91" i="65"/>
  <c r="E90" i="65"/>
  <c r="E91" i="64"/>
  <c r="D92" i="64"/>
  <c r="D93" i="63"/>
  <c r="E92" i="63"/>
  <c r="E90" i="62"/>
  <c r="D91" i="62"/>
  <c r="G65" i="59"/>
  <c r="K65" i="59"/>
  <c r="I65" i="59"/>
  <c r="D67" i="59"/>
  <c r="E66" i="59"/>
  <c r="B129" i="11"/>
  <c r="A128" i="11"/>
  <c r="D65" i="55"/>
  <c r="E64" i="55"/>
  <c r="D65" i="54"/>
  <c r="E64" i="54"/>
  <c r="D63" i="53"/>
  <c r="E62" i="53"/>
  <c r="E65" i="51"/>
  <c r="D66" i="51"/>
  <c r="D65" i="50"/>
  <c r="E64" i="50"/>
  <c r="E66" i="48"/>
  <c r="D67" i="48"/>
  <c r="E92" i="66" l="1"/>
  <c r="D93" i="66"/>
  <c r="D92" i="65"/>
  <c r="E91" i="65"/>
  <c r="D93" i="64"/>
  <c r="E92" i="64"/>
  <c r="D94" i="63"/>
  <c r="E93" i="63"/>
  <c r="D92" i="62"/>
  <c r="E91" i="62"/>
  <c r="K66" i="59"/>
  <c r="I66" i="59"/>
  <c r="G66" i="59"/>
  <c r="D71" i="59"/>
  <c r="E67" i="59"/>
  <c r="A129" i="11"/>
  <c r="B130" i="11"/>
  <c r="E65" i="55"/>
  <c r="D66" i="55"/>
  <c r="D66" i="54"/>
  <c r="E65" i="54"/>
  <c r="E63" i="53"/>
  <c r="D64" i="53"/>
  <c r="E66" i="51"/>
  <c r="D67" i="51"/>
  <c r="D66" i="50"/>
  <c r="E65" i="50"/>
  <c r="D71" i="48"/>
  <c r="E67" i="48"/>
  <c r="D94" i="66" l="1"/>
  <c r="E93" i="66"/>
  <c r="D93" i="65"/>
  <c r="E92" i="65"/>
  <c r="D94" i="64"/>
  <c r="E93" i="64"/>
  <c r="E94" i="63"/>
  <c r="D95" i="63"/>
  <c r="D93" i="62"/>
  <c r="E92" i="62"/>
  <c r="D72" i="59"/>
  <c r="E71" i="59"/>
  <c r="A130" i="11"/>
  <c r="B131" i="11"/>
  <c r="E66" i="55"/>
  <c r="D67" i="55"/>
  <c r="D67" i="54"/>
  <c r="E66" i="54"/>
  <c r="D65" i="53"/>
  <c r="E64" i="53"/>
  <c r="D71" i="51"/>
  <c r="E67" i="51"/>
  <c r="E66" i="50"/>
  <c r="D67" i="50"/>
  <c r="D72" i="48"/>
  <c r="E71" i="48"/>
  <c r="E94" i="66" l="1"/>
  <c r="D95" i="66"/>
  <c r="D94" i="65"/>
  <c r="E93" i="65"/>
  <c r="E94" i="64"/>
  <c r="D95" i="64"/>
  <c r="D96" i="63"/>
  <c r="E95" i="63"/>
  <c r="G94" i="63"/>
  <c r="J87" i="63"/>
  <c r="J90" i="63"/>
  <c r="J89" i="63"/>
  <c r="K94" i="63"/>
  <c r="I94" i="63"/>
  <c r="D94" i="62"/>
  <c r="E93" i="62"/>
  <c r="D73" i="59"/>
  <c r="E72" i="59"/>
  <c r="B132" i="11"/>
  <c r="A131" i="11"/>
  <c r="E67" i="55"/>
  <c r="D71" i="55"/>
  <c r="D71" i="54"/>
  <c r="E67" i="54"/>
  <c r="D66" i="53"/>
  <c r="E65" i="53"/>
  <c r="D72" i="51"/>
  <c r="E71" i="51"/>
  <c r="E67" i="50"/>
  <c r="D71" i="50"/>
  <c r="D73" i="48"/>
  <c r="E72" i="48"/>
  <c r="D96" i="66" l="1"/>
  <c r="E95" i="66"/>
  <c r="G94" i="66"/>
  <c r="J87" i="66"/>
  <c r="I94" i="66"/>
  <c r="J90" i="66"/>
  <c r="J89" i="66"/>
  <c r="K94" i="66"/>
  <c r="D95" i="65"/>
  <c r="E94" i="65"/>
  <c r="D96" i="64"/>
  <c r="E95" i="64"/>
  <c r="G94" i="64"/>
  <c r="J87" i="64"/>
  <c r="I94" i="64"/>
  <c r="J90" i="64"/>
  <c r="J89" i="64"/>
  <c r="K94" i="64"/>
  <c r="K95" i="63"/>
  <c r="I95" i="63"/>
  <c r="G95" i="63"/>
  <c r="D97" i="63"/>
  <c r="E96" i="63"/>
  <c r="E94" i="62"/>
  <c r="D95" i="62"/>
  <c r="D74" i="59"/>
  <c r="E73" i="59"/>
  <c r="A132" i="11"/>
  <c r="B133" i="11"/>
  <c r="D72" i="55"/>
  <c r="E71" i="55"/>
  <c r="D72" i="54"/>
  <c r="E71" i="54"/>
  <c r="E66" i="53"/>
  <c r="D67" i="53"/>
  <c r="E72" i="51"/>
  <c r="D73" i="51"/>
  <c r="D72" i="50"/>
  <c r="E71" i="50"/>
  <c r="D74" i="48"/>
  <c r="E73" i="48"/>
  <c r="K95" i="66" l="1"/>
  <c r="I95" i="66"/>
  <c r="G95" i="66"/>
  <c r="E96" i="66"/>
  <c r="D97" i="66"/>
  <c r="G94" i="65"/>
  <c r="J87" i="65"/>
  <c r="J90" i="65"/>
  <c r="J89" i="65"/>
  <c r="K94" i="65"/>
  <c r="I94" i="65"/>
  <c r="D96" i="65"/>
  <c r="E95" i="65"/>
  <c r="K95" i="64"/>
  <c r="I95" i="64"/>
  <c r="G95" i="64"/>
  <c r="D97" i="64"/>
  <c r="E96" i="64"/>
  <c r="G96" i="63"/>
  <c r="K96" i="63"/>
  <c r="I96" i="63"/>
  <c r="D98" i="63"/>
  <c r="E97" i="63"/>
  <c r="D96" i="62"/>
  <c r="E95" i="62"/>
  <c r="G94" i="62"/>
  <c r="J87" i="62"/>
  <c r="J90" i="62"/>
  <c r="I94" i="62"/>
  <c r="J89" i="62"/>
  <c r="K94" i="62"/>
  <c r="D75" i="59"/>
  <c r="E74" i="59"/>
  <c r="B134" i="11"/>
  <c r="A134" i="11" s="1"/>
  <c r="A133" i="11"/>
  <c r="E72" i="55"/>
  <c r="D73" i="55"/>
  <c r="E72" i="54"/>
  <c r="D73" i="54"/>
  <c r="D71" i="53"/>
  <c r="E67" i="53"/>
  <c r="D74" i="51"/>
  <c r="E73" i="51"/>
  <c r="E72" i="50"/>
  <c r="D73" i="50"/>
  <c r="D75" i="48"/>
  <c r="E74" i="48"/>
  <c r="D98" i="66" l="1"/>
  <c r="E97" i="66"/>
  <c r="K96" i="66"/>
  <c r="G96" i="66"/>
  <c r="I96" i="66"/>
  <c r="K95" i="65"/>
  <c r="I95" i="65"/>
  <c r="G95" i="65"/>
  <c r="D97" i="65"/>
  <c r="E96" i="65"/>
  <c r="G96" i="64"/>
  <c r="K96" i="64"/>
  <c r="I96" i="64"/>
  <c r="D98" i="64"/>
  <c r="E97" i="64"/>
  <c r="K97" i="63"/>
  <c r="I97" i="63"/>
  <c r="G97" i="63"/>
  <c r="D99" i="63"/>
  <c r="E98" i="63"/>
  <c r="K95" i="62"/>
  <c r="I95" i="62"/>
  <c r="G95" i="62"/>
  <c r="E96" i="62"/>
  <c r="D97" i="62"/>
  <c r="D76" i="59"/>
  <c r="E75" i="59"/>
  <c r="D74" i="55"/>
  <c r="E73" i="55"/>
  <c r="D74" i="54"/>
  <c r="E73" i="54"/>
  <c r="D72" i="53"/>
  <c r="E71" i="53"/>
  <c r="D75" i="51"/>
  <c r="E74" i="51"/>
  <c r="D74" i="50"/>
  <c r="E73" i="50"/>
  <c r="D76" i="48"/>
  <c r="E75" i="48"/>
  <c r="K97" i="66" l="1"/>
  <c r="I97" i="66"/>
  <c r="G97" i="66"/>
  <c r="D99" i="66"/>
  <c r="E98" i="66"/>
  <c r="I96" i="65"/>
  <c r="K96" i="65"/>
  <c r="G96" i="65"/>
  <c r="D98" i="65"/>
  <c r="E97" i="65"/>
  <c r="K97" i="64"/>
  <c r="I97" i="64"/>
  <c r="G97" i="64"/>
  <c r="D99" i="64"/>
  <c r="E98" i="64"/>
  <c r="K98" i="63"/>
  <c r="I98" i="63"/>
  <c r="G98" i="63"/>
  <c r="E99" i="63"/>
  <c r="D103" i="63"/>
  <c r="D100" i="63"/>
  <c r="E100" i="63" s="1"/>
  <c r="D98" i="62"/>
  <c r="E97" i="62"/>
  <c r="G96" i="62"/>
  <c r="K96" i="62"/>
  <c r="I96" i="62"/>
  <c r="D77" i="59"/>
  <c r="E76" i="59"/>
  <c r="D75" i="55"/>
  <c r="E74" i="55"/>
  <c r="D75" i="54"/>
  <c r="E74" i="54"/>
  <c r="D73" i="53"/>
  <c r="E72" i="53"/>
  <c r="D76" i="51"/>
  <c r="E75" i="51"/>
  <c r="D75" i="50"/>
  <c r="E74" i="50"/>
  <c r="E76" i="48"/>
  <c r="D77" i="48"/>
  <c r="I98" i="66" l="1"/>
  <c r="K98" i="66"/>
  <c r="G98" i="66"/>
  <c r="E99" i="66"/>
  <c r="D103" i="66"/>
  <c r="D100" i="66"/>
  <c r="E100" i="66" s="1"/>
  <c r="K97" i="65"/>
  <c r="I97" i="65"/>
  <c r="G97" i="65"/>
  <c r="D99" i="65"/>
  <c r="E98" i="65"/>
  <c r="K98" i="64"/>
  <c r="I98" i="64"/>
  <c r="G98" i="64"/>
  <c r="E99" i="64"/>
  <c r="D103" i="64"/>
  <c r="D100" i="64"/>
  <c r="E100" i="64" s="1"/>
  <c r="K100" i="63"/>
  <c r="I100" i="63"/>
  <c r="G100" i="63"/>
  <c r="E103" i="63"/>
  <c r="D104" i="63"/>
  <c r="I99" i="63"/>
  <c r="G99" i="63"/>
  <c r="K99" i="63"/>
  <c r="K97" i="62"/>
  <c r="I97" i="62"/>
  <c r="G97" i="62"/>
  <c r="D99" i="62"/>
  <c r="E98" i="62"/>
  <c r="D78" i="59"/>
  <c r="E77" i="59"/>
  <c r="E75" i="55"/>
  <c r="D76" i="55"/>
  <c r="E75" i="54"/>
  <c r="D76" i="54"/>
  <c r="D74" i="53"/>
  <c r="E73" i="53"/>
  <c r="D77" i="51"/>
  <c r="E76" i="51"/>
  <c r="D76" i="50"/>
  <c r="E75" i="50"/>
  <c r="D78" i="48"/>
  <c r="E77" i="48"/>
  <c r="G100" i="66" l="1"/>
  <c r="K100" i="66"/>
  <c r="I100" i="66"/>
  <c r="E103" i="66"/>
  <c r="D104" i="66"/>
  <c r="G99" i="66"/>
  <c r="K99" i="66"/>
  <c r="I99" i="66"/>
  <c r="I98" i="65"/>
  <c r="G98" i="65"/>
  <c r="K98" i="65"/>
  <c r="D100" i="65"/>
  <c r="E100" i="65" s="1"/>
  <c r="D103" i="65"/>
  <c r="E99" i="65"/>
  <c r="K100" i="64"/>
  <c r="I100" i="64"/>
  <c r="G100" i="64"/>
  <c r="E103" i="64"/>
  <c r="D104" i="64"/>
  <c r="G99" i="64"/>
  <c r="I99" i="64"/>
  <c r="K99" i="64"/>
  <c r="D105" i="63"/>
  <c r="E104" i="63"/>
  <c r="K98" i="62"/>
  <c r="I98" i="62"/>
  <c r="G98" i="62"/>
  <c r="D103" i="62"/>
  <c r="E99" i="62"/>
  <c r="D100" i="62"/>
  <c r="E100" i="62" s="1"/>
  <c r="E78" i="59"/>
  <c r="D79" i="59"/>
  <c r="D77" i="55"/>
  <c r="E76" i="55"/>
  <c r="D77" i="54"/>
  <c r="E76" i="54"/>
  <c r="D75" i="53"/>
  <c r="E74" i="53"/>
  <c r="D78" i="51"/>
  <c r="E77" i="51"/>
  <c r="D77" i="50"/>
  <c r="E76" i="50"/>
  <c r="E78" i="48"/>
  <c r="D79" i="48"/>
  <c r="E104" i="66" l="1"/>
  <c r="D105" i="66"/>
  <c r="G99" i="65"/>
  <c r="K99" i="65"/>
  <c r="I99" i="65"/>
  <c r="D104" i="65"/>
  <c r="E103" i="65"/>
  <c r="I100" i="65"/>
  <c r="G100" i="65"/>
  <c r="K100" i="65"/>
  <c r="D105" i="64"/>
  <c r="E104" i="64"/>
  <c r="D106" i="63"/>
  <c r="E105" i="63"/>
  <c r="K100" i="62"/>
  <c r="I100" i="62"/>
  <c r="G100" i="62"/>
  <c r="G99" i="62"/>
  <c r="K99" i="62"/>
  <c r="I99" i="62"/>
  <c r="E103" i="62"/>
  <c r="D104" i="62"/>
  <c r="D80" i="59"/>
  <c r="E79" i="59"/>
  <c r="K78" i="59"/>
  <c r="J74" i="59"/>
  <c r="I78" i="59"/>
  <c r="H78" i="59"/>
  <c r="G78" i="59"/>
  <c r="J71" i="59"/>
  <c r="J73" i="59"/>
  <c r="D78" i="55"/>
  <c r="E77" i="55"/>
  <c r="D78" i="54"/>
  <c r="E77" i="54"/>
  <c r="D76" i="53"/>
  <c r="E75" i="53"/>
  <c r="D79" i="51"/>
  <c r="E78" i="51"/>
  <c r="D78" i="50"/>
  <c r="E77" i="50"/>
  <c r="D80" i="48"/>
  <c r="E79" i="48"/>
  <c r="D106" i="66" l="1"/>
  <c r="E105" i="66"/>
  <c r="D105" i="65"/>
  <c r="E104" i="65"/>
  <c r="D106" i="64"/>
  <c r="E105" i="64"/>
  <c r="D107" i="63"/>
  <c r="E106" i="63"/>
  <c r="D105" i="62"/>
  <c r="E104" i="62"/>
  <c r="K79" i="59"/>
  <c r="I79" i="59"/>
  <c r="H79" i="59"/>
  <c r="G79" i="59"/>
  <c r="D81" i="59"/>
  <c r="E80" i="59"/>
  <c r="D79" i="55"/>
  <c r="E78" i="55"/>
  <c r="D79" i="54"/>
  <c r="E78" i="54"/>
  <c r="D77" i="53"/>
  <c r="E76" i="53"/>
  <c r="D80" i="51"/>
  <c r="E79" i="51"/>
  <c r="E78" i="50"/>
  <c r="D79" i="50"/>
  <c r="D81" i="48"/>
  <c r="E80" i="48"/>
  <c r="E106" i="66" l="1"/>
  <c r="D107" i="66"/>
  <c r="D106" i="65"/>
  <c r="E105" i="65"/>
  <c r="E106" i="64"/>
  <c r="D107" i="64"/>
  <c r="D108" i="63"/>
  <c r="E107" i="63"/>
  <c r="D106" i="62"/>
  <c r="E105" i="62"/>
  <c r="H80" i="59"/>
  <c r="I80" i="59"/>
  <c r="G80" i="59"/>
  <c r="K80" i="59"/>
  <c r="D82" i="59"/>
  <c r="E81" i="59"/>
  <c r="D80" i="55"/>
  <c r="E79" i="55"/>
  <c r="D80" i="54"/>
  <c r="E79" i="54"/>
  <c r="D78" i="53"/>
  <c r="E77" i="53"/>
  <c r="D81" i="51"/>
  <c r="E80" i="51"/>
  <c r="E79" i="50"/>
  <c r="D80" i="50"/>
  <c r="D82" i="48"/>
  <c r="E81" i="48"/>
  <c r="E107" i="66" l="1"/>
  <c r="D108" i="66"/>
  <c r="D107" i="65"/>
  <c r="E106" i="65"/>
  <c r="D108" i="64"/>
  <c r="E107" i="64"/>
  <c r="D109" i="63"/>
  <c r="E108" i="63"/>
  <c r="E106" i="62"/>
  <c r="D107" i="62"/>
  <c r="I81" i="59"/>
  <c r="K81" i="59"/>
  <c r="H81" i="59"/>
  <c r="G81" i="59"/>
  <c r="D83" i="59"/>
  <c r="E82" i="59"/>
  <c r="D81" i="55"/>
  <c r="E80" i="55"/>
  <c r="E80" i="54"/>
  <c r="D81" i="54"/>
  <c r="E78" i="53"/>
  <c r="D79" i="53"/>
  <c r="D82" i="51"/>
  <c r="E81" i="51"/>
  <c r="D81" i="50"/>
  <c r="E80" i="50"/>
  <c r="D83" i="48"/>
  <c r="E82" i="48"/>
  <c r="D109" i="66" l="1"/>
  <c r="E108" i="66"/>
  <c r="D108" i="65"/>
  <c r="E107" i="65"/>
  <c r="D109" i="64"/>
  <c r="E108" i="64"/>
  <c r="E109" i="63"/>
  <c r="D110" i="63"/>
  <c r="D108" i="62"/>
  <c r="E107" i="62"/>
  <c r="G82" i="59"/>
  <c r="K82" i="59"/>
  <c r="I82" i="59"/>
  <c r="H82" i="59"/>
  <c r="D87" i="59"/>
  <c r="D84" i="59"/>
  <c r="E84" i="59" s="1"/>
  <c r="E83" i="59"/>
  <c r="D82" i="55"/>
  <c r="E81" i="55"/>
  <c r="D82" i="54"/>
  <c r="E81" i="54"/>
  <c r="D80" i="53"/>
  <c r="E79" i="53"/>
  <c r="E82" i="51"/>
  <c r="D83" i="51"/>
  <c r="D82" i="50"/>
  <c r="E81" i="50"/>
  <c r="D87" i="48"/>
  <c r="E83" i="48"/>
  <c r="D84" i="48"/>
  <c r="E84" i="48" s="1"/>
  <c r="D110" i="66" l="1"/>
  <c r="E109" i="66"/>
  <c r="D109" i="65"/>
  <c r="E108" i="65"/>
  <c r="D110" i="64"/>
  <c r="E109" i="64"/>
  <c r="E110" i="63"/>
  <c r="D111" i="63"/>
  <c r="D109" i="62"/>
  <c r="E108" i="62"/>
  <c r="K83" i="59"/>
  <c r="G83" i="59"/>
  <c r="I83" i="59"/>
  <c r="H83" i="59"/>
  <c r="H84" i="59"/>
  <c r="I84" i="59"/>
  <c r="K84" i="59"/>
  <c r="G84" i="59"/>
  <c r="E87" i="59"/>
  <c r="D88" i="59"/>
  <c r="E82" i="55"/>
  <c r="D83" i="55"/>
  <c r="E82" i="54"/>
  <c r="D83" i="54"/>
  <c r="E80" i="53"/>
  <c r="D81" i="53"/>
  <c r="D87" i="51"/>
  <c r="E83" i="51"/>
  <c r="D84" i="51"/>
  <c r="E84" i="51" s="1"/>
  <c r="E82" i="50"/>
  <c r="D83" i="50"/>
  <c r="D88" i="48"/>
  <c r="E87" i="48"/>
  <c r="E110" i="66" l="1"/>
  <c r="D111" i="66"/>
  <c r="D110" i="65"/>
  <c r="E109" i="65"/>
  <c r="E110" i="64"/>
  <c r="D111" i="64"/>
  <c r="D112" i="63"/>
  <c r="E111" i="63"/>
  <c r="J105" i="63"/>
  <c r="K110" i="63"/>
  <c r="J103" i="63"/>
  <c r="J106" i="63"/>
  <c r="I110" i="63"/>
  <c r="G110" i="63"/>
  <c r="H110" i="63"/>
  <c r="D110" i="62"/>
  <c r="E109" i="62"/>
  <c r="D89" i="59"/>
  <c r="E88" i="59"/>
  <c r="D87" i="55"/>
  <c r="E83" i="55"/>
  <c r="D84" i="55"/>
  <c r="E84" i="55" s="1"/>
  <c r="D87" i="54"/>
  <c r="E83" i="54"/>
  <c r="D84" i="54"/>
  <c r="E84" i="54" s="1"/>
  <c r="D82" i="53"/>
  <c r="E81" i="53"/>
  <c r="D88" i="51"/>
  <c r="E87" i="51"/>
  <c r="D87" i="50"/>
  <c r="E83" i="50"/>
  <c r="D84" i="50"/>
  <c r="E84" i="50" s="1"/>
  <c r="D89" i="48"/>
  <c r="E88" i="48"/>
  <c r="D112" i="66" l="1"/>
  <c r="E111" i="66"/>
  <c r="K110" i="66"/>
  <c r="I110" i="66"/>
  <c r="J105" i="66"/>
  <c r="J106" i="66"/>
  <c r="H110" i="66"/>
  <c r="G110" i="66"/>
  <c r="J103" i="66"/>
  <c r="D111" i="65"/>
  <c r="E110" i="65"/>
  <c r="D112" i="64"/>
  <c r="E111" i="64"/>
  <c r="J105" i="64"/>
  <c r="I110" i="64"/>
  <c r="K110" i="64"/>
  <c r="J106" i="64"/>
  <c r="G110" i="64"/>
  <c r="J103" i="64"/>
  <c r="I111" i="63"/>
  <c r="G111" i="63"/>
  <c r="H111" i="63"/>
  <c r="K111" i="63"/>
  <c r="D113" i="63"/>
  <c r="E112" i="63"/>
  <c r="D111" i="62"/>
  <c r="E110" i="62"/>
  <c r="D90" i="59"/>
  <c r="E89" i="59"/>
  <c r="E87" i="55"/>
  <c r="D88" i="55"/>
  <c r="E87" i="54"/>
  <c r="D88" i="54"/>
  <c r="D83" i="53"/>
  <c r="E82" i="53"/>
  <c r="D89" i="51"/>
  <c r="E88" i="51"/>
  <c r="D88" i="50"/>
  <c r="E87" i="50"/>
  <c r="D90" i="48"/>
  <c r="E89" i="48"/>
  <c r="I111" i="66" l="1"/>
  <c r="H111" i="66"/>
  <c r="G111" i="66"/>
  <c r="K111" i="66"/>
  <c r="D113" i="66"/>
  <c r="E112" i="66"/>
  <c r="I110" i="65"/>
  <c r="H110" i="65"/>
  <c r="K110" i="65"/>
  <c r="J105" i="65"/>
  <c r="J106" i="65"/>
  <c r="G110" i="65"/>
  <c r="J103" i="65"/>
  <c r="D112" i="65"/>
  <c r="E111" i="65"/>
  <c r="I111" i="64"/>
  <c r="G111" i="64"/>
  <c r="K111" i="64"/>
  <c r="D113" i="64"/>
  <c r="E112" i="64"/>
  <c r="K112" i="63"/>
  <c r="I112" i="63"/>
  <c r="H112" i="63"/>
  <c r="G112" i="63"/>
  <c r="E113" i="63"/>
  <c r="D114" i="63"/>
  <c r="J105" i="62"/>
  <c r="K110" i="62"/>
  <c r="I110" i="62"/>
  <c r="G110" i="62"/>
  <c r="J103" i="62"/>
  <c r="J106" i="62"/>
  <c r="D112" i="62"/>
  <c r="E111" i="62"/>
  <c r="D91" i="59"/>
  <c r="E90" i="59"/>
  <c r="D89" i="55"/>
  <c r="E88" i="55"/>
  <c r="D89" i="54"/>
  <c r="E88" i="54"/>
  <c r="D87" i="53"/>
  <c r="E83" i="53"/>
  <c r="D84" i="53"/>
  <c r="E84" i="53" s="1"/>
  <c r="D90" i="51"/>
  <c r="E89" i="51"/>
  <c r="D89" i="50"/>
  <c r="E88" i="50"/>
  <c r="D91" i="48"/>
  <c r="E90" i="48"/>
  <c r="H112" i="66" l="1"/>
  <c r="G112" i="66"/>
  <c r="K112" i="66"/>
  <c r="I112" i="66"/>
  <c r="E113" i="66"/>
  <c r="D114" i="66"/>
  <c r="I111" i="65"/>
  <c r="H111" i="65"/>
  <c r="G111" i="65"/>
  <c r="K111" i="65"/>
  <c r="D113" i="65"/>
  <c r="E112" i="65"/>
  <c r="K112" i="64"/>
  <c r="I112" i="64"/>
  <c r="G112" i="64"/>
  <c r="E113" i="64"/>
  <c r="D114" i="64"/>
  <c r="D115" i="63"/>
  <c r="E114" i="63"/>
  <c r="G113" i="63"/>
  <c r="H113" i="63"/>
  <c r="K113" i="63"/>
  <c r="I113" i="63"/>
  <c r="I111" i="62"/>
  <c r="G111" i="62"/>
  <c r="K111" i="62"/>
  <c r="D113" i="62"/>
  <c r="E112" i="62"/>
  <c r="D92" i="59"/>
  <c r="E91" i="59"/>
  <c r="D90" i="55"/>
  <c r="E89" i="55"/>
  <c r="D90" i="54"/>
  <c r="E89" i="54"/>
  <c r="D88" i="53"/>
  <c r="E87" i="53"/>
  <c r="D91" i="51"/>
  <c r="E90" i="51"/>
  <c r="D90" i="50"/>
  <c r="E89" i="50"/>
  <c r="E91" i="48"/>
  <c r="D92" i="48"/>
  <c r="D115" i="66" l="1"/>
  <c r="E114" i="66"/>
  <c r="G113" i="66"/>
  <c r="H113" i="66"/>
  <c r="I113" i="66"/>
  <c r="K113" i="66"/>
  <c r="E113" i="65"/>
  <c r="D114" i="65"/>
  <c r="G112" i="65"/>
  <c r="K112" i="65"/>
  <c r="I112" i="65"/>
  <c r="H112" i="65"/>
  <c r="E114" i="64"/>
  <c r="G113" i="64"/>
  <c r="I113" i="64"/>
  <c r="K113" i="64"/>
  <c r="K114" i="63"/>
  <c r="I114" i="63"/>
  <c r="H114" i="63"/>
  <c r="G114" i="63"/>
  <c r="D116" i="63"/>
  <c r="E116" i="63" s="1"/>
  <c r="E115" i="63"/>
  <c r="K112" i="62"/>
  <c r="I112" i="62"/>
  <c r="G112" i="62"/>
  <c r="E113" i="62"/>
  <c r="D114" i="62"/>
  <c r="D93" i="59"/>
  <c r="E92" i="59"/>
  <c r="D91" i="55"/>
  <c r="E90" i="55"/>
  <c r="E90" i="54"/>
  <c r="D91" i="54"/>
  <c r="D89" i="53"/>
  <c r="E88" i="53"/>
  <c r="D92" i="51"/>
  <c r="E91" i="51"/>
  <c r="D91" i="50"/>
  <c r="E90" i="50"/>
  <c r="D93" i="48"/>
  <c r="E92" i="48"/>
  <c r="K114" i="66" l="1"/>
  <c r="I114" i="66"/>
  <c r="H114" i="66"/>
  <c r="G114" i="66"/>
  <c r="E115" i="66"/>
  <c r="D116" i="66"/>
  <c r="E116" i="66" s="1"/>
  <c r="D115" i="65"/>
  <c r="E114" i="65"/>
  <c r="G113" i="65"/>
  <c r="K113" i="65"/>
  <c r="I113" i="65"/>
  <c r="H113" i="65"/>
  <c r="K114" i="64"/>
  <c r="I114" i="64"/>
  <c r="G114" i="64"/>
  <c r="K116" i="63"/>
  <c r="H116" i="63"/>
  <c r="I116" i="63"/>
  <c r="G116" i="63"/>
  <c r="G115" i="63"/>
  <c r="H115" i="63"/>
  <c r="K115" i="63"/>
  <c r="I115" i="63"/>
  <c r="D115" i="62"/>
  <c r="E114" i="62"/>
  <c r="G113" i="62"/>
  <c r="I113" i="62"/>
  <c r="K113" i="62"/>
  <c r="D94" i="59"/>
  <c r="E93" i="59"/>
  <c r="E91" i="55"/>
  <c r="D92" i="55"/>
  <c r="D92" i="54"/>
  <c r="E91" i="54"/>
  <c r="D90" i="53"/>
  <c r="E89" i="53"/>
  <c r="D93" i="51"/>
  <c r="E92" i="51"/>
  <c r="D92" i="50"/>
  <c r="E91" i="50"/>
  <c r="D94" i="48"/>
  <c r="E93" i="48"/>
  <c r="K116" i="66" l="1"/>
  <c r="I116" i="66"/>
  <c r="H116" i="66"/>
  <c r="G116" i="66"/>
  <c r="G115" i="66"/>
  <c r="K115" i="66"/>
  <c r="I115" i="66"/>
  <c r="H115" i="66"/>
  <c r="H114" i="65"/>
  <c r="K114" i="65"/>
  <c r="G114" i="65"/>
  <c r="I114" i="65"/>
  <c r="D116" i="65"/>
  <c r="E116" i="65" s="1"/>
  <c r="E115" i="65"/>
  <c r="G115" i="64"/>
  <c r="K115" i="64"/>
  <c r="I115" i="64"/>
  <c r="K116" i="64"/>
  <c r="I116" i="64"/>
  <c r="G116" i="64"/>
  <c r="K114" i="62"/>
  <c r="I114" i="62"/>
  <c r="G114" i="62"/>
  <c r="D116" i="62"/>
  <c r="E116" i="62" s="1"/>
  <c r="E115" i="62"/>
  <c r="E94" i="59"/>
  <c r="D95" i="59"/>
  <c r="D93" i="55"/>
  <c r="E92" i="55"/>
  <c r="D93" i="54"/>
  <c r="E92" i="54"/>
  <c r="D91" i="53"/>
  <c r="E90" i="53"/>
  <c r="D94" i="51"/>
  <c r="E93" i="51"/>
  <c r="D93" i="50"/>
  <c r="E92" i="50"/>
  <c r="D95" i="48"/>
  <c r="E94" i="48"/>
  <c r="K115" i="65" l="1"/>
  <c r="I115" i="65"/>
  <c r="H115" i="65"/>
  <c r="G115" i="65"/>
  <c r="K116" i="65"/>
  <c r="I116" i="65"/>
  <c r="H116" i="65"/>
  <c r="G116" i="65"/>
  <c r="G115" i="62"/>
  <c r="K115" i="62"/>
  <c r="I115" i="62"/>
  <c r="K116" i="62"/>
  <c r="I116" i="62"/>
  <c r="G116" i="62"/>
  <c r="D96" i="59"/>
  <c r="E95" i="59"/>
  <c r="G94" i="59"/>
  <c r="J87" i="59"/>
  <c r="J90" i="59"/>
  <c r="J89" i="59"/>
  <c r="K94" i="59"/>
  <c r="I94" i="59"/>
  <c r="H94" i="59"/>
  <c r="D94" i="55"/>
  <c r="E93" i="55"/>
  <c r="D94" i="54"/>
  <c r="E93" i="54"/>
  <c r="D92" i="53"/>
  <c r="E91" i="53"/>
  <c r="D95" i="51"/>
  <c r="E94" i="51"/>
  <c r="D94" i="50"/>
  <c r="E93" i="50"/>
  <c r="D96" i="48"/>
  <c r="E95" i="48"/>
  <c r="K95" i="59" l="1"/>
  <c r="I95" i="59"/>
  <c r="H95" i="59"/>
  <c r="G95" i="59"/>
  <c r="E96" i="59"/>
  <c r="D97" i="59"/>
  <c r="E94" i="55"/>
  <c r="D95" i="55"/>
  <c r="E94" i="54"/>
  <c r="D95" i="54"/>
  <c r="D93" i="53"/>
  <c r="E92" i="53"/>
  <c r="D96" i="51"/>
  <c r="E95" i="51"/>
  <c r="E94" i="50"/>
  <c r="D95" i="50"/>
  <c r="D97" i="48"/>
  <c r="E96" i="48"/>
  <c r="E97" i="59" l="1"/>
  <c r="D98" i="59"/>
  <c r="I96" i="59"/>
  <c r="K96" i="59"/>
  <c r="H96" i="59"/>
  <c r="G96" i="59"/>
  <c r="D96" i="55"/>
  <c r="E95" i="55"/>
  <c r="D96" i="54"/>
  <c r="E95" i="54"/>
  <c r="D94" i="53"/>
  <c r="E93" i="53"/>
  <c r="D97" i="51"/>
  <c r="E96" i="51"/>
  <c r="D96" i="50"/>
  <c r="E95" i="50"/>
  <c r="D98" i="48"/>
  <c r="E97" i="48"/>
  <c r="D99" i="59" l="1"/>
  <c r="E98" i="59"/>
  <c r="K97" i="59"/>
  <c r="I97" i="59"/>
  <c r="H97" i="59"/>
  <c r="G97" i="59"/>
  <c r="D97" i="55"/>
  <c r="E96" i="55"/>
  <c r="D97" i="54"/>
  <c r="E96" i="54"/>
  <c r="D95" i="53"/>
  <c r="E94" i="53"/>
  <c r="D98" i="51"/>
  <c r="E97" i="51"/>
  <c r="D97" i="50"/>
  <c r="E96" i="50"/>
  <c r="D99" i="48"/>
  <c r="E98" i="48"/>
  <c r="K98" i="59" l="1"/>
  <c r="I98" i="59"/>
  <c r="H98" i="59"/>
  <c r="G98" i="59"/>
  <c r="D103" i="59"/>
  <c r="D100" i="59"/>
  <c r="E100" i="59" s="1"/>
  <c r="E99" i="59"/>
  <c r="D98" i="55"/>
  <c r="E97" i="55"/>
  <c r="D98" i="54"/>
  <c r="E97" i="54"/>
  <c r="D96" i="53"/>
  <c r="E95" i="53"/>
  <c r="D99" i="51"/>
  <c r="E98" i="51"/>
  <c r="D98" i="50"/>
  <c r="E97" i="50"/>
  <c r="D100" i="48"/>
  <c r="E100" i="48" s="1"/>
  <c r="D103" i="48"/>
  <c r="E99" i="48"/>
  <c r="H99" i="59" l="1"/>
  <c r="G99" i="59"/>
  <c r="K99" i="59"/>
  <c r="I99" i="59"/>
  <c r="K100" i="59"/>
  <c r="I100" i="59"/>
  <c r="H100" i="59"/>
  <c r="G100" i="59"/>
  <c r="D104" i="59"/>
  <c r="E103" i="59"/>
  <c r="D99" i="55"/>
  <c r="E98" i="55"/>
  <c r="D99" i="54"/>
  <c r="E98" i="54"/>
  <c r="D97" i="53"/>
  <c r="E96" i="53"/>
  <c r="D100" i="51"/>
  <c r="E100" i="51" s="1"/>
  <c r="D103" i="51"/>
  <c r="E99" i="51"/>
  <c r="E98" i="50"/>
  <c r="D99" i="50"/>
  <c r="D104" i="48"/>
  <c r="E103" i="48"/>
  <c r="D105" i="59" l="1"/>
  <c r="E104" i="59"/>
  <c r="D100" i="55"/>
  <c r="E100" i="55" s="1"/>
  <c r="D103" i="55"/>
  <c r="E99" i="55"/>
  <c r="E99" i="54"/>
  <c r="D100" i="54"/>
  <c r="E100" i="54" s="1"/>
  <c r="D103" i="54"/>
  <c r="E97" i="53"/>
  <c r="D98" i="53"/>
  <c r="D104" i="51"/>
  <c r="E103" i="51"/>
  <c r="E99" i="50"/>
  <c r="D100" i="50"/>
  <c r="E100" i="50" s="1"/>
  <c r="D103" i="50"/>
  <c r="D105" i="48"/>
  <c r="E104" i="48"/>
  <c r="D106" i="59" l="1"/>
  <c r="E105" i="59"/>
  <c r="D104" i="55"/>
  <c r="E103" i="55"/>
  <c r="D104" i="54"/>
  <c r="E103" i="54"/>
  <c r="D99" i="53"/>
  <c r="E98" i="53"/>
  <c r="D105" i="51"/>
  <c r="E104" i="51"/>
  <c r="E103" i="50"/>
  <c r="D104" i="50"/>
  <c r="D106" i="48"/>
  <c r="E105" i="48"/>
  <c r="E106" i="59" l="1"/>
  <c r="D107" i="59"/>
  <c r="D105" i="55"/>
  <c r="E104" i="55"/>
  <c r="D105" i="54"/>
  <c r="E104" i="54"/>
  <c r="D100" i="53"/>
  <c r="E100" i="53" s="1"/>
  <c r="D103" i="53"/>
  <c r="E99" i="53"/>
  <c r="D106" i="51"/>
  <c r="E105" i="51"/>
  <c r="D105" i="50"/>
  <c r="E104" i="50"/>
  <c r="D107" i="48"/>
  <c r="E106" i="48"/>
  <c r="D108" i="59" l="1"/>
  <c r="E107" i="59"/>
  <c r="D106" i="55"/>
  <c r="E105" i="55"/>
  <c r="D106" i="54"/>
  <c r="E105" i="54"/>
  <c r="D104" i="53"/>
  <c r="E103" i="53"/>
  <c r="D107" i="51"/>
  <c r="E106" i="51"/>
  <c r="D106" i="50"/>
  <c r="E105" i="50"/>
  <c r="D108" i="48"/>
  <c r="E107" i="48"/>
  <c r="E108" i="59" l="1"/>
  <c r="D109" i="59"/>
  <c r="D107" i="55"/>
  <c r="E106" i="55"/>
  <c r="D107" i="54"/>
  <c r="E106" i="54"/>
  <c r="D105" i="53"/>
  <c r="E104" i="53"/>
  <c r="D108" i="51"/>
  <c r="E107" i="51"/>
  <c r="D107" i="50"/>
  <c r="E106" i="50"/>
  <c r="D109" i="48"/>
  <c r="E108" i="48"/>
  <c r="E109" i="59" l="1"/>
  <c r="D110" i="59"/>
  <c r="D108" i="55"/>
  <c r="E107" i="55"/>
  <c r="D108" i="54"/>
  <c r="E107" i="54"/>
  <c r="D106" i="53"/>
  <c r="E105" i="53"/>
  <c r="D109" i="51"/>
  <c r="E108" i="51"/>
  <c r="D108" i="50"/>
  <c r="E107" i="50"/>
  <c r="D110" i="48"/>
  <c r="E109" i="48"/>
  <c r="D111" i="59" l="1"/>
  <c r="E110" i="59"/>
  <c r="D109" i="55"/>
  <c r="E108" i="55"/>
  <c r="D109" i="54"/>
  <c r="E108" i="54"/>
  <c r="D107" i="53"/>
  <c r="E106" i="53"/>
  <c r="D110" i="51"/>
  <c r="E109" i="51"/>
  <c r="D109" i="50"/>
  <c r="E108" i="50"/>
  <c r="D111" i="48"/>
  <c r="E110" i="48"/>
  <c r="J105" i="59" l="1"/>
  <c r="H110" i="59"/>
  <c r="K110" i="59"/>
  <c r="I110" i="59"/>
  <c r="G110" i="59"/>
  <c r="J103" i="59"/>
  <c r="J106" i="59"/>
  <c r="D112" i="59"/>
  <c r="E111" i="59"/>
  <c r="D110" i="55"/>
  <c r="E109" i="55"/>
  <c r="D110" i="54"/>
  <c r="E109" i="54"/>
  <c r="D108" i="53"/>
  <c r="E107" i="53"/>
  <c r="D111" i="51"/>
  <c r="E110" i="51"/>
  <c r="D110" i="50"/>
  <c r="E109" i="50"/>
  <c r="D112" i="48"/>
  <c r="E111" i="48"/>
  <c r="I111" i="59" l="1"/>
  <c r="H111" i="59"/>
  <c r="G111" i="59"/>
  <c r="K111" i="59"/>
  <c r="D113" i="59"/>
  <c r="E112" i="59"/>
  <c r="E110" i="55"/>
  <c r="D111" i="55"/>
  <c r="D111" i="54"/>
  <c r="E110" i="54"/>
  <c r="D109" i="53"/>
  <c r="E108" i="53"/>
  <c r="D112" i="51"/>
  <c r="E111" i="51"/>
  <c r="D111" i="50"/>
  <c r="E110" i="50"/>
  <c r="D113" i="48"/>
  <c r="E112" i="48"/>
  <c r="K112" i="59" l="1"/>
  <c r="I112" i="59"/>
  <c r="H112" i="59"/>
  <c r="G112" i="59"/>
  <c r="E113" i="59"/>
  <c r="D114" i="59"/>
  <c r="D112" i="55"/>
  <c r="E111" i="55"/>
  <c r="D112" i="54"/>
  <c r="E111" i="54"/>
  <c r="D110" i="53"/>
  <c r="E109" i="53"/>
  <c r="D113" i="51"/>
  <c r="E112" i="51"/>
  <c r="D112" i="50"/>
  <c r="E111" i="50"/>
  <c r="D114" i="48"/>
  <c r="E113" i="48"/>
  <c r="D115" i="59" l="1"/>
  <c r="E114" i="59"/>
  <c r="G113" i="59"/>
  <c r="H113" i="59"/>
  <c r="K113" i="59"/>
  <c r="I113" i="59"/>
  <c r="D113" i="55"/>
  <c r="E112" i="55"/>
  <c r="D113" i="54"/>
  <c r="E112" i="54"/>
  <c r="D111" i="53"/>
  <c r="E110" i="53"/>
  <c r="D114" i="51"/>
  <c r="E113" i="51"/>
  <c r="D113" i="50"/>
  <c r="E112" i="50"/>
  <c r="D115" i="48"/>
  <c r="E114" i="48"/>
  <c r="K114" i="59" l="1"/>
  <c r="I114" i="59"/>
  <c r="H114" i="59"/>
  <c r="G114" i="59"/>
  <c r="E115" i="59"/>
  <c r="D116" i="59"/>
  <c r="E116" i="59" s="1"/>
  <c r="D114" i="55"/>
  <c r="E113" i="55"/>
  <c r="D114" i="54"/>
  <c r="E113" i="54"/>
  <c r="E111" i="53"/>
  <c r="D112" i="53"/>
  <c r="D115" i="51"/>
  <c r="E114" i="51"/>
  <c r="E113" i="50"/>
  <c r="D114" i="50"/>
  <c r="D116" i="48"/>
  <c r="E116" i="48" s="1"/>
  <c r="E115" i="48"/>
  <c r="K116" i="59" l="1"/>
  <c r="I116" i="59"/>
  <c r="G116" i="59"/>
  <c r="I115" i="59"/>
  <c r="K115" i="59"/>
  <c r="H115" i="59"/>
  <c r="G115" i="59"/>
  <c r="D115" i="55"/>
  <c r="E114" i="55"/>
  <c r="D115" i="54"/>
  <c r="E114" i="54"/>
  <c r="D113" i="53"/>
  <c r="E112" i="53"/>
  <c r="E115" i="51"/>
  <c r="D116" i="51"/>
  <c r="E116" i="51" s="1"/>
  <c r="D115" i="50"/>
  <c r="E114" i="50"/>
  <c r="D116" i="55" l="1"/>
  <c r="E116" i="55" s="1"/>
  <c r="E115" i="55"/>
  <c r="D116" i="54"/>
  <c r="E116" i="54" s="1"/>
  <c r="E115" i="54"/>
  <c r="D114" i="53"/>
  <c r="E113" i="53"/>
  <c r="D116" i="50"/>
  <c r="E116" i="50" s="1"/>
  <c r="E115" i="50"/>
  <c r="D115" i="53" l="1"/>
  <c r="E114" i="53"/>
  <c r="D116" i="53" l="1"/>
  <c r="E116" i="53" s="1"/>
  <c r="E115" i="53"/>
  <c r="E10" i="40" l="1"/>
  <c r="M13" i="34"/>
  <c r="M12" i="34"/>
  <c r="M11" i="34"/>
  <c r="M10" i="34"/>
  <c r="M9" i="34"/>
  <c r="M8" i="34"/>
  <c r="F6" i="12"/>
  <c r="E22" i="25"/>
  <c r="Z15" i="25"/>
  <c r="Z15" i="38"/>
  <c r="Z16" i="30"/>
  <c r="Z17" i="36"/>
  <c r="Z16" i="28"/>
  <c r="Z16" i="34"/>
  <c r="AA16" i="40"/>
  <c r="Z17" i="32"/>
  <c r="Z15" i="24"/>
  <c r="Z17" i="22"/>
  <c r="Z16" i="19"/>
  <c r="Z15" i="1"/>
  <c r="C34" i="40"/>
  <c r="C72" i="36"/>
  <c r="C71" i="36"/>
  <c r="C70" i="36"/>
  <c r="C69" i="36"/>
  <c r="C68" i="36"/>
  <c r="C67" i="36"/>
  <c r="C66" i="36"/>
  <c r="C85" i="22"/>
  <c r="C84" i="22"/>
  <c r="C83" i="22"/>
  <c r="C82" i="22"/>
  <c r="C81" i="22"/>
  <c r="C80" i="22"/>
  <c r="C79" i="22"/>
  <c r="C78" i="22"/>
  <c r="C77" i="22"/>
  <c r="M14" i="22"/>
  <c r="P128" i="11"/>
  <c r="C63" i="34"/>
  <c r="C62" i="34"/>
  <c r="C61" i="34"/>
  <c r="C60" i="34"/>
  <c r="C59" i="34"/>
  <c r="C58" i="34"/>
  <c r="C57" i="34"/>
  <c r="C56" i="34"/>
  <c r="E19" i="32"/>
  <c r="E18" i="32"/>
  <c r="E17" i="32"/>
  <c r="E16" i="32"/>
  <c r="E15" i="32"/>
  <c r="E14" i="32"/>
  <c r="E13" i="32"/>
  <c r="E11" i="32"/>
  <c r="E10" i="32"/>
  <c r="E9" i="32"/>
  <c r="E8" i="32"/>
  <c r="E7" i="32"/>
  <c r="E6" i="32"/>
  <c r="E5" i="32"/>
  <c r="E18" i="30"/>
  <c r="E17" i="30"/>
  <c r="E16" i="30"/>
  <c r="E15" i="30"/>
  <c r="E14" i="30"/>
  <c r="E13" i="30"/>
  <c r="E11" i="30"/>
  <c r="E10" i="30"/>
  <c r="E9" i="30"/>
  <c r="E8" i="30"/>
  <c r="E7" i="30"/>
  <c r="E6" i="30"/>
  <c r="E5" i="30"/>
  <c r="E18" i="28"/>
  <c r="E17" i="28"/>
  <c r="E16" i="28"/>
  <c r="E15" i="28"/>
  <c r="E14" i="28"/>
  <c r="E13" i="28"/>
  <c r="E11" i="28"/>
  <c r="E10" i="28"/>
  <c r="E9" i="28"/>
  <c r="E8" i="28"/>
  <c r="E7" i="28"/>
  <c r="E6" i="28"/>
  <c r="E5"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E17" i="25"/>
  <c r="E16" i="25"/>
  <c r="E15" i="25"/>
  <c r="E14" i="25"/>
  <c r="E13" i="25"/>
  <c r="E11" i="25"/>
  <c r="E10" i="25"/>
  <c r="E9" i="25"/>
  <c r="E8" i="25"/>
  <c r="E7" i="25"/>
  <c r="E6" i="25"/>
  <c r="E5" i="25"/>
  <c r="E19" i="22"/>
  <c r="E18" i="22"/>
  <c r="E17" i="22"/>
  <c r="E16" i="22"/>
  <c r="E15" i="22"/>
  <c r="E14" i="22"/>
  <c r="E13" i="22"/>
  <c r="E11" i="22"/>
  <c r="E10" i="22"/>
  <c r="E9" i="22"/>
  <c r="E8" i="22"/>
  <c r="E7" i="22"/>
  <c r="E6" i="22"/>
  <c r="E5" i="22"/>
  <c r="E21" i="19"/>
  <c r="E18" i="19"/>
  <c r="E17" i="19"/>
  <c r="E16" i="19"/>
  <c r="E15" i="19"/>
  <c r="E14" i="19"/>
  <c r="E13" i="19"/>
  <c r="E11" i="19"/>
  <c r="E10" i="19"/>
  <c r="E9" i="19"/>
  <c r="E8" i="19"/>
  <c r="E7" i="19"/>
  <c r="E6" i="19"/>
  <c r="E5" i="19"/>
  <c r="E22" i="24"/>
  <c r="E19" i="24"/>
  <c r="E16" i="24"/>
  <c r="E15" i="24"/>
  <c r="E14" i="24"/>
  <c r="E13" i="24"/>
  <c r="E11" i="24"/>
  <c r="E10" i="24"/>
  <c r="E9" i="24"/>
  <c r="E8" i="24"/>
  <c r="E7" i="24"/>
  <c r="E6" i="24"/>
  <c r="E5" i="24"/>
  <c r="C35" i="24"/>
  <c r="C36" i="24"/>
  <c r="C37" i="24"/>
  <c r="C38" i="24"/>
  <c r="C39" i="24"/>
  <c r="C40" i="24"/>
  <c r="C41" i="24"/>
  <c r="C42" i="24"/>
  <c r="C43" i="24"/>
  <c r="C44" i="24"/>
  <c r="C45" i="24"/>
  <c r="C46" i="24"/>
  <c r="C47" i="24"/>
  <c r="C48" i="24"/>
  <c r="C49" i="24"/>
  <c r="C50" i="24"/>
  <c r="C51" i="24"/>
  <c r="C52" i="24"/>
  <c r="C30" i="24"/>
  <c r="C31" i="24"/>
  <c r="C32" i="24"/>
  <c r="C33" i="24"/>
  <c r="C34" i="24"/>
  <c r="M14" i="36"/>
  <c r="C115" i="39"/>
  <c r="C114" i="39"/>
  <c r="C113" i="39"/>
  <c r="C112" i="39"/>
  <c r="C111" i="39"/>
  <c r="C110" i="39"/>
  <c r="C109" i="39"/>
  <c r="C108" i="39"/>
  <c r="C107" i="39"/>
  <c r="C106" i="39"/>
  <c r="C105" i="39"/>
  <c r="C104" i="39"/>
  <c r="C103" i="39"/>
  <c r="C102" i="39"/>
  <c r="C101" i="39"/>
  <c r="C100" i="39"/>
  <c r="C99" i="39"/>
  <c r="C98" i="39"/>
  <c r="C97" i="39"/>
  <c r="C96" i="39"/>
  <c r="C95" i="39"/>
  <c r="C94" i="39"/>
  <c r="C93" i="39"/>
  <c r="C92" i="39"/>
  <c r="C91" i="39"/>
  <c r="C90" i="39"/>
  <c r="C89" i="39"/>
  <c r="C88" i="39"/>
  <c r="C87" i="39"/>
  <c r="C86" i="39"/>
  <c r="C85" i="39"/>
  <c r="C84" i="39"/>
  <c r="C83" i="39"/>
  <c r="C82" i="39"/>
  <c r="C81" i="39"/>
  <c r="C80" i="39"/>
  <c r="C79" i="39"/>
  <c r="C78" i="39"/>
  <c r="C77" i="39"/>
  <c r="C76" i="39"/>
  <c r="C75" i="39"/>
  <c r="C74" i="39"/>
  <c r="C73" i="39"/>
  <c r="C72" i="39"/>
  <c r="C71" i="39"/>
  <c r="C70" i="39"/>
  <c r="C69" i="39"/>
  <c r="C68" i="39"/>
  <c r="C67" i="39"/>
  <c r="C66" i="39"/>
  <c r="C65" i="39"/>
  <c r="C64" i="39"/>
  <c r="C63" i="39"/>
  <c r="C62" i="39"/>
  <c r="C61" i="39"/>
  <c r="C60" i="39"/>
  <c r="C59" i="39"/>
  <c r="C58" i="39"/>
  <c r="C57" i="39"/>
  <c r="C56" i="39"/>
  <c r="C55" i="39"/>
  <c r="C54" i="39"/>
  <c r="C53" i="39"/>
  <c r="C52" i="39"/>
  <c r="C51" i="39"/>
  <c r="C50" i="39"/>
  <c r="C49" i="39"/>
  <c r="C48" i="39"/>
  <c r="C47" i="39"/>
  <c r="C46" i="39"/>
  <c r="C45" i="39"/>
  <c r="C44" i="39"/>
  <c r="C43" i="39"/>
  <c r="C42" i="39"/>
  <c r="C41" i="39"/>
  <c r="C40" i="39"/>
  <c r="C39" i="39"/>
  <c r="C38" i="39"/>
  <c r="C37" i="39"/>
  <c r="C36" i="39"/>
  <c r="C35" i="39"/>
  <c r="C34" i="39"/>
  <c r="C33" i="39"/>
  <c r="C32" i="39"/>
  <c r="C31" i="39"/>
  <c r="C30" i="39"/>
  <c r="C29" i="39"/>
  <c r="C28" i="39"/>
  <c r="C27" i="39"/>
  <c r="C26" i="39"/>
  <c r="C25" i="39"/>
  <c r="C24" i="39"/>
  <c r="C23" i="39"/>
  <c r="C22" i="39"/>
  <c r="C21" i="39"/>
  <c r="C20" i="39"/>
  <c r="C19" i="39"/>
  <c r="C18" i="39"/>
  <c r="C17" i="39"/>
  <c r="C16" i="39"/>
  <c r="C15" i="39"/>
  <c r="C14" i="39"/>
  <c r="C13" i="39"/>
  <c r="C12" i="39"/>
  <c r="C11" i="39"/>
  <c r="C10" i="39"/>
  <c r="C9" i="39"/>
  <c r="C8" i="39"/>
  <c r="C7" i="39"/>
  <c r="C6" i="39"/>
  <c r="C5" i="39"/>
  <c r="C27" i="36"/>
  <c r="C71" i="40"/>
  <c r="C70" i="40"/>
  <c r="C69" i="40"/>
  <c r="C68" i="40"/>
  <c r="C67" i="40"/>
  <c r="C66" i="40"/>
  <c r="C65" i="40"/>
  <c r="C64" i="40"/>
  <c r="C63" i="40"/>
  <c r="C62" i="40"/>
  <c r="C61" i="40"/>
  <c r="C60" i="40"/>
  <c r="C59" i="40"/>
  <c r="C58" i="40"/>
  <c r="C57" i="40"/>
  <c r="C56" i="40"/>
  <c r="C55" i="40"/>
  <c r="C54" i="40"/>
  <c r="C53" i="40"/>
  <c r="C52" i="40"/>
  <c r="C51" i="40"/>
  <c r="C50" i="40"/>
  <c r="C49" i="40"/>
  <c r="C48" i="40"/>
  <c r="C47" i="40"/>
  <c r="C46" i="40"/>
  <c r="C45" i="40"/>
  <c r="C44" i="40"/>
  <c r="C43" i="40"/>
  <c r="C42" i="40"/>
  <c r="C41" i="40"/>
  <c r="C40" i="40"/>
  <c r="C39" i="40"/>
  <c r="C38" i="40"/>
  <c r="C37" i="40"/>
  <c r="C36" i="40"/>
  <c r="C35" i="40"/>
  <c r="C33" i="40"/>
  <c r="C32" i="40"/>
  <c r="C31" i="40"/>
  <c r="C30" i="40"/>
  <c r="C29" i="40"/>
  <c r="C28" i="40"/>
  <c r="C27" i="40"/>
  <c r="C26" i="40"/>
  <c r="D25" i="40"/>
  <c r="D26" i="40" s="1"/>
  <c r="D27" i="40" s="1"/>
  <c r="C25" i="40"/>
  <c r="E18" i="40" s="1"/>
  <c r="N15" i="40"/>
  <c r="M13" i="40"/>
  <c r="AA12" i="40"/>
  <c r="M12" i="40"/>
  <c r="AA11" i="40"/>
  <c r="M11" i="40"/>
  <c r="AA10" i="40"/>
  <c r="M10" i="40"/>
  <c r="AA9" i="40"/>
  <c r="M9" i="40"/>
  <c r="AA8" i="40"/>
  <c r="M8" i="40"/>
  <c r="C116" i="39"/>
  <c r="G35" i="39"/>
  <c r="G19" i="39"/>
  <c r="D12" i="39"/>
  <c r="D13" i="39" s="1"/>
  <c r="E12" i="39"/>
  <c r="D8" i="39"/>
  <c r="D9" i="39" s="1"/>
  <c r="D10" i="39" s="1"/>
  <c r="D11" i="39" s="1"/>
  <c r="D6" i="39"/>
  <c r="D7" i="39" s="1"/>
  <c r="D5" i="39"/>
  <c r="G3" i="39"/>
  <c r="C37" i="38"/>
  <c r="C36" i="38"/>
  <c r="C35" i="38"/>
  <c r="C34" i="38"/>
  <c r="C33" i="38"/>
  <c r="C32" i="38"/>
  <c r="C31" i="38"/>
  <c r="C30" i="38"/>
  <c r="C29" i="38"/>
  <c r="C28" i="38"/>
  <c r="C27" i="38"/>
  <c r="C26" i="38"/>
  <c r="D25" i="38"/>
  <c r="D26" i="38" s="1"/>
  <c r="D27" i="38" s="1"/>
  <c r="D28" i="38" s="1"/>
  <c r="C25" i="38"/>
  <c r="E9" i="38" s="1"/>
  <c r="N14" i="38"/>
  <c r="Z12" i="38"/>
  <c r="M12" i="38"/>
  <c r="Z11" i="38"/>
  <c r="M11" i="38"/>
  <c r="Z10" i="38"/>
  <c r="M10" i="38"/>
  <c r="Z9" i="38"/>
  <c r="M9" i="38"/>
  <c r="Z8" i="38"/>
  <c r="M8" i="38"/>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6" i="36"/>
  <c r="D25" i="36"/>
  <c r="C25" i="36"/>
  <c r="E19" i="36" s="1"/>
  <c r="N16" i="36"/>
  <c r="M13" i="36"/>
  <c r="Z12" i="36"/>
  <c r="M12" i="36"/>
  <c r="Z11" i="36"/>
  <c r="M11" i="36"/>
  <c r="Z10" i="36"/>
  <c r="M10" i="36"/>
  <c r="Z9" i="36"/>
  <c r="M9" i="36"/>
  <c r="Z8" i="36"/>
  <c r="M8" i="36"/>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D25" i="34"/>
  <c r="D26" i="34" s="1"/>
  <c r="D27" i="34" s="1"/>
  <c r="D28" i="34" s="1"/>
  <c r="C25" i="34"/>
  <c r="E11" i="34" s="1"/>
  <c r="N15" i="34"/>
  <c r="Z12" i="34"/>
  <c r="Z11" i="34"/>
  <c r="Z10" i="34"/>
  <c r="Z9" i="34"/>
  <c r="Z8" i="34"/>
  <c r="C68" i="32"/>
  <c r="C67" i="32"/>
  <c r="C66" i="32"/>
  <c r="C65" i="32"/>
  <c r="C64" i="32"/>
  <c r="C63" i="32"/>
  <c r="C62" i="32"/>
  <c r="C61" i="32"/>
  <c r="C60" i="32"/>
  <c r="C59" i="32"/>
  <c r="C58" i="32"/>
  <c r="C57" i="32"/>
  <c r="M14" i="32"/>
  <c r="M13" i="32"/>
  <c r="C56" i="32"/>
  <c r="C55" i="32"/>
  <c r="C54" i="32"/>
  <c r="C53" i="32"/>
  <c r="C52" i="32"/>
  <c r="C51" i="32"/>
  <c r="C50" i="32"/>
  <c r="C49" i="32"/>
  <c r="C48" i="32"/>
  <c r="C47" i="32"/>
  <c r="C46" i="32"/>
  <c r="C45" i="32"/>
  <c r="C44" i="32"/>
  <c r="C43" i="32"/>
  <c r="C42" i="32"/>
  <c r="C41" i="32"/>
  <c r="C40" i="32"/>
  <c r="C39" i="32"/>
  <c r="C38" i="32"/>
  <c r="C37" i="32"/>
  <c r="C36" i="32"/>
  <c r="C35" i="32"/>
  <c r="C34" i="32"/>
  <c r="C33" i="32"/>
  <c r="C32" i="32"/>
  <c r="C31" i="32"/>
  <c r="C30" i="32"/>
  <c r="C29" i="32"/>
  <c r="C28" i="32"/>
  <c r="C27" i="32"/>
  <c r="C26" i="32"/>
  <c r="D25" i="32"/>
  <c r="C25" i="32"/>
  <c r="N16" i="32"/>
  <c r="Z12" i="32"/>
  <c r="M12" i="32"/>
  <c r="Z11" i="32"/>
  <c r="M11" i="32"/>
  <c r="Z10" i="32"/>
  <c r="M10" i="32"/>
  <c r="Z9" i="32"/>
  <c r="M9" i="32"/>
  <c r="Z8" i="32"/>
  <c r="M8" i="32"/>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D25" i="30"/>
  <c r="D26" i="30" s="1"/>
  <c r="D27" i="30" s="1"/>
  <c r="D28" i="30" s="1"/>
  <c r="C25" i="30"/>
  <c r="N15" i="30"/>
  <c r="M13" i="30"/>
  <c r="Z12" i="30"/>
  <c r="M12" i="30"/>
  <c r="Z11" i="30"/>
  <c r="M11" i="30"/>
  <c r="Z10" i="30"/>
  <c r="M10" i="30"/>
  <c r="Z9" i="30"/>
  <c r="M9" i="30"/>
  <c r="Z8" i="30"/>
  <c r="M8" i="30"/>
  <c r="C30" i="28"/>
  <c r="C29" i="28"/>
  <c r="C28" i="28"/>
  <c r="C27" i="28"/>
  <c r="C26" i="28"/>
  <c r="D25" i="28"/>
  <c r="D26" i="28" s="1"/>
  <c r="D27" i="28" s="1"/>
  <c r="D28" i="28" s="1"/>
  <c r="C25" i="28"/>
  <c r="N15" i="28"/>
  <c r="M13" i="28"/>
  <c r="Z12" i="28"/>
  <c r="M12" i="28"/>
  <c r="Z11" i="28"/>
  <c r="M11" i="28"/>
  <c r="Z10" i="28"/>
  <c r="M10" i="28"/>
  <c r="Z9" i="28"/>
  <c r="M9" i="28"/>
  <c r="Z8" i="28"/>
  <c r="M8" i="28"/>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D25" i="25"/>
  <c r="D26" i="25" s="1"/>
  <c r="C25" i="25"/>
  <c r="N14" i="25"/>
  <c r="Z12" i="25"/>
  <c r="M12" i="25"/>
  <c r="Z11" i="25"/>
  <c r="M11" i="25"/>
  <c r="Z10" i="25"/>
  <c r="M10" i="25"/>
  <c r="Z9" i="25"/>
  <c r="M9" i="25"/>
  <c r="Z8" i="25"/>
  <c r="M8" i="25"/>
  <c r="M12" i="24"/>
  <c r="M11" i="24"/>
  <c r="M10" i="24"/>
  <c r="M9" i="24"/>
  <c r="M8" i="24"/>
  <c r="M7" i="22"/>
  <c r="M8" i="22"/>
  <c r="M9" i="22"/>
  <c r="M10" i="22"/>
  <c r="M11" i="22"/>
  <c r="M12" i="22"/>
  <c r="M13" i="22"/>
  <c r="C76" i="22"/>
  <c r="C75" i="22"/>
  <c r="C74" i="22"/>
  <c r="C73" i="22"/>
  <c r="C72" i="22"/>
  <c r="C71" i="22"/>
  <c r="C70" i="22"/>
  <c r="C69" i="22"/>
  <c r="C68" i="22"/>
  <c r="C67" i="22"/>
  <c r="C66" i="22"/>
  <c r="C65" i="22"/>
  <c r="C64" i="22"/>
  <c r="C63" i="22"/>
  <c r="M13" i="19"/>
  <c r="M12" i="19"/>
  <c r="M11" i="19"/>
  <c r="M10" i="19"/>
  <c r="M9" i="19"/>
  <c r="M8" i="19"/>
  <c r="M9" i="1"/>
  <c r="M10" i="1"/>
  <c r="M11" i="1"/>
  <c r="M12" i="1"/>
  <c r="M8" i="1"/>
  <c r="N14" i="24"/>
  <c r="N16" i="22"/>
  <c r="N14" i="1"/>
  <c r="N15" i="19"/>
  <c r="C29" i="24"/>
  <c r="C28" i="24"/>
  <c r="C27" i="24"/>
  <c r="C26" i="24"/>
  <c r="D25" i="24"/>
  <c r="D26" i="24" s="1"/>
  <c r="D27" i="24" s="1"/>
  <c r="D28" i="24" s="1"/>
  <c r="D29" i="24" s="1"/>
  <c r="C25" i="24"/>
  <c r="Z12" i="24"/>
  <c r="Z11" i="24"/>
  <c r="Z10" i="24"/>
  <c r="Z9" i="24"/>
  <c r="Z8" i="24"/>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D25" i="22"/>
  <c r="C25" i="22"/>
  <c r="Z11" i="22"/>
  <c r="Z10" i="22"/>
  <c r="Z9" i="22"/>
  <c r="Z8" i="22"/>
  <c r="Z7" i="22"/>
  <c r="C28" i="19"/>
  <c r="C27" i="19"/>
  <c r="C26" i="19"/>
  <c r="D25" i="19"/>
  <c r="D26" i="19" s="1"/>
  <c r="D27" i="19" s="1"/>
  <c r="C25" i="19"/>
  <c r="Z12" i="19"/>
  <c r="Z11" i="19"/>
  <c r="Z10" i="19"/>
  <c r="Z9" i="19"/>
  <c r="Z8" i="19"/>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E6" i="12"/>
  <c r="O531" i="11"/>
  <c r="Q11" i="57" s="1"/>
  <c r="P522" i="11"/>
  <c r="O522" i="11" s="1"/>
  <c r="P10" i="57" s="1"/>
  <c r="P521" i="11"/>
  <c r="O521" i="11" s="1"/>
  <c r="O10" i="57" s="1"/>
  <c r="P515" i="11"/>
  <c r="O515" i="11" s="1"/>
  <c r="P9" i="57" s="1"/>
  <c r="P514" i="11"/>
  <c r="O514" i="11" s="1"/>
  <c r="O9" i="57" s="1"/>
  <c r="P508" i="11"/>
  <c r="O508" i="11" s="1"/>
  <c r="P8" i="57" s="1"/>
  <c r="P507" i="11"/>
  <c r="O507" i="11" s="1"/>
  <c r="O8" i="57" s="1"/>
  <c r="P500" i="11"/>
  <c r="P493" i="11"/>
  <c r="P488" i="11"/>
  <c r="P486" i="11"/>
  <c r="P480" i="11"/>
  <c r="P479" i="11"/>
  <c r="P466" i="11"/>
  <c r="P464" i="11"/>
  <c r="P458" i="11"/>
  <c r="P457" i="11"/>
  <c r="P450" i="11"/>
  <c r="P443" i="11"/>
  <c r="P437" i="11"/>
  <c r="P436" i="11"/>
  <c r="P429" i="11"/>
  <c r="C7" i="12"/>
  <c r="C8" i="12" s="1"/>
  <c r="C9" i="12" s="1"/>
  <c r="I104" i="67" l="1"/>
  <c r="I105" i="67"/>
  <c r="J105" i="67"/>
  <c r="J104" i="67"/>
  <c r="I106" i="67"/>
  <c r="J106" i="67"/>
  <c r="K107" i="67"/>
  <c r="D28" i="19"/>
  <c r="D29" i="19"/>
  <c r="E13" i="34"/>
  <c r="E14" i="34"/>
  <c r="E5" i="38"/>
  <c r="E11" i="38"/>
  <c r="E6" i="38"/>
  <c r="E10" i="38"/>
  <c r="E13" i="38"/>
  <c r="E15" i="38"/>
  <c r="E16" i="38"/>
  <c r="E17" i="38"/>
  <c r="E18" i="38"/>
  <c r="E7" i="40"/>
  <c r="E8" i="40"/>
  <c r="N54" i="57"/>
  <c r="H62" i="59"/>
  <c r="H13" i="59"/>
  <c r="N28" i="57"/>
  <c r="N35" i="57"/>
  <c r="H28" i="59"/>
  <c r="N36" i="57"/>
  <c r="H29" i="59"/>
  <c r="N42" i="57"/>
  <c r="H44" i="59"/>
  <c r="N52" i="57"/>
  <c r="H60" i="59"/>
  <c r="H12" i="59"/>
  <c r="N27" i="57"/>
  <c r="N43" i="57"/>
  <c r="H45" i="59"/>
  <c r="E6" i="40"/>
  <c r="E9" i="40"/>
  <c r="E11" i="40"/>
  <c r="E13" i="40"/>
  <c r="E14" i="40"/>
  <c r="E15" i="40"/>
  <c r="E16" i="40"/>
  <c r="E17" i="40"/>
  <c r="E5" i="40"/>
  <c r="E5" i="36"/>
  <c r="E7" i="36"/>
  <c r="E18" i="36"/>
  <c r="E17" i="34"/>
  <c r="E5" i="34"/>
  <c r="E6" i="34"/>
  <c r="E19" i="34"/>
  <c r="E7" i="34"/>
  <c r="E18" i="34"/>
  <c r="E8" i="34"/>
  <c r="E16" i="34"/>
  <c r="E10" i="34"/>
  <c r="E15" i="34"/>
  <c r="E9" i="34"/>
  <c r="E14" i="38"/>
  <c r="E7" i="38"/>
  <c r="E8" i="38"/>
  <c r="E8" i="36"/>
  <c r="E9" i="36"/>
  <c r="E10" i="36"/>
  <c r="E11" i="36"/>
  <c r="E13" i="36"/>
  <c r="E14" i="36"/>
  <c r="E15" i="36"/>
  <c r="E16" i="36"/>
  <c r="E17" i="36"/>
  <c r="E6" i="36"/>
  <c r="E28" i="30"/>
  <c r="P130" i="11"/>
  <c r="P129" i="11"/>
  <c r="E27" i="34"/>
  <c r="D29" i="30"/>
  <c r="E27" i="28"/>
  <c r="D30" i="24"/>
  <c r="D31" i="24" s="1"/>
  <c r="E28" i="24"/>
  <c r="E27" i="38"/>
  <c r="P523" i="11"/>
  <c r="O523" i="11" s="1"/>
  <c r="Q10" i="57" s="1"/>
  <c r="P459" i="11"/>
  <c r="O530" i="11"/>
  <c r="P11" i="57" s="1"/>
  <c r="P445" i="11"/>
  <c r="P446" i="11"/>
  <c r="P444" i="11"/>
  <c r="P487" i="11"/>
  <c r="P509" i="11"/>
  <c r="O509" i="11" s="1"/>
  <c r="Q8" i="57" s="1"/>
  <c r="P465" i="11"/>
  <c r="P438" i="11"/>
  <c r="P481" i="11"/>
  <c r="P516" i="11"/>
  <c r="O516" i="11" s="1"/>
  <c r="Q9" i="57" s="1"/>
  <c r="E28" i="34"/>
  <c r="D29" i="34"/>
  <c r="D28" i="40"/>
  <c r="D29" i="40" s="1"/>
  <c r="D30" i="40" s="1"/>
  <c r="D31" i="40" s="1"/>
  <c r="D32" i="40" s="1"/>
  <c r="E32" i="40" s="1"/>
  <c r="E28" i="38"/>
  <c r="D29" i="38"/>
  <c r="D30" i="38" s="1"/>
  <c r="E13" i="39"/>
  <c r="D14" i="39"/>
  <c r="D26" i="36"/>
  <c r="D27" i="36" s="1"/>
  <c r="E27" i="40"/>
  <c r="E28" i="28"/>
  <c r="D29" i="28"/>
  <c r="E27" i="30"/>
  <c r="D26" i="32"/>
  <c r="D27" i="32" s="1"/>
  <c r="D27" i="25"/>
  <c r="D28" i="25" s="1"/>
  <c r="D29" i="25" s="1"/>
  <c r="D30" i="25" s="1"/>
  <c r="E29" i="24"/>
  <c r="E27" i="24"/>
  <c r="D26" i="22"/>
  <c r="D27" i="22" s="1"/>
  <c r="D28" i="22" s="1"/>
  <c r="D29" i="22" s="1"/>
  <c r="D30" i="22" s="1"/>
  <c r="D31" i="22" s="1"/>
  <c r="D32" i="22" s="1"/>
  <c r="E28" i="19"/>
  <c r="E27" i="19"/>
  <c r="P452" i="11"/>
  <c r="P453" i="11"/>
  <c r="P495" i="11"/>
  <c r="P502" i="11"/>
  <c r="P431" i="11"/>
  <c r="P432" i="11"/>
  <c r="P489" i="11"/>
  <c r="P430" i="11"/>
  <c r="P451" i="11"/>
  <c r="P467" i="11"/>
  <c r="P494" i="11"/>
  <c r="P501" i="11"/>
  <c r="E7" i="12"/>
  <c r="E8" i="12"/>
  <c r="E9" i="12"/>
  <c r="C10" i="12"/>
  <c r="C25" i="1"/>
  <c r="K104" i="67" l="1"/>
  <c r="J107" i="67"/>
  <c r="K106" i="67"/>
  <c r="K105" i="67"/>
  <c r="D30" i="19"/>
  <c r="E29" i="19"/>
  <c r="Q1" i="19"/>
  <c r="Q2" i="19"/>
  <c r="Q2" i="28"/>
  <c r="Q1" i="28"/>
  <c r="X35" i="57"/>
  <c r="S35" i="57"/>
  <c r="H14" i="59"/>
  <c r="N29" i="57"/>
  <c r="N53" i="57"/>
  <c r="H61" i="59"/>
  <c r="N37" i="57"/>
  <c r="H30" i="59"/>
  <c r="N44" i="57"/>
  <c r="H46" i="59"/>
  <c r="P482" i="11"/>
  <c r="D28" i="32"/>
  <c r="D29" i="32"/>
  <c r="D30" i="28"/>
  <c r="D31" i="28"/>
  <c r="D28" i="36"/>
  <c r="D29" i="36"/>
  <c r="P131" i="11"/>
  <c r="P517" i="11"/>
  <c r="O517" i="11" s="1"/>
  <c r="R9" i="57" s="1"/>
  <c r="P510" i="11"/>
  <c r="O510" i="11" s="1"/>
  <c r="R8" i="57" s="1"/>
  <c r="P524" i="11"/>
  <c r="O524" i="11" s="1"/>
  <c r="R10" i="57" s="1"/>
  <c r="E27" i="36"/>
  <c r="E29" i="30"/>
  <c r="D30" i="30"/>
  <c r="E30" i="30" s="1"/>
  <c r="D31" i="30"/>
  <c r="D31" i="25"/>
  <c r="E31" i="25" s="1"/>
  <c r="D32" i="25"/>
  <c r="E30" i="24"/>
  <c r="E31" i="24"/>
  <c r="D32" i="24"/>
  <c r="P447" i="11"/>
  <c r="P511" i="11"/>
  <c r="O511" i="11" s="1"/>
  <c r="S8" i="57" s="1"/>
  <c r="P460" i="11"/>
  <c r="P490" i="11"/>
  <c r="P439" i="11"/>
  <c r="D15" i="39"/>
  <c r="E14" i="39"/>
  <c r="E29" i="38"/>
  <c r="E29" i="40"/>
  <c r="E28" i="40"/>
  <c r="E28" i="36"/>
  <c r="E29" i="34"/>
  <c r="D30" i="34"/>
  <c r="E30" i="40"/>
  <c r="D33" i="40"/>
  <c r="D35" i="40" s="1"/>
  <c r="E31" i="40"/>
  <c r="E30" i="38"/>
  <c r="D31" i="38"/>
  <c r="E29" i="28"/>
  <c r="E30" i="28"/>
  <c r="E28" i="32"/>
  <c r="E27" i="32"/>
  <c r="E29" i="25"/>
  <c r="E28" i="25"/>
  <c r="E30" i="25"/>
  <c r="E27" i="25"/>
  <c r="E27" i="22"/>
  <c r="D33" i="22"/>
  <c r="E33" i="22" s="1"/>
  <c r="D34" i="22"/>
  <c r="E31" i="22"/>
  <c r="E30" i="22"/>
  <c r="E32" i="22"/>
  <c r="E28" i="22"/>
  <c r="E29" i="22"/>
  <c r="O532" i="11"/>
  <c r="R11" i="57" s="1"/>
  <c r="P433" i="11"/>
  <c r="P496" i="11"/>
  <c r="P503" i="11"/>
  <c r="E10" i="12"/>
  <c r="C11" i="12"/>
  <c r="P135" i="11"/>
  <c r="P142" i="11"/>
  <c r="P149" i="11"/>
  <c r="P156" i="11"/>
  <c r="P163" i="11"/>
  <c r="P170" i="11"/>
  <c r="P177" i="11"/>
  <c r="P184" i="11"/>
  <c r="P191" i="11"/>
  <c r="P198" i="11"/>
  <c r="P205" i="11"/>
  <c r="O205" i="11" s="1"/>
  <c r="O8" i="28" s="1"/>
  <c r="P212" i="11"/>
  <c r="P219" i="11"/>
  <c r="P226" i="11"/>
  <c r="P233" i="11"/>
  <c r="P240" i="11"/>
  <c r="P247" i="11"/>
  <c r="P254" i="11"/>
  <c r="P261" i="11"/>
  <c r="P268" i="11"/>
  <c r="P275" i="11"/>
  <c r="P282" i="11"/>
  <c r="P289" i="11"/>
  <c r="P296" i="11"/>
  <c r="P303" i="11"/>
  <c r="P310" i="11"/>
  <c r="P317" i="11"/>
  <c r="P324" i="11"/>
  <c r="P331" i="11"/>
  <c r="P338" i="11"/>
  <c r="O338" i="11" s="1"/>
  <c r="O8" i="34" s="1"/>
  <c r="P345" i="11"/>
  <c r="P352" i="11"/>
  <c r="P359" i="11"/>
  <c r="P366" i="11"/>
  <c r="P373" i="11"/>
  <c r="P380" i="11"/>
  <c r="P387" i="11"/>
  <c r="P394" i="11"/>
  <c r="P401" i="11"/>
  <c r="P408" i="11"/>
  <c r="P415" i="11"/>
  <c r="P422"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44" i="11"/>
  <c r="P51" i="11"/>
  <c r="P58" i="11"/>
  <c r="P65" i="11"/>
  <c r="P72" i="11"/>
  <c r="P79" i="11"/>
  <c r="P86" i="11"/>
  <c r="P93" i="11"/>
  <c r="P100" i="11"/>
  <c r="P107" i="11"/>
  <c r="P114" i="11"/>
  <c r="P121" i="11"/>
  <c r="P2" i="11"/>
  <c r="B20" i="2"/>
  <c r="B19" i="2"/>
  <c r="B18" i="2"/>
  <c r="B17" i="2"/>
  <c r="B16" i="2"/>
  <c r="B15" i="2"/>
  <c r="B14" i="2"/>
  <c r="B13" i="2"/>
  <c r="B12" i="2"/>
  <c r="B11" i="2"/>
  <c r="B10" i="2"/>
  <c r="B9" i="2"/>
  <c r="B8" i="2"/>
  <c r="B7" i="2"/>
  <c r="B6" i="2"/>
  <c r="B5" i="2"/>
  <c r="B4" i="2"/>
  <c r="B3" i="2"/>
  <c r="B2" i="2"/>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P337" i="11"/>
  <c r="P330" i="11"/>
  <c r="P407" i="11"/>
  <c r="P358" i="11"/>
  <c r="P323" i="11"/>
  <c r="P302" i="11"/>
  <c r="P295" i="11"/>
  <c r="P288" i="11"/>
  <c r="P274" i="11"/>
  <c r="P253" i="11"/>
  <c r="P225" i="11"/>
  <c r="P204" i="11"/>
  <c r="P176" i="11"/>
  <c r="P155" i="11"/>
  <c r="P127" i="11"/>
  <c r="P43" i="11"/>
  <c r="P50" i="11"/>
  <c r="P78" i="11"/>
  <c r="L104" i="67" l="1"/>
  <c r="L106" i="67"/>
  <c r="L105" i="67"/>
  <c r="I47" i="67"/>
  <c r="L107" i="67"/>
  <c r="I79" i="67"/>
  <c r="M104" i="67"/>
  <c r="D31" i="19"/>
  <c r="E30" i="19"/>
  <c r="H15" i="59"/>
  <c r="N30" i="57"/>
  <c r="N55" i="57"/>
  <c r="H63" i="59"/>
  <c r="N31" i="57"/>
  <c r="H16" i="59"/>
  <c r="N45" i="57"/>
  <c r="H47" i="59"/>
  <c r="N38" i="57"/>
  <c r="H31" i="59"/>
  <c r="P470" i="11"/>
  <c r="E29" i="32"/>
  <c r="D30" i="32"/>
  <c r="D32" i="28"/>
  <c r="E31" i="28"/>
  <c r="E35" i="40"/>
  <c r="D36" i="40"/>
  <c r="E33" i="40"/>
  <c r="D34" i="40"/>
  <c r="E34" i="40" s="1"/>
  <c r="E29" i="36"/>
  <c r="D30" i="36"/>
  <c r="P454" i="11"/>
  <c r="P440" i="11"/>
  <c r="P132" i="11"/>
  <c r="P513" i="11"/>
  <c r="O513" i="11" s="1"/>
  <c r="E31" i="30"/>
  <c r="D32" i="30"/>
  <c r="E32" i="25"/>
  <c r="D33" i="25"/>
  <c r="D33" i="24"/>
  <c r="D35" i="24" s="1"/>
  <c r="E32" i="24"/>
  <c r="P483" i="11"/>
  <c r="P468" i="11"/>
  <c r="O468" i="11" s="1"/>
  <c r="P347" i="11"/>
  <c r="O347" i="11" s="1"/>
  <c r="Q9" i="34" s="1"/>
  <c r="P136" i="11"/>
  <c r="P346" i="11"/>
  <c r="O346" i="11" s="1"/>
  <c r="P9" i="34" s="1"/>
  <c r="P388" i="11"/>
  <c r="O388" i="11" s="1"/>
  <c r="P328" i="11"/>
  <c r="P252" i="11"/>
  <c r="O252" i="11" s="1"/>
  <c r="P312" i="11"/>
  <c r="P311" i="11"/>
  <c r="D16" i="39"/>
  <c r="E15" i="39"/>
  <c r="D31" i="34"/>
  <c r="D33" i="34" s="1"/>
  <c r="E30" i="34"/>
  <c r="D32" i="38"/>
  <c r="E31" i="38"/>
  <c r="D35" i="22"/>
  <c r="D36" i="22" s="1"/>
  <c r="O275" i="11"/>
  <c r="O12" i="30" s="1"/>
  <c r="O170" i="11"/>
  <c r="O8" i="25" s="1"/>
  <c r="O247" i="11"/>
  <c r="O8" i="30" s="1"/>
  <c r="O274" i="11"/>
  <c r="O407" i="11"/>
  <c r="O464" i="11"/>
  <c r="O429" i="11"/>
  <c r="O8" i="38" s="1"/>
  <c r="O465" i="11"/>
  <c r="O466" i="11"/>
  <c r="O261" i="11"/>
  <c r="O10" i="30" s="1"/>
  <c r="O254" i="11"/>
  <c r="O9" i="30" s="1"/>
  <c r="O79" i="11"/>
  <c r="O380" i="11"/>
  <c r="O432" i="11"/>
  <c r="R8" i="38" s="1"/>
  <c r="O352" i="11"/>
  <c r="O10" i="34" s="1"/>
  <c r="O142" i="11"/>
  <c r="O467" i="11"/>
  <c r="O253" i="11"/>
  <c r="O2" i="11"/>
  <c r="O422" i="11"/>
  <c r="O14" i="36" s="1"/>
  <c r="O430" i="11"/>
  <c r="P8" i="38" s="1"/>
  <c r="O401" i="11"/>
  <c r="O11" i="36" s="1"/>
  <c r="O37" i="11"/>
  <c r="O289" i="11"/>
  <c r="O135" i="11"/>
  <c r="O8" i="24" s="1"/>
  <c r="O431" i="11"/>
  <c r="Q8" i="38" s="1"/>
  <c r="P74" i="11"/>
  <c r="P42" i="11"/>
  <c r="O42" i="11" s="1"/>
  <c r="H17" i="63" s="1"/>
  <c r="P356" i="11"/>
  <c r="P326" i="11"/>
  <c r="P220" i="11"/>
  <c r="P192" i="11"/>
  <c r="P73" i="11"/>
  <c r="P41" i="11"/>
  <c r="O41" i="11" s="1"/>
  <c r="H16" i="63" s="1"/>
  <c r="O387" i="11"/>
  <c r="P355" i="11"/>
  <c r="P325" i="11"/>
  <c r="O282" i="11"/>
  <c r="O13" i="30" s="1"/>
  <c r="P251" i="11"/>
  <c r="O251" i="11" s="1"/>
  <c r="P126" i="11"/>
  <c r="P525" i="11"/>
  <c r="O525" i="11" s="1"/>
  <c r="S10" i="57" s="1"/>
  <c r="P40" i="11"/>
  <c r="O40" i="11" s="1"/>
  <c r="H15" i="63" s="1"/>
  <c r="P385" i="11"/>
  <c r="O385" i="11" s="1"/>
  <c r="P301" i="11"/>
  <c r="P250" i="11"/>
  <c r="O250" i="11" s="1"/>
  <c r="R8" i="30" s="1"/>
  <c r="O212" i="11"/>
  <c r="O9" i="28" s="1"/>
  <c r="P157" i="11"/>
  <c r="P125" i="11"/>
  <c r="P115" i="11"/>
  <c r="O415" i="11"/>
  <c r="O13" i="36" s="1"/>
  <c r="P384" i="11"/>
  <c r="O384" i="11" s="1"/>
  <c r="P300" i="11"/>
  <c r="P181" i="11"/>
  <c r="P124" i="11"/>
  <c r="P518" i="11"/>
  <c r="O518" i="11" s="1"/>
  <c r="S9" i="57" s="1"/>
  <c r="O408" i="11"/>
  <c r="O12" i="36" s="1"/>
  <c r="P322" i="11"/>
  <c r="P299" i="11"/>
  <c r="P273" i="11"/>
  <c r="O273" i="11" s="1"/>
  <c r="P180" i="11"/>
  <c r="P123" i="11"/>
  <c r="O345" i="11"/>
  <c r="O9" i="34" s="1"/>
  <c r="P321" i="11"/>
  <c r="P298" i="11"/>
  <c r="P272" i="11"/>
  <c r="O272" i="11" s="1"/>
  <c r="S11" i="30" s="1"/>
  <c r="P203" i="11"/>
  <c r="P179" i="11"/>
  <c r="P154" i="11"/>
  <c r="P122" i="11"/>
  <c r="O288" i="11"/>
  <c r="P406" i="11"/>
  <c r="O406" i="11" s="1"/>
  <c r="P320" i="11"/>
  <c r="P297" i="11"/>
  <c r="P271" i="11"/>
  <c r="O271" i="11" s="1"/>
  <c r="R11" i="30" s="1"/>
  <c r="P228" i="11"/>
  <c r="P202" i="11"/>
  <c r="P178" i="11"/>
  <c r="P153" i="11"/>
  <c r="P94" i="11"/>
  <c r="P49" i="11"/>
  <c r="O49" i="11" s="1"/>
  <c r="P405" i="11"/>
  <c r="O405" i="11" s="1"/>
  <c r="S11" i="36" s="1"/>
  <c r="P361" i="11"/>
  <c r="P333" i="11"/>
  <c r="P319" i="11"/>
  <c r="O268" i="11"/>
  <c r="O11" i="30" s="1"/>
  <c r="P227" i="11"/>
  <c r="P201" i="11"/>
  <c r="P152" i="11"/>
  <c r="O533" i="11"/>
  <c r="S11" i="57" s="1"/>
  <c r="P46" i="11"/>
  <c r="O46" i="11" s="1"/>
  <c r="P404" i="11"/>
  <c r="O404" i="11" s="1"/>
  <c r="R11" i="36" s="1"/>
  <c r="P360" i="11"/>
  <c r="P332" i="11"/>
  <c r="P200" i="11"/>
  <c r="P151" i="11"/>
  <c r="P504" i="11"/>
  <c r="P45" i="11"/>
  <c r="O45" i="11" s="1"/>
  <c r="P403" i="11"/>
  <c r="O403" i="11" s="1"/>
  <c r="Q11" i="36" s="1"/>
  <c r="P313" i="11"/>
  <c r="P292" i="11"/>
  <c r="O292" i="11" s="1"/>
  <c r="H15" i="62" s="1"/>
  <c r="P255" i="11"/>
  <c r="O255" i="11" s="1"/>
  <c r="P9" i="30" s="1"/>
  <c r="P199" i="11"/>
  <c r="P175" i="11"/>
  <c r="O175" i="11" s="1"/>
  <c r="P291" i="11"/>
  <c r="O291" i="11" s="1"/>
  <c r="H14" i="62" s="1"/>
  <c r="P224" i="11"/>
  <c r="P172" i="11"/>
  <c r="O172" i="11" s="1"/>
  <c r="Q8" i="25" s="1"/>
  <c r="P497" i="11"/>
  <c r="P75" i="11"/>
  <c r="O394" i="11"/>
  <c r="O10" i="36" s="1"/>
  <c r="P357" i="11"/>
  <c r="P327" i="11"/>
  <c r="P290" i="11"/>
  <c r="O290" i="11" s="1"/>
  <c r="P223" i="11"/>
  <c r="P193" i="11"/>
  <c r="P171" i="11"/>
  <c r="O171" i="11" s="1"/>
  <c r="P8" i="25" s="1"/>
  <c r="O136" i="11"/>
  <c r="P8" i="24" s="1"/>
  <c r="E11" i="12"/>
  <c r="P492" i="11"/>
  <c r="P491" i="11"/>
  <c r="P485" i="11"/>
  <c r="P484" i="11"/>
  <c r="P469" i="11"/>
  <c r="O469" i="11" s="1"/>
  <c r="O433" i="11"/>
  <c r="S8" i="38" s="1"/>
  <c r="P456" i="11"/>
  <c r="P455" i="11"/>
  <c r="P435" i="11"/>
  <c r="P434" i="11"/>
  <c r="C12" i="12"/>
  <c r="P80" i="11"/>
  <c r="O80" i="11" s="1"/>
  <c r="P87" i="11"/>
  <c r="O50" i="11"/>
  <c r="H34" i="63" s="1"/>
  <c r="O43" i="11"/>
  <c r="H18" i="63" s="1"/>
  <c r="P169" i="11"/>
  <c r="P168" i="11"/>
  <c r="P206" i="11"/>
  <c r="O206" i="11" s="1"/>
  <c r="P8" i="28" s="1"/>
  <c r="P389" i="11"/>
  <c r="O389" i="11" s="1"/>
  <c r="P104" i="11"/>
  <c r="P214" i="11"/>
  <c r="P262" i="11"/>
  <c r="O262" i="11" s="1"/>
  <c r="P10" i="30" s="1"/>
  <c r="P348" i="11"/>
  <c r="O348" i="11" s="1"/>
  <c r="P424" i="11"/>
  <c r="O424" i="11" s="1"/>
  <c r="Q14" i="36" s="1"/>
  <c r="P103" i="11"/>
  <c r="P102" i="11"/>
  <c r="P423" i="11"/>
  <c r="O423" i="11" s="1"/>
  <c r="P14" i="36" s="1"/>
  <c r="P285" i="11"/>
  <c r="O285" i="11" s="1"/>
  <c r="R13" i="30" s="1"/>
  <c r="P95" i="11"/>
  <c r="P108" i="11"/>
  <c r="P340" i="11"/>
  <c r="O340" i="11" s="1"/>
  <c r="Q8" i="34" s="1"/>
  <c r="P287" i="11"/>
  <c r="O287" i="11" s="1"/>
  <c r="P165" i="11"/>
  <c r="P66" i="11"/>
  <c r="P116" i="11"/>
  <c r="P194" i="11"/>
  <c r="P242" i="11"/>
  <c r="P314" i="11"/>
  <c r="P395" i="11"/>
  <c r="O395" i="11" s="1"/>
  <c r="P10" i="36" s="1"/>
  <c r="P339" i="11"/>
  <c r="O339" i="11" s="1"/>
  <c r="P8" i="34" s="1"/>
  <c r="P164" i="11"/>
  <c r="P52" i="11"/>
  <c r="P101" i="11"/>
  <c r="P284" i="11"/>
  <c r="O284" i="11" s="1"/>
  <c r="Q13" i="30" s="1"/>
  <c r="P137" i="11"/>
  <c r="O137" i="11" s="1"/>
  <c r="Q8" i="24" s="1"/>
  <c r="P185" i="11"/>
  <c r="P234" i="11"/>
  <c r="P257" i="11"/>
  <c r="O257" i="11" s="1"/>
  <c r="R9" i="30" s="1"/>
  <c r="P304" i="11"/>
  <c r="P341" i="11"/>
  <c r="O341" i="11" s="1"/>
  <c r="R8" i="34" s="1"/>
  <c r="P367" i="11"/>
  <c r="P416" i="11"/>
  <c r="O416" i="11" s="1"/>
  <c r="P13" i="36" s="1"/>
  <c r="O44" i="11"/>
  <c r="P167" i="11"/>
  <c r="P166" i="11"/>
  <c r="P143" i="11"/>
  <c r="P374" i="11"/>
  <c r="P286" i="11"/>
  <c r="O286" i="11" s="1"/>
  <c r="S13" i="30" s="1"/>
  <c r="P241" i="11"/>
  <c r="P59" i="11"/>
  <c r="P77" i="11"/>
  <c r="P76" i="11"/>
  <c r="P283" i="11"/>
  <c r="O283" i="11" s="1"/>
  <c r="P13" i="30" s="1"/>
  <c r="P256" i="11"/>
  <c r="O256" i="11" s="1"/>
  <c r="Q9" i="30" s="1"/>
  <c r="P213" i="11"/>
  <c r="O213" i="11" s="1"/>
  <c r="P9" i="28" s="1"/>
  <c r="O295" i="11"/>
  <c r="H18" i="62" s="1"/>
  <c r="P39" i="11"/>
  <c r="O39" i="11" s="1"/>
  <c r="H14" i="63" s="1"/>
  <c r="O3" i="11"/>
  <c r="H13" i="61" s="1"/>
  <c r="P383" i="11"/>
  <c r="O383" i="11" s="1"/>
  <c r="P249" i="11"/>
  <c r="O249" i="11" s="1"/>
  <c r="Q8" i="30" s="1"/>
  <c r="P38" i="11"/>
  <c r="O38" i="11" s="1"/>
  <c r="P382" i="11"/>
  <c r="O382" i="11" s="1"/>
  <c r="P336" i="11"/>
  <c r="P277" i="11"/>
  <c r="O277" i="11" s="1"/>
  <c r="Q12" i="30" s="1"/>
  <c r="P248" i="11"/>
  <c r="O248" i="11" s="1"/>
  <c r="P8" i="30" s="1"/>
  <c r="P158" i="11"/>
  <c r="P183" i="11"/>
  <c r="P182" i="11"/>
  <c r="P230" i="11"/>
  <c r="P278" i="11"/>
  <c r="O278" i="11" s="1"/>
  <c r="R12" i="30" s="1"/>
  <c r="P362" i="11"/>
  <c r="P386" i="11"/>
  <c r="O386" i="11" s="1"/>
  <c r="P410" i="11"/>
  <c r="O410" i="11" s="1"/>
  <c r="Q12" i="36" s="1"/>
  <c r="P381" i="11"/>
  <c r="O381" i="11" s="1"/>
  <c r="P335" i="11"/>
  <c r="P276" i="11"/>
  <c r="O276" i="11" s="1"/>
  <c r="P12" i="30" s="1"/>
  <c r="P409" i="11"/>
  <c r="O409" i="11" s="1"/>
  <c r="P12" i="36" s="1"/>
  <c r="P334" i="11"/>
  <c r="P229" i="11"/>
  <c r="P48" i="11"/>
  <c r="O48" i="11" s="1"/>
  <c r="P402" i="11"/>
  <c r="O402" i="11" s="1"/>
  <c r="P11" i="36" s="1"/>
  <c r="P354" i="11"/>
  <c r="P318" i="11"/>
  <c r="P294" i="11"/>
  <c r="O294" i="11" s="1"/>
  <c r="H17" i="62" s="1"/>
  <c r="P270" i="11"/>
  <c r="O270" i="11" s="1"/>
  <c r="Q11" i="30" s="1"/>
  <c r="P222" i="11"/>
  <c r="P174" i="11"/>
  <c r="O174" i="11" s="1"/>
  <c r="S8" i="25" s="1"/>
  <c r="P150" i="11"/>
  <c r="P47" i="11"/>
  <c r="O47" i="11" s="1"/>
  <c r="P353" i="11"/>
  <c r="P329" i="11"/>
  <c r="P293" i="11"/>
  <c r="O293" i="11" s="1"/>
  <c r="H16" i="62" s="1"/>
  <c r="P269" i="11"/>
  <c r="O269" i="11" s="1"/>
  <c r="P11" i="30" s="1"/>
  <c r="P221" i="11"/>
  <c r="P173" i="11"/>
  <c r="O173" i="11" s="1"/>
  <c r="R8" i="25" s="1"/>
  <c r="K91" i="67" l="1"/>
  <c r="I91" i="67"/>
  <c r="J40" i="67"/>
  <c r="L90" i="67"/>
  <c r="M105" i="67"/>
  <c r="I72" i="67"/>
  <c r="L40" i="67"/>
  <c r="K33" i="67"/>
  <c r="K60" i="67"/>
  <c r="M58" i="67"/>
  <c r="M106" i="67"/>
  <c r="J58" i="67"/>
  <c r="J90" i="67"/>
  <c r="K79" i="67"/>
  <c r="L59" i="67"/>
  <c r="J56" i="67"/>
  <c r="M107" i="67"/>
  <c r="J47" i="67"/>
  <c r="M72" i="67"/>
  <c r="I81" i="67"/>
  <c r="I55" i="67"/>
  <c r="J57" i="67"/>
  <c r="L58" i="67"/>
  <c r="I80" i="67"/>
  <c r="I92" i="67"/>
  <c r="I60" i="67"/>
  <c r="K72" i="67"/>
  <c r="L72" i="67"/>
  <c r="I40" i="67"/>
  <c r="M60" i="67"/>
  <c r="K90" i="67"/>
  <c r="J92" i="67"/>
  <c r="J79" i="67"/>
  <c r="I58" i="67"/>
  <c r="I33" i="67"/>
  <c r="I59" i="67"/>
  <c r="K55" i="67"/>
  <c r="L60" i="67"/>
  <c r="I89" i="67"/>
  <c r="J91" i="67"/>
  <c r="J55" i="67"/>
  <c r="J60" i="67"/>
  <c r="J89" i="67"/>
  <c r="J93" i="67"/>
  <c r="J80" i="67"/>
  <c r="K58" i="67"/>
  <c r="K56" i="67"/>
  <c r="J59" i="67"/>
  <c r="K59" i="67"/>
  <c r="L79" i="67"/>
  <c r="I56" i="67"/>
  <c r="I93" i="67"/>
  <c r="M40" i="67"/>
  <c r="K40" i="67"/>
  <c r="I48" i="67"/>
  <c r="I90" i="67"/>
  <c r="I57" i="67"/>
  <c r="K80" i="67"/>
  <c r="J33" i="67"/>
  <c r="J48" i="67"/>
  <c r="L56" i="67"/>
  <c r="K93" i="67"/>
  <c r="M90" i="67"/>
  <c r="L55" i="67"/>
  <c r="J72" i="67"/>
  <c r="H17" i="66"/>
  <c r="H13" i="66"/>
  <c r="H12" i="66"/>
  <c r="H15" i="66"/>
  <c r="H16" i="66"/>
  <c r="H14" i="65"/>
  <c r="H14" i="66"/>
  <c r="H13" i="65"/>
  <c r="O9" i="24"/>
  <c r="H28" i="65"/>
  <c r="O8" i="40"/>
  <c r="H12" i="65"/>
  <c r="T8" i="40"/>
  <c r="O7" i="22"/>
  <c r="H12" i="64"/>
  <c r="P7" i="22"/>
  <c r="H13" i="64"/>
  <c r="T9" i="19"/>
  <c r="H33" i="63"/>
  <c r="P8" i="19"/>
  <c r="H13" i="63"/>
  <c r="S9" i="19"/>
  <c r="H32" i="63"/>
  <c r="Q9" i="19"/>
  <c r="H30" i="63"/>
  <c r="P9" i="19"/>
  <c r="H29" i="63"/>
  <c r="R9" i="19"/>
  <c r="H31" i="63"/>
  <c r="O9" i="19"/>
  <c r="H28" i="63"/>
  <c r="O8" i="19"/>
  <c r="H12" i="63"/>
  <c r="P8" i="32"/>
  <c r="H13" i="62"/>
  <c r="O8" i="32"/>
  <c r="H12" i="62"/>
  <c r="O8" i="1"/>
  <c r="H12" i="61"/>
  <c r="D32" i="19"/>
  <c r="E31" i="19"/>
  <c r="P8" i="1"/>
  <c r="N28" i="36"/>
  <c r="P8" i="36"/>
  <c r="N28" i="40"/>
  <c r="P8" i="40"/>
  <c r="N31" i="40"/>
  <c r="S8" i="40"/>
  <c r="N27" i="36"/>
  <c r="O8" i="36"/>
  <c r="Q9" i="36"/>
  <c r="N30" i="40"/>
  <c r="R8" i="40"/>
  <c r="O9" i="36"/>
  <c r="N29" i="40"/>
  <c r="Q8" i="40"/>
  <c r="P9" i="36"/>
  <c r="N33" i="40"/>
  <c r="X30" i="57"/>
  <c r="S30" i="57"/>
  <c r="H18" i="59"/>
  <c r="N32" i="40"/>
  <c r="N46" i="57"/>
  <c r="H48" i="59"/>
  <c r="H12" i="55"/>
  <c r="N27" i="40"/>
  <c r="N56" i="57"/>
  <c r="H64" i="59"/>
  <c r="N39" i="57"/>
  <c r="H32" i="59"/>
  <c r="N34" i="40"/>
  <c r="P442" i="11"/>
  <c r="E33" i="34"/>
  <c r="D34" i="34"/>
  <c r="E30" i="32"/>
  <c r="D31" i="32"/>
  <c r="E32" i="28"/>
  <c r="D33" i="28"/>
  <c r="D37" i="40"/>
  <c r="E36" i="40"/>
  <c r="E30" i="36"/>
  <c r="D31" i="36"/>
  <c r="P441" i="11"/>
  <c r="P512" i="11"/>
  <c r="O512" i="11" s="1"/>
  <c r="P134" i="11"/>
  <c r="P133" i="11"/>
  <c r="P449" i="11"/>
  <c r="P448" i="11"/>
  <c r="E32" i="30"/>
  <c r="D33" i="30"/>
  <c r="E33" i="25"/>
  <c r="D34" i="25"/>
  <c r="D36" i="24"/>
  <c r="E35" i="24"/>
  <c r="D34" i="24"/>
  <c r="E34" i="24" s="1"/>
  <c r="E33" i="24"/>
  <c r="P461" i="11"/>
  <c r="O143" i="11"/>
  <c r="O4" i="11"/>
  <c r="O353" i="11"/>
  <c r="P10" i="34" s="1"/>
  <c r="O214" i="11"/>
  <c r="Q9" i="28" s="1"/>
  <c r="D32" i="34"/>
  <c r="E31" i="34"/>
  <c r="D17" i="39"/>
  <c r="E16" i="39"/>
  <c r="D33" i="38"/>
  <c r="E32" i="38"/>
  <c r="D37" i="22"/>
  <c r="E36" i="22"/>
  <c r="P527" i="11"/>
  <c r="O527" i="11" s="1"/>
  <c r="U10" i="57" s="1"/>
  <c r="P526" i="11"/>
  <c r="O526" i="11" s="1"/>
  <c r="T10" i="57" s="1"/>
  <c r="P499" i="11"/>
  <c r="P498" i="11"/>
  <c r="H66" i="59"/>
  <c r="H65" i="59"/>
  <c r="P506" i="11"/>
  <c r="P505" i="11"/>
  <c r="P520" i="11"/>
  <c r="O520" i="11" s="1"/>
  <c r="P519" i="11"/>
  <c r="O519" i="11" s="1"/>
  <c r="H33" i="59" s="1"/>
  <c r="E12" i="12"/>
  <c r="O434" i="11"/>
  <c r="T8" i="38" s="1"/>
  <c r="O435" i="11"/>
  <c r="C13" i="12"/>
  <c r="P396" i="11"/>
  <c r="O396" i="11" s="1"/>
  <c r="Q10" i="36" s="1"/>
  <c r="P159" i="11"/>
  <c r="P235" i="11"/>
  <c r="P243" i="11"/>
  <c r="P263" i="11"/>
  <c r="O263" i="11" s="1"/>
  <c r="P390" i="11"/>
  <c r="O390" i="11" s="1"/>
  <c r="P88" i="11"/>
  <c r="O150" i="11"/>
  <c r="P10" i="24" s="1"/>
  <c r="P417" i="11"/>
  <c r="O417" i="11" s="1"/>
  <c r="Q13" i="36" s="1"/>
  <c r="P186" i="11"/>
  <c r="P53" i="11"/>
  <c r="O149" i="11"/>
  <c r="O10" i="24" s="1"/>
  <c r="P207" i="11"/>
  <c r="O207" i="11" s="1"/>
  <c r="Q8" i="28" s="1"/>
  <c r="P279" i="11"/>
  <c r="O279" i="11" s="1"/>
  <c r="P368" i="11"/>
  <c r="P138" i="11"/>
  <c r="O138" i="11" s="1"/>
  <c r="H15" i="65" s="1"/>
  <c r="O296" i="11"/>
  <c r="P60" i="11"/>
  <c r="P117" i="11"/>
  <c r="P232" i="11"/>
  <c r="P231" i="11"/>
  <c r="P342" i="11"/>
  <c r="O342" i="11" s="1"/>
  <c r="S8" i="34" s="1"/>
  <c r="O176" i="11"/>
  <c r="H18" i="66" s="1"/>
  <c r="P425" i="11"/>
  <c r="O425" i="11" s="1"/>
  <c r="R14" i="36" s="1"/>
  <c r="P375" i="11"/>
  <c r="P258" i="11"/>
  <c r="O258" i="11" s="1"/>
  <c r="S9" i="30" s="1"/>
  <c r="P316" i="11"/>
  <c r="P315" i="11"/>
  <c r="P349" i="11"/>
  <c r="O349" i="11" s="1"/>
  <c r="P363" i="11"/>
  <c r="O51" i="11"/>
  <c r="P109" i="11"/>
  <c r="O354" i="11"/>
  <c r="Q10" i="34" s="1"/>
  <c r="P144" i="11"/>
  <c r="O144" i="11" s="1"/>
  <c r="P195" i="11"/>
  <c r="P215" i="11"/>
  <c r="P81" i="11"/>
  <c r="O81" i="11" s="1"/>
  <c r="P67" i="11"/>
  <c r="P96" i="11"/>
  <c r="P411" i="11"/>
  <c r="O411" i="11" s="1"/>
  <c r="R12" i="36" s="1"/>
  <c r="P305" i="11"/>
  <c r="P105" i="11"/>
  <c r="K81" i="67" l="1"/>
  <c r="J35" i="67"/>
  <c r="I96" i="67"/>
  <c r="I63" i="67"/>
  <c r="J63" i="67"/>
  <c r="M16" i="67"/>
  <c r="I87" i="67"/>
  <c r="N72" i="67"/>
  <c r="I34" i="67"/>
  <c r="J16" i="67"/>
  <c r="K92" i="67"/>
  <c r="J96" i="67"/>
  <c r="J88" i="67"/>
  <c r="K96" i="67"/>
  <c r="J87" i="67"/>
  <c r="I15" i="67"/>
  <c r="J15" i="67"/>
  <c r="I23" i="67"/>
  <c r="K16" i="67"/>
  <c r="L91" i="67"/>
  <c r="O106" i="67"/>
  <c r="I8" i="67"/>
  <c r="M79" i="67"/>
  <c r="M96" i="67"/>
  <c r="I88" i="67"/>
  <c r="J8" i="67"/>
  <c r="I16" i="67"/>
  <c r="N16" i="67"/>
  <c r="M56" i="67"/>
  <c r="K48" i="67"/>
  <c r="L96" i="67"/>
  <c r="K47" i="67"/>
  <c r="K89" i="67"/>
  <c r="J81" i="67"/>
  <c r="L16" i="67"/>
  <c r="J23" i="67"/>
  <c r="N96" i="67"/>
  <c r="L93" i="67"/>
  <c r="I35" i="67"/>
  <c r="N106" i="67"/>
  <c r="K88" i="67"/>
  <c r="Q9" i="24"/>
  <c r="H30" i="65"/>
  <c r="P9" i="24"/>
  <c r="H29" i="65"/>
  <c r="Q7" i="22"/>
  <c r="H14" i="64"/>
  <c r="O10" i="19"/>
  <c r="H44" i="63"/>
  <c r="O9" i="32"/>
  <c r="H28" i="62"/>
  <c r="Q8" i="1"/>
  <c r="H14" i="61"/>
  <c r="D33" i="19"/>
  <c r="E32" i="19"/>
  <c r="S31" i="40"/>
  <c r="S29" i="40"/>
  <c r="H34" i="59"/>
  <c r="S30" i="40"/>
  <c r="R9" i="36"/>
  <c r="S32" i="40"/>
  <c r="S33" i="40"/>
  <c r="H19" i="55"/>
  <c r="N47" i="57"/>
  <c r="H49" i="59"/>
  <c r="N48" i="57"/>
  <c r="H50" i="59"/>
  <c r="N32" i="57"/>
  <c r="H17" i="59"/>
  <c r="E34" i="34"/>
  <c r="D35" i="34"/>
  <c r="D32" i="32"/>
  <c r="E31" i="32"/>
  <c r="D34" i="28"/>
  <c r="E33" i="28"/>
  <c r="E37" i="40"/>
  <c r="N37" i="40" s="1"/>
  <c r="D38" i="40"/>
  <c r="E31" i="36"/>
  <c r="N31" i="36" s="1"/>
  <c r="D32" i="36"/>
  <c r="D34" i="30"/>
  <c r="E33" i="30"/>
  <c r="E34" i="25"/>
  <c r="D35" i="25"/>
  <c r="E36" i="24"/>
  <c r="D37" i="24"/>
  <c r="P463" i="11"/>
  <c r="P462" i="11"/>
  <c r="O5" i="11"/>
  <c r="E32" i="34"/>
  <c r="D34" i="38"/>
  <c r="D35" i="38" s="1"/>
  <c r="D18" i="39"/>
  <c r="E17" i="39"/>
  <c r="D38" i="22"/>
  <c r="E37" i="22"/>
  <c r="O52" i="11"/>
  <c r="E13" i="12"/>
  <c r="C14" i="12"/>
  <c r="P426" i="11"/>
  <c r="O426" i="11" s="1"/>
  <c r="S14" i="36" s="1"/>
  <c r="P145" i="11"/>
  <c r="O145" i="11" s="1"/>
  <c r="H31" i="65" s="1"/>
  <c r="P236" i="11"/>
  <c r="P61" i="11"/>
  <c r="P54" i="11"/>
  <c r="P264" i="11"/>
  <c r="O264" i="11" s="1"/>
  <c r="P280" i="11"/>
  <c r="O280" i="11" s="1"/>
  <c r="P412" i="11"/>
  <c r="O412" i="11" s="1"/>
  <c r="S12" i="36" s="1"/>
  <c r="P160" i="11"/>
  <c r="O215" i="11"/>
  <c r="R9" i="28" s="1"/>
  <c r="P208" i="11"/>
  <c r="O208" i="11" s="1"/>
  <c r="R8" i="28" s="1"/>
  <c r="P418" i="11"/>
  <c r="O418" i="11" s="1"/>
  <c r="R13" i="36" s="1"/>
  <c r="P216" i="11"/>
  <c r="P259" i="11"/>
  <c r="O259" i="11" s="1"/>
  <c r="T9" i="30" s="1"/>
  <c r="P89" i="11"/>
  <c r="P306" i="11"/>
  <c r="P343" i="11"/>
  <c r="O343" i="11" s="1"/>
  <c r="T8" i="34" s="1"/>
  <c r="P391" i="11"/>
  <c r="O391" i="11" s="1"/>
  <c r="P110" i="11"/>
  <c r="P365" i="11"/>
  <c r="P364" i="11"/>
  <c r="P139" i="11"/>
  <c r="O139" i="11" s="1"/>
  <c r="H16" i="65" s="1"/>
  <c r="P68" i="11"/>
  <c r="P118" i="11"/>
  <c r="P350" i="11"/>
  <c r="O350" i="11" s="1"/>
  <c r="P369" i="11"/>
  <c r="O297" i="11"/>
  <c r="P187" i="11"/>
  <c r="P244" i="11"/>
  <c r="P82" i="11"/>
  <c r="O82" i="11" s="1"/>
  <c r="O177" i="11"/>
  <c r="P106" i="11"/>
  <c r="P97" i="11"/>
  <c r="P197" i="11"/>
  <c r="P196" i="11"/>
  <c r="P376" i="11"/>
  <c r="P397" i="11"/>
  <c r="O397" i="11" s="1"/>
  <c r="R10" i="36" s="1"/>
  <c r="N79" i="67" l="1"/>
  <c r="K34" i="67"/>
  <c r="N56" i="67"/>
  <c r="I64" i="67"/>
  <c r="M93" i="67"/>
  <c r="L92" i="67"/>
  <c r="L89" i="67"/>
  <c r="L88" i="67"/>
  <c r="I17" i="67"/>
  <c r="L48" i="67"/>
  <c r="K8" i="67"/>
  <c r="K23" i="67"/>
  <c r="L47" i="67"/>
  <c r="M91" i="67"/>
  <c r="J34" i="67"/>
  <c r="O9" i="25"/>
  <c r="H28" i="66"/>
  <c r="R7" i="22"/>
  <c r="H15" i="64"/>
  <c r="P10" i="19"/>
  <c r="H45" i="63"/>
  <c r="P9" i="32"/>
  <c r="H29" i="62"/>
  <c r="O20" i="57"/>
  <c r="R8" i="1"/>
  <c r="H15" i="61"/>
  <c r="D34" i="19"/>
  <c r="E33" i="19"/>
  <c r="S9" i="36"/>
  <c r="X47" i="57"/>
  <c r="S47" i="57"/>
  <c r="X32" i="57"/>
  <c r="S32" i="57"/>
  <c r="E35" i="34"/>
  <c r="D36" i="34"/>
  <c r="D33" i="32"/>
  <c r="E32" i="32"/>
  <c r="D35" i="28"/>
  <c r="E34" i="28"/>
  <c r="E38" i="40"/>
  <c r="D39" i="40"/>
  <c r="D33" i="36"/>
  <c r="E32" i="36"/>
  <c r="N32" i="36" s="1"/>
  <c r="E34" i="30"/>
  <c r="D35" i="30"/>
  <c r="D36" i="25"/>
  <c r="E35" i="25"/>
  <c r="E37" i="24"/>
  <c r="D38" i="24"/>
  <c r="O6" i="11"/>
  <c r="D36" i="38"/>
  <c r="D38" i="38" s="1"/>
  <c r="E35" i="38"/>
  <c r="E18" i="39"/>
  <c r="D19" i="39"/>
  <c r="D39" i="22"/>
  <c r="E38" i="22"/>
  <c r="E14" i="12"/>
  <c r="N38" i="40"/>
  <c r="O436" i="11"/>
  <c r="O9" i="38" s="1"/>
  <c r="C15" i="12"/>
  <c r="P398" i="11"/>
  <c r="O398" i="11" s="1"/>
  <c r="S10" i="36" s="1"/>
  <c r="O151" i="11"/>
  <c r="Q10" i="24" s="1"/>
  <c r="P370" i="11"/>
  <c r="P245" i="11"/>
  <c r="P260" i="11"/>
  <c r="O260" i="11" s="1"/>
  <c r="P55" i="11"/>
  <c r="P120" i="11"/>
  <c r="P119" i="11"/>
  <c r="P344" i="11"/>
  <c r="O344" i="11" s="1"/>
  <c r="P281" i="11"/>
  <c r="O281" i="11" s="1"/>
  <c r="P99" i="11"/>
  <c r="P98" i="11"/>
  <c r="P83" i="11"/>
  <c r="O83" i="11" s="1"/>
  <c r="O216" i="11"/>
  <c r="P377" i="11"/>
  <c r="O178" i="11"/>
  <c r="P188" i="11"/>
  <c r="P351" i="11"/>
  <c r="O351" i="11" s="1"/>
  <c r="P392" i="11"/>
  <c r="O392" i="11" s="1"/>
  <c r="P218" i="11"/>
  <c r="P217" i="11"/>
  <c r="P413" i="11"/>
  <c r="O413" i="11" s="1"/>
  <c r="T12" i="36" s="1"/>
  <c r="P62" i="11"/>
  <c r="P419" i="11"/>
  <c r="O419" i="11" s="1"/>
  <c r="O298" i="11"/>
  <c r="P237" i="11"/>
  <c r="P69" i="11"/>
  <c r="P307" i="11"/>
  <c r="P162" i="11"/>
  <c r="P161" i="11"/>
  <c r="P146" i="11"/>
  <c r="O146" i="11" s="1"/>
  <c r="H32" i="65" s="1"/>
  <c r="P111" i="11"/>
  <c r="O53" i="11"/>
  <c r="P209" i="11"/>
  <c r="O209" i="11" s="1"/>
  <c r="O86" i="11"/>
  <c r="O355" i="11"/>
  <c r="P90" i="11"/>
  <c r="P265" i="11"/>
  <c r="O265" i="11" s="1"/>
  <c r="P140" i="11"/>
  <c r="O140" i="11" s="1"/>
  <c r="H17" i="65" s="1"/>
  <c r="P427" i="11"/>
  <c r="O427" i="11" s="1"/>
  <c r="L23" i="67" l="1"/>
  <c r="M88" i="67"/>
  <c r="I41" i="67"/>
  <c r="N91" i="67"/>
  <c r="K35" i="67"/>
  <c r="M89" i="67"/>
  <c r="L8" i="67"/>
  <c r="J17" i="67"/>
  <c r="I73" i="67"/>
  <c r="J64" i="67"/>
  <c r="P9" i="25"/>
  <c r="H29" i="66"/>
  <c r="O8" i="22"/>
  <c r="H28" i="64"/>
  <c r="S7" i="22"/>
  <c r="H16" i="64"/>
  <c r="Q10" i="19"/>
  <c r="H46" i="63"/>
  <c r="Q9" i="32"/>
  <c r="H30" i="62"/>
  <c r="S8" i="1"/>
  <c r="H16" i="61"/>
  <c r="E34" i="19"/>
  <c r="D35" i="19"/>
  <c r="D39" i="38"/>
  <c r="E38" i="38"/>
  <c r="T9" i="36"/>
  <c r="D38" i="34"/>
  <c r="E36" i="34"/>
  <c r="D37" i="34"/>
  <c r="E37" i="34" s="1"/>
  <c r="E33" i="32"/>
  <c r="D34" i="32"/>
  <c r="D36" i="28"/>
  <c r="E36" i="28" s="1"/>
  <c r="D37" i="28"/>
  <c r="E35" i="28"/>
  <c r="E39" i="40"/>
  <c r="N39" i="40" s="1"/>
  <c r="D40" i="40"/>
  <c r="E33" i="36"/>
  <c r="N33" i="36" s="1"/>
  <c r="D34" i="36"/>
  <c r="E35" i="30"/>
  <c r="D36" i="30"/>
  <c r="E36" i="25"/>
  <c r="D37" i="25"/>
  <c r="D39" i="24"/>
  <c r="E38" i="24"/>
  <c r="O7" i="11"/>
  <c r="D20" i="39"/>
  <c r="E19" i="39"/>
  <c r="D37" i="38"/>
  <c r="E36" i="38"/>
  <c r="D40" i="22"/>
  <c r="E39" i="22"/>
  <c r="E15" i="12"/>
  <c r="O437" i="11"/>
  <c r="P9" i="38" s="1"/>
  <c r="C16" i="12"/>
  <c r="P266" i="11"/>
  <c r="O266" i="11" s="1"/>
  <c r="P308" i="11"/>
  <c r="P393" i="11"/>
  <c r="O393" i="11" s="1"/>
  <c r="P372" i="11"/>
  <c r="P371" i="11"/>
  <c r="O218" i="11"/>
  <c r="O356" i="11"/>
  <c r="O152" i="11"/>
  <c r="R10" i="24" s="1"/>
  <c r="P147" i="11"/>
  <c r="O147" i="11" s="1"/>
  <c r="H33" i="65" s="1"/>
  <c r="O299" i="11"/>
  <c r="P414" i="11"/>
  <c r="O414" i="11" s="1"/>
  <c r="U12" i="36" s="1"/>
  <c r="P428" i="11"/>
  <c r="P210" i="11"/>
  <c r="O210" i="11" s="1"/>
  <c r="P246" i="11"/>
  <c r="P71" i="11"/>
  <c r="P70" i="11"/>
  <c r="P92" i="11"/>
  <c r="P91" i="11"/>
  <c r="P113" i="11"/>
  <c r="P112" i="11"/>
  <c r="P238" i="11"/>
  <c r="P64" i="11"/>
  <c r="P63" i="11"/>
  <c r="P84" i="11"/>
  <c r="O84" i="11" s="1"/>
  <c r="P190" i="11"/>
  <c r="P189" i="11"/>
  <c r="P141" i="11"/>
  <c r="O141" i="11" s="1"/>
  <c r="H18" i="65" s="1"/>
  <c r="O217" i="11"/>
  <c r="O179" i="11"/>
  <c r="P379" i="11"/>
  <c r="P378" i="11"/>
  <c r="P420" i="11"/>
  <c r="O420" i="11" s="1"/>
  <c r="O54" i="11"/>
  <c r="O87" i="11"/>
  <c r="P57" i="11"/>
  <c r="P56" i="11"/>
  <c r="P399" i="11"/>
  <c r="O399" i="11" s="1"/>
  <c r="J41" i="67" l="1"/>
  <c r="M8" i="67"/>
  <c r="K64" i="67"/>
  <c r="O91" i="67"/>
  <c r="J73" i="67"/>
  <c r="I24" i="67"/>
  <c r="K17" i="67"/>
  <c r="L35" i="67"/>
  <c r="N88" i="67"/>
  <c r="M23" i="67"/>
  <c r="Q9" i="25"/>
  <c r="H30" i="66"/>
  <c r="T7" i="22"/>
  <c r="H17" i="64"/>
  <c r="P8" i="22"/>
  <c r="H29" i="64"/>
  <c r="R10" i="19"/>
  <c r="H47" i="63"/>
  <c r="R9" i="32"/>
  <c r="H31" i="62"/>
  <c r="T8" i="1"/>
  <c r="H17" i="61"/>
  <c r="D36" i="19"/>
  <c r="E35" i="19"/>
  <c r="D40" i="38"/>
  <c r="E39" i="38"/>
  <c r="E38" i="34"/>
  <c r="D39" i="34"/>
  <c r="D35" i="32"/>
  <c r="E34" i="32"/>
  <c r="E37" i="28"/>
  <c r="D38" i="28"/>
  <c r="D42" i="40"/>
  <c r="E40" i="40"/>
  <c r="N40" i="40" s="1"/>
  <c r="D41" i="40"/>
  <c r="E41" i="40" s="1"/>
  <c r="D35" i="36"/>
  <c r="E34" i="36"/>
  <c r="N34" i="36" s="1"/>
  <c r="D37" i="30"/>
  <c r="E36" i="30"/>
  <c r="D38" i="25"/>
  <c r="E37" i="25"/>
  <c r="D40" i="24"/>
  <c r="E39" i="24"/>
  <c r="O8" i="11"/>
  <c r="D21" i="39"/>
  <c r="E20" i="39"/>
  <c r="E37" i="38"/>
  <c r="D41" i="22"/>
  <c r="E40" i="22"/>
  <c r="O428" i="11"/>
  <c r="E16" i="12"/>
  <c r="C17" i="12"/>
  <c r="O438" i="11"/>
  <c r="Q9" i="38" s="1"/>
  <c r="O88" i="11"/>
  <c r="P148" i="11"/>
  <c r="O148" i="11" s="1"/>
  <c r="P239" i="11"/>
  <c r="P211" i="11"/>
  <c r="O211" i="11" s="1"/>
  <c r="O153" i="11"/>
  <c r="S10" i="24" s="1"/>
  <c r="P85" i="11"/>
  <c r="O85" i="11" s="1"/>
  <c r="O300" i="11"/>
  <c r="P267" i="11"/>
  <c r="O267" i="11" s="1"/>
  <c r="P421" i="11"/>
  <c r="O421" i="11" s="1"/>
  <c r="O55" i="11"/>
  <c r="H48" i="63" s="1"/>
  <c r="O357" i="11"/>
  <c r="P309" i="11"/>
  <c r="P400" i="11"/>
  <c r="O400" i="11" s="1"/>
  <c r="O180" i="11"/>
  <c r="K41" i="67" l="1"/>
  <c r="N8" i="67"/>
  <c r="M35" i="67"/>
  <c r="L64" i="67"/>
  <c r="N23" i="67"/>
  <c r="L17" i="67"/>
  <c r="K73" i="67"/>
  <c r="J24" i="67"/>
  <c r="R9" i="25"/>
  <c r="H31" i="66"/>
  <c r="Q8" i="22"/>
  <c r="H30" i="64"/>
  <c r="U7" i="22"/>
  <c r="H18" i="64"/>
  <c r="S9" i="32"/>
  <c r="H32" i="62"/>
  <c r="U8" i="1"/>
  <c r="H18" i="61"/>
  <c r="E36" i="19"/>
  <c r="D37" i="19"/>
  <c r="E40" i="38"/>
  <c r="D41" i="38"/>
  <c r="M54" i="57"/>
  <c r="M53" i="57"/>
  <c r="M36" i="57"/>
  <c r="M27" i="57"/>
  <c r="O21" i="57"/>
  <c r="M47" i="57"/>
  <c r="M30" i="57"/>
  <c r="M55" i="57"/>
  <c r="M37" i="57"/>
  <c r="M48" i="57"/>
  <c r="M45" i="57"/>
  <c r="M46" i="57"/>
  <c r="M42" i="57"/>
  <c r="M28" i="57"/>
  <c r="M39" i="57"/>
  <c r="M35" i="57"/>
  <c r="M31" i="57"/>
  <c r="M43" i="57"/>
  <c r="M38" i="57"/>
  <c r="M52" i="57"/>
  <c r="M29" i="57"/>
  <c r="M56" i="57"/>
  <c r="M44" i="57"/>
  <c r="M32" i="57"/>
  <c r="E39" i="34"/>
  <c r="D40" i="34"/>
  <c r="D37" i="32"/>
  <c r="E35" i="32"/>
  <c r="D36" i="32"/>
  <c r="E36" i="32" s="1"/>
  <c r="D39" i="28"/>
  <c r="E38" i="28"/>
  <c r="E42" i="40"/>
  <c r="D43" i="40"/>
  <c r="D36" i="36"/>
  <c r="E35" i="36"/>
  <c r="N35" i="36" s="1"/>
  <c r="D39" i="30"/>
  <c r="E37" i="30"/>
  <c r="D38" i="30"/>
  <c r="E38" i="30" s="1"/>
  <c r="E38" i="25"/>
  <c r="D39" i="25"/>
  <c r="E40" i="24"/>
  <c r="D41" i="24"/>
  <c r="O9" i="11"/>
  <c r="D22" i="39"/>
  <c r="E21" i="39"/>
  <c r="D42" i="22"/>
  <c r="E42" i="22" s="1"/>
  <c r="D43" i="22"/>
  <c r="E41" i="22"/>
  <c r="O56" i="11"/>
  <c r="H49" i="63" s="1"/>
  <c r="E17" i="12"/>
  <c r="C18" i="12"/>
  <c r="N41" i="40"/>
  <c r="S40" i="40" s="1"/>
  <c r="O439" i="11"/>
  <c r="O219" i="11"/>
  <c r="O10" i="28" s="1"/>
  <c r="O181" i="11"/>
  <c r="O89" i="11"/>
  <c r="O358" i="11"/>
  <c r="O301" i="11"/>
  <c r="O154" i="11"/>
  <c r="T10" i="24" s="1"/>
  <c r="M64" i="67" l="1"/>
  <c r="O23" i="67"/>
  <c r="K24" i="67"/>
  <c r="L41" i="67"/>
  <c r="N35" i="67"/>
  <c r="I49" i="67"/>
  <c r="O8" i="67"/>
  <c r="S9" i="25"/>
  <c r="H32" i="66"/>
  <c r="S38" i="40"/>
  <c r="S39" i="40"/>
  <c r="R8" i="22"/>
  <c r="H31" i="64"/>
  <c r="T9" i="32"/>
  <c r="H33" i="62"/>
  <c r="O9" i="1"/>
  <c r="H28" i="61"/>
  <c r="E37" i="19"/>
  <c r="D38" i="19"/>
  <c r="S35" i="36"/>
  <c r="W35" i="36"/>
  <c r="D42" i="38"/>
  <c r="E41" i="38"/>
  <c r="S41" i="40"/>
  <c r="E40" i="34"/>
  <c r="D41" i="34"/>
  <c r="E37" i="32"/>
  <c r="D38" i="32"/>
  <c r="D40" i="28"/>
  <c r="E39" i="28"/>
  <c r="E43" i="40"/>
  <c r="D44" i="40"/>
  <c r="D37" i="36"/>
  <c r="E36" i="36"/>
  <c r="N36" i="36" s="1"/>
  <c r="D40" i="30"/>
  <c r="E39" i="30"/>
  <c r="D40" i="25"/>
  <c r="E40" i="25" s="1"/>
  <c r="D41" i="25"/>
  <c r="E39" i="25"/>
  <c r="E41" i="24"/>
  <c r="D42" i="24"/>
  <c r="O10" i="11"/>
  <c r="D23" i="39"/>
  <c r="E22" i="39"/>
  <c r="D44" i="22"/>
  <c r="D45" i="22" s="1"/>
  <c r="C19" i="12"/>
  <c r="E18" i="12"/>
  <c r="O440" i="11"/>
  <c r="O57" i="11"/>
  <c r="H50" i="63" s="1"/>
  <c r="O155" i="11"/>
  <c r="U10" i="24" s="1"/>
  <c r="O90" i="11"/>
  <c r="O302" i="11"/>
  <c r="H34" i="62" s="1"/>
  <c r="O182" i="11"/>
  <c r="O359" i="11"/>
  <c r="O11" i="34" s="1"/>
  <c r="O220" i="11"/>
  <c r="P10" i="28" s="1"/>
  <c r="I9" i="67" l="1"/>
  <c r="L24" i="67"/>
  <c r="N64" i="67"/>
  <c r="M41" i="67"/>
  <c r="J49" i="67"/>
  <c r="O35" i="67"/>
  <c r="I82" i="67"/>
  <c r="T9" i="25"/>
  <c r="H33" i="66"/>
  <c r="S8" i="22"/>
  <c r="H32" i="64"/>
  <c r="P9" i="1"/>
  <c r="H29" i="61"/>
  <c r="E38" i="19"/>
  <c r="D39" i="19"/>
  <c r="D43" i="38"/>
  <c r="E42" i="38"/>
  <c r="D42" i="34"/>
  <c r="E41" i="34"/>
  <c r="D39" i="32"/>
  <c r="E38" i="32"/>
  <c r="D41" i="28"/>
  <c r="E40" i="28"/>
  <c r="E44" i="40"/>
  <c r="D45" i="40"/>
  <c r="E37" i="36"/>
  <c r="D38" i="36"/>
  <c r="E40" i="30"/>
  <c r="D41" i="30"/>
  <c r="E41" i="25"/>
  <c r="D42" i="25"/>
  <c r="D44" i="24"/>
  <c r="D43" i="24"/>
  <c r="E43" i="24" s="1"/>
  <c r="E42" i="24"/>
  <c r="O11" i="11"/>
  <c r="D24" i="39"/>
  <c r="E23" i="39"/>
  <c r="D46" i="22"/>
  <c r="E45" i="22"/>
  <c r="O478" i="11"/>
  <c r="O441" i="11"/>
  <c r="O360" i="11"/>
  <c r="P11" i="34" s="1"/>
  <c r="O303" i="11"/>
  <c r="O221" i="11"/>
  <c r="Q10" i="28" s="1"/>
  <c r="O91" i="11"/>
  <c r="O156" i="11"/>
  <c r="O11" i="24" s="1"/>
  <c r="O183" i="11"/>
  <c r="U9" i="25" s="1"/>
  <c r="O58" i="11"/>
  <c r="I36" i="67" l="1"/>
  <c r="J9" i="67"/>
  <c r="O41" i="67"/>
  <c r="M24" i="67"/>
  <c r="N41" i="67"/>
  <c r="K49" i="67"/>
  <c r="J82" i="67"/>
  <c r="H34" i="65"/>
  <c r="H34" i="66"/>
  <c r="T8" i="22"/>
  <c r="H33" i="64"/>
  <c r="O11" i="19"/>
  <c r="H60" i="63"/>
  <c r="O10" i="32"/>
  <c r="H44" i="62"/>
  <c r="Q9" i="1"/>
  <c r="H30" i="61"/>
  <c r="E39" i="19"/>
  <c r="D40" i="19"/>
  <c r="U9" i="40"/>
  <c r="H34" i="55"/>
  <c r="E43" i="38"/>
  <c r="D44" i="38"/>
  <c r="E42" i="34"/>
  <c r="D43" i="34"/>
  <c r="E39" i="32"/>
  <c r="D40" i="32"/>
  <c r="E41" i="28"/>
  <c r="D42" i="28"/>
  <c r="E45" i="40"/>
  <c r="D46" i="40"/>
  <c r="D39" i="36"/>
  <c r="E38" i="36"/>
  <c r="E41" i="30"/>
  <c r="D43" i="30"/>
  <c r="D42" i="30"/>
  <c r="E42" i="30" s="1"/>
  <c r="E42" i="25"/>
  <c r="D43" i="25"/>
  <c r="E44" i="24"/>
  <c r="D45" i="24"/>
  <c r="O12" i="11"/>
  <c r="D25" i="39"/>
  <c r="E24" i="39"/>
  <c r="D47" i="22"/>
  <c r="E46" i="22"/>
  <c r="O479" i="11"/>
  <c r="O442" i="11"/>
  <c r="O92" i="11"/>
  <c r="O59" i="11"/>
  <c r="O222" i="11"/>
  <c r="R10" i="28" s="1"/>
  <c r="O184" i="11"/>
  <c r="O10" i="25" s="1"/>
  <c r="O304" i="11"/>
  <c r="O157" i="11"/>
  <c r="P11" i="24" s="1"/>
  <c r="O361" i="11"/>
  <c r="Q11" i="34" s="1"/>
  <c r="J36" i="67" l="1"/>
  <c r="K9" i="67"/>
  <c r="I65" i="67"/>
  <c r="I18" i="67"/>
  <c r="N24" i="67"/>
  <c r="L49" i="67"/>
  <c r="O97" i="67"/>
  <c r="I42" i="67"/>
  <c r="K82" i="67"/>
  <c r="H44" i="66"/>
  <c r="H44" i="55"/>
  <c r="H44" i="65"/>
  <c r="U8" i="22"/>
  <c r="H34" i="64"/>
  <c r="P11" i="19"/>
  <c r="H61" i="63"/>
  <c r="P10" i="32"/>
  <c r="H45" i="62"/>
  <c r="R9" i="1"/>
  <c r="H31" i="61"/>
  <c r="D41" i="19"/>
  <c r="D43" i="19" s="1"/>
  <c r="E40" i="19"/>
  <c r="D45" i="38"/>
  <c r="E45" i="38" s="1"/>
  <c r="D46" i="38"/>
  <c r="E44" i="38"/>
  <c r="N44" i="40"/>
  <c r="O10" i="40"/>
  <c r="D44" i="34"/>
  <c r="E43" i="34"/>
  <c r="D41" i="32"/>
  <c r="E40" i="32"/>
  <c r="D44" i="28"/>
  <c r="E42" i="28"/>
  <c r="D43" i="28"/>
  <c r="E43" i="28" s="1"/>
  <c r="D47" i="40"/>
  <c r="E46" i="40"/>
  <c r="E39" i="36"/>
  <c r="N39" i="36" s="1"/>
  <c r="D40" i="36"/>
  <c r="D44" i="30"/>
  <c r="E43" i="30"/>
  <c r="E43" i="25"/>
  <c r="D44" i="25"/>
  <c r="D46" i="24"/>
  <c r="D48" i="24" s="1"/>
  <c r="E45" i="24"/>
  <c r="O13" i="11"/>
  <c r="D26" i="39"/>
  <c r="E25" i="39"/>
  <c r="D48" i="22"/>
  <c r="E47" i="22"/>
  <c r="O480" i="11"/>
  <c r="O443" i="11"/>
  <c r="O10" i="38" s="1"/>
  <c r="O185" i="11"/>
  <c r="P10" i="25" s="1"/>
  <c r="O223" i="11"/>
  <c r="S10" i="28" s="1"/>
  <c r="O362" i="11"/>
  <c r="R11" i="34" s="1"/>
  <c r="O158" i="11"/>
  <c r="O60" i="11"/>
  <c r="O305" i="11"/>
  <c r="O93" i="11"/>
  <c r="M49" i="67" l="1"/>
  <c r="J18" i="67"/>
  <c r="O24" i="67"/>
  <c r="I74" i="67"/>
  <c r="I98" i="67"/>
  <c r="L9" i="67"/>
  <c r="L82" i="67"/>
  <c r="J65" i="67"/>
  <c r="J42" i="67"/>
  <c r="H45" i="65"/>
  <c r="H45" i="66"/>
  <c r="O9" i="22"/>
  <c r="H44" i="64"/>
  <c r="Q11" i="19"/>
  <c r="H62" i="63"/>
  <c r="Q10" i="32"/>
  <c r="H46" i="62"/>
  <c r="S9" i="1"/>
  <c r="H32" i="61"/>
  <c r="D44" i="19"/>
  <c r="E43" i="19"/>
  <c r="D42" i="19"/>
  <c r="E41" i="19"/>
  <c r="D47" i="38"/>
  <c r="E46" i="38"/>
  <c r="N45" i="40"/>
  <c r="P10" i="40"/>
  <c r="D45" i="34"/>
  <c r="E44" i="34"/>
  <c r="E41" i="32"/>
  <c r="D42" i="32"/>
  <c r="D45" i="28"/>
  <c r="E44" i="28"/>
  <c r="E47" i="40"/>
  <c r="D48" i="40"/>
  <c r="E40" i="36"/>
  <c r="N40" i="36" s="1"/>
  <c r="D41" i="36"/>
  <c r="E44" i="30"/>
  <c r="D45" i="30"/>
  <c r="E44" i="25"/>
  <c r="D45" i="25"/>
  <c r="E48" i="24"/>
  <c r="D49" i="24"/>
  <c r="D47" i="24"/>
  <c r="E47" i="24" s="1"/>
  <c r="E46" i="24"/>
  <c r="O14" i="11"/>
  <c r="D27" i="39"/>
  <c r="E26" i="39"/>
  <c r="D49" i="22"/>
  <c r="D50" i="22" s="1"/>
  <c r="O481" i="11"/>
  <c r="O444" i="11"/>
  <c r="P10" i="38" s="1"/>
  <c r="O363" i="11"/>
  <c r="S11" i="34" s="1"/>
  <c r="O94" i="11"/>
  <c r="O159" i="11"/>
  <c r="O306" i="11"/>
  <c r="O224" i="11"/>
  <c r="O61" i="11"/>
  <c r="O186" i="11"/>
  <c r="Q10" i="25" s="1"/>
  <c r="K18" i="67" l="1"/>
  <c r="I25" i="67"/>
  <c r="M82" i="67"/>
  <c r="K42" i="67"/>
  <c r="J98" i="67"/>
  <c r="J74" i="67"/>
  <c r="M9" i="67"/>
  <c r="K65" i="67"/>
  <c r="H46" i="65"/>
  <c r="H46" i="66"/>
  <c r="P9" i="22"/>
  <c r="H45" i="64"/>
  <c r="R11" i="19"/>
  <c r="H63" i="63"/>
  <c r="R10" i="32"/>
  <c r="H47" i="62"/>
  <c r="T9" i="1"/>
  <c r="H33" i="61"/>
  <c r="D45" i="19"/>
  <c r="E44" i="19"/>
  <c r="E42" i="19"/>
  <c r="E47" i="38"/>
  <c r="D48" i="38"/>
  <c r="N46" i="40"/>
  <c r="Q10" i="40"/>
  <c r="E45" i="34"/>
  <c r="D46" i="34"/>
  <c r="D44" i="32"/>
  <c r="E42" i="32"/>
  <c r="D43" i="32"/>
  <c r="E43" i="32" s="1"/>
  <c r="E45" i="28"/>
  <c r="D46" i="28"/>
  <c r="D49" i="40"/>
  <c r="E48" i="40"/>
  <c r="E41" i="36"/>
  <c r="N41" i="36" s="1"/>
  <c r="D42" i="36"/>
  <c r="D46" i="30"/>
  <c r="E45" i="30"/>
  <c r="E45" i="25"/>
  <c r="D46" i="25"/>
  <c r="D48" i="25" s="1"/>
  <c r="D50" i="24"/>
  <c r="E49" i="24"/>
  <c r="O15" i="11"/>
  <c r="D28" i="39"/>
  <c r="E27" i="39"/>
  <c r="D51" i="22"/>
  <c r="E50" i="22"/>
  <c r="O482" i="11"/>
  <c r="O445" i="11"/>
  <c r="Q10" i="38" s="1"/>
  <c r="O307" i="11"/>
  <c r="O62" i="11"/>
  <c r="O95" i="11"/>
  <c r="O187" i="11"/>
  <c r="R10" i="25" s="1"/>
  <c r="O160" i="11"/>
  <c r="O225" i="11"/>
  <c r="O364" i="11"/>
  <c r="T11" i="34" s="1"/>
  <c r="L65" i="67" l="1"/>
  <c r="L18" i="67"/>
  <c r="J25" i="67"/>
  <c r="K74" i="67"/>
  <c r="N82" i="67"/>
  <c r="K98" i="67"/>
  <c r="L42" i="67"/>
  <c r="N9" i="67"/>
  <c r="H47" i="65"/>
  <c r="H47" i="66"/>
  <c r="Q9" i="22"/>
  <c r="H46" i="64"/>
  <c r="S11" i="19"/>
  <c r="H64" i="63"/>
  <c r="S10" i="32"/>
  <c r="H48" i="62"/>
  <c r="U9" i="1"/>
  <c r="H34" i="61"/>
  <c r="D46" i="19"/>
  <c r="E45" i="19"/>
  <c r="E48" i="38"/>
  <c r="D49" i="38"/>
  <c r="N47" i="40"/>
  <c r="R10" i="40"/>
  <c r="D47" i="34"/>
  <c r="E46" i="34"/>
  <c r="D45" i="32"/>
  <c r="E44" i="32"/>
  <c r="E46" i="28"/>
  <c r="D47" i="28"/>
  <c r="E49" i="40"/>
  <c r="D50" i="40"/>
  <c r="E50" i="40" s="1"/>
  <c r="D51" i="40"/>
  <c r="D43" i="36"/>
  <c r="E43" i="36" s="1"/>
  <c r="N43" i="36" s="1"/>
  <c r="E42" i="36"/>
  <c r="N42" i="36" s="1"/>
  <c r="D44" i="36"/>
  <c r="E46" i="30"/>
  <c r="D47" i="30"/>
  <c r="D49" i="25"/>
  <c r="E48" i="25"/>
  <c r="D47" i="25"/>
  <c r="E47" i="25" s="1"/>
  <c r="E46" i="25"/>
  <c r="D51" i="24"/>
  <c r="E50" i="24"/>
  <c r="O16" i="11"/>
  <c r="D29" i="39"/>
  <c r="E28" i="39"/>
  <c r="D52" i="22"/>
  <c r="E51" i="22"/>
  <c r="O483" i="11"/>
  <c r="O446" i="11"/>
  <c r="R10" i="38" s="1"/>
  <c r="O188" i="11"/>
  <c r="S10" i="25" s="1"/>
  <c r="O96" i="11"/>
  <c r="H47" i="64" s="1"/>
  <c r="O226" i="11"/>
  <c r="O11" i="28" s="1"/>
  <c r="O63" i="11"/>
  <c r="H65" i="63" s="1"/>
  <c r="O365" i="11"/>
  <c r="O161" i="11"/>
  <c r="O308" i="11"/>
  <c r="H49" i="62" s="1"/>
  <c r="M65" i="67" l="1"/>
  <c r="M18" i="67"/>
  <c r="L74" i="67"/>
  <c r="K25" i="67"/>
  <c r="M42" i="67"/>
  <c r="L98" i="67"/>
  <c r="I50" i="67"/>
  <c r="O9" i="67"/>
  <c r="H48" i="65"/>
  <c r="H48" i="66"/>
  <c r="O10" i="1"/>
  <c r="H44" i="61"/>
  <c r="D47" i="19"/>
  <c r="E46" i="19"/>
  <c r="E49" i="38"/>
  <c r="D50" i="38"/>
  <c r="E50" i="38" s="1"/>
  <c r="N48" i="40"/>
  <c r="S10" i="40"/>
  <c r="D48" i="34"/>
  <c r="E47" i="34"/>
  <c r="E45" i="32"/>
  <c r="D46" i="32"/>
  <c r="E47" i="28"/>
  <c r="D48" i="28"/>
  <c r="E51" i="40"/>
  <c r="D52" i="40"/>
  <c r="E44" i="36"/>
  <c r="D45" i="36"/>
  <c r="E47" i="30"/>
  <c r="D48" i="30"/>
  <c r="D50" i="25"/>
  <c r="E49" i="25"/>
  <c r="E51" i="24"/>
  <c r="D52" i="24"/>
  <c r="E52" i="24" s="1"/>
  <c r="O17" i="11"/>
  <c r="D30" i="39"/>
  <c r="E29" i="39"/>
  <c r="D53" i="22"/>
  <c r="E52" i="22"/>
  <c r="O484" i="11"/>
  <c r="O447" i="11"/>
  <c r="S10" i="38" s="1"/>
  <c r="O309" i="11"/>
  <c r="H50" i="62" s="1"/>
  <c r="O162" i="11"/>
  <c r="O97" i="11"/>
  <c r="H48" i="64" s="1"/>
  <c r="O64" i="11"/>
  <c r="H66" i="63" s="1"/>
  <c r="O227" i="11"/>
  <c r="P11" i="28" s="1"/>
  <c r="O366" i="11"/>
  <c r="O12" i="34" s="1"/>
  <c r="O189" i="11"/>
  <c r="Z12" i="1"/>
  <c r="Z11" i="1"/>
  <c r="Z10" i="1"/>
  <c r="Z9" i="1"/>
  <c r="Z8" i="1"/>
  <c r="D25" i="1"/>
  <c r="D26" i="1" s="1"/>
  <c r="D27" i="1" s="1"/>
  <c r="E27" i="1" s="1"/>
  <c r="I10" i="67" l="1"/>
  <c r="J50" i="67"/>
  <c r="I83" i="67"/>
  <c r="M74" i="67"/>
  <c r="M98" i="67"/>
  <c r="H49" i="65"/>
  <c r="H49" i="66"/>
  <c r="P10" i="1"/>
  <c r="H45" i="61"/>
  <c r="E47" i="19"/>
  <c r="D49" i="19"/>
  <c r="D48" i="19"/>
  <c r="E48" i="19" s="1"/>
  <c r="N49" i="40"/>
  <c r="T10" i="40"/>
  <c r="D49" i="34"/>
  <c r="E48" i="34"/>
  <c r="E46" i="32"/>
  <c r="D47" i="32"/>
  <c r="E48" i="28"/>
  <c r="D50" i="28"/>
  <c r="D49" i="28"/>
  <c r="E49" i="28" s="1"/>
  <c r="D53" i="40"/>
  <c r="E52" i="40"/>
  <c r="E45" i="36"/>
  <c r="D46" i="36"/>
  <c r="D49" i="30"/>
  <c r="E49" i="30" s="1"/>
  <c r="E48" i="30"/>
  <c r="D50" i="30"/>
  <c r="E50" i="25"/>
  <c r="D51" i="25"/>
  <c r="O18" i="11"/>
  <c r="D31" i="39"/>
  <c r="E30" i="39"/>
  <c r="D54" i="22"/>
  <c r="E53" i="22"/>
  <c r="O485" i="11"/>
  <c r="O448" i="11"/>
  <c r="T10" i="38" s="1"/>
  <c r="O98" i="11"/>
  <c r="H49" i="64" s="1"/>
  <c r="O367" i="11"/>
  <c r="P12" i="34" s="1"/>
  <c r="O163" i="11"/>
  <c r="O12" i="24" s="1"/>
  <c r="O65" i="11"/>
  <c r="O190" i="11"/>
  <c r="O228" i="11"/>
  <c r="Q11" i="28" s="1"/>
  <c r="O310" i="11"/>
  <c r="N74" i="67" l="1"/>
  <c r="J83" i="67"/>
  <c r="N98" i="67"/>
  <c r="K50" i="67"/>
  <c r="I37" i="67"/>
  <c r="J10" i="67"/>
  <c r="H50" i="65"/>
  <c r="H50" i="66"/>
  <c r="O12" i="19"/>
  <c r="H78" i="63"/>
  <c r="O11" i="32"/>
  <c r="H60" i="62"/>
  <c r="Q10" i="1"/>
  <c r="H46" i="61"/>
  <c r="E49" i="19"/>
  <c r="D50" i="19"/>
  <c r="N50" i="40"/>
  <c r="S50" i="40" s="1"/>
  <c r="U10" i="40"/>
  <c r="D50" i="34"/>
  <c r="E50" i="34" s="1"/>
  <c r="D51" i="34"/>
  <c r="E49" i="34"/>
  <c r="E47" i="32"/>
  <c r="D48" i="32"/>
  <c r="D51" i="28"/>
  <c r="E50" i="28"/>
  <c r="E53" i="40"/>
  <c r="D54" i="40"/>
  <c r="E46" i="36"/>
  <c r="N46" i="36" s="1"/>
  <c r="D47" i="36"/>
  <c r="E50" i="30"/>
  <c r="D51" i="30"/>
  <c r="D52" i="25"/>
  <c r="E51" i="25"/>
  <c r="O19" i="11"/>
  <c r="D32" i="39"/>
  <c r="E31" i="39"/>
  <c r="D55" i="22"/>
  <c r="D56" i="22"/>
  <c r="E54" i="22"/>
  <c r="O486" i="11"/>
  <c r="O449" i="11"/>
  <c r="O66" i="11"/>
  <c r="O311" i="11"/>
  <c r="O164" i="11"/>
  <c r="P12" i="24" s="1"/>
  <c r="O229" i="11"/>
  <c r="R11" i="28" s="1"/>
  <c r="O368" i="11"/>
  <c r="Q12" i="34" s="1"/>
  <c r="O191" i="11"/>
  <c r="O11" i="25" s="1"/>
  <c r="O99" i="11"/>
  <c r="H50" i="64" s="1"/>
  <c r="I43" i="67" l="1"/>
  <c r="O98" i="67"/>
  <c r="K10" i="67"/>
  <c r="I66" i="67"/>
  <c r="K83" i="67"/>
  <c r="I19" i="67"/>
  <c r="J37" i="67"/>
  <c r="L50" i="67"/>
  <c r="H60" i="66"/>
  <c r="S49" i="40"/>
  <c r="S48" i="40"/>
  <c r="S46" i="40"/>
  <c r="S47" i="40"/>
  <c r="O11" i="40"/>
  <c r="H60" i="65"/>
  <c r="P12" i="19"/>
  <c r="H79" i="63"/>
  <c r="P11" i="32"/>
  <c r="H61" i="62"/>
  <c r="R10" i="1"/>
  <c r="H47" i="61"/>
  <c r="E50" i="19"/>
  <c r="D51" i="19"/>
  <c r="N53" i="40"/>
  <c r="E51" i="34"/>
  <c r="D52" i="34"/>
  <c r="D50" i="32"/>
  <c r="D49" i="32"/>
  <c r="E49" i="32" s="1"/>
  <c r="E48" i="32"/>
  <c r="D52" i="28"/>
  <c r="E51" i="28"/>
  <c r="D55" i="40"/>
  <c r="E54" i="40"/>
  <c r="E47" i="36"/>
  <c r="N47" i="36" s="1"/>
  <c r="D48" i="36"/>
  <c r="D52" i="30"/>
  <c r="E51" i="30"/>
  <c r="E52" i="25"/>
  <c r="D53" i="25"/>
  <c r="D55" i="25" s="1"/>
  <c r="O20" i="11"/>
  <c r="H48" i="61" s="1"/>
  <c r="D33" i="39"/>
  <c r="E32" i="39"/>
  <c r="D57" i="22"/>
  <c r="D58" i="22" s="1"/>
  <c r="E55" i="22"/>
  <c r="O487" i="11"/>
  <c r="O450" i="11"/>
  <c r="O11" i="38" s="1"/>
  <c r="O100" i="11"/>
  <c r="O165" i="11"/>
  <c r="Q12" i="24" s="1"/>
  <c r="O192" i="11"/>
  <c r="P11" i="25" s="1"/>
  <c r="O312" i="11"/>
  <c r="O230" i="11"/>
  <c r="O369" i="11"/>
  <c r="O67" i="11"/>
  <c r="J43" i="67" l="1"/>
  <c r="I99" i="67"/>
  <c r="K37" i="67"/>
  <c r="L10" i="67"/>
  <c r="J66" i="67"/>
  <c r="J19" i="67"/>
  <c r="I75" i="67"/>
  <c r="H61" i="66"/>
  <c r="P11" i="40"/>
  <c r="H61" i="65"/>
  <c r="O10" i="22"/>
  <c r="H60" i="64"/>
  <c r="Q12" i="19"/>
  <c r="H80" i="63"/>
  <c r="Q11" i="32"/>
  <c r="H62" i="62"/>
  <c r="D52" i="19"/>
  <c r="E51" i="19"/>
  <c r="N54" i="40"/>
  <c r="E52" i="34"/>
  <c r="D53" i="34"/>
  <c r="E50" i="32"/>
  <c r="D51" i="32"/>
  <c r="D53" i="28"/>
  <c r="E52" i="28"/>
  <c r="E55" i="25"/>
  <c r="D56" i="25"/>
  <c r="E55" i="40"/>
  <c r="D56" i="40"/>
  <c r="D49" i="36"/>
  <c r="E48" i="36"/>
  <c r="N48" i="36" s="1"/>
  <c r="E52" i="30"/>
  <c r="D53" i="30"/>
  <c r="D54" i="25"/>
  <c r="E54" i="25" s="1"/>
  <c r="E53" i="25"/>
  <c r="O21" i="11"/>
  <c r="H49" i="61" s="1"/>
  <c r="D34" i="39"/>
  <c r="E33" i="39"/>
  <c r="D59" i="22"/>
  <c r="E58" i="22"/>
  <c r="O488" i="11"/>
  <c r="O451" i="11"/>
  <c r="P11" i="38" s="1"/>
  <c r="O68" i="11"/>
  <c r="O193" i="11"/>
  <c r="Q11" i="25" s="1"/>
  <c r="O313" i="11"/>
  <c r="O370" i="11"/>
  <c r="O166" i="11"/>
  <c r="O231" i="11"/>
  <c r="O101" i="11"/>
  <c r="K66" i="67" l="1"/>
  <c r="K19" i="67"/>
  <c r="I26" i="67"/>
  <c r="J99" i="67"/>
  <c r="K43" i="67"/>
  <c r="J75" i="67"/>
  <c r="H62" i="66"/>
  <c r="Q11" i="40"/>
  <c r="H62" i="65"/>
  <c r="P10" i="22"/>
  <c r="H61" i="64"/>
  <c r="R12" i="19"/>
  <c r="H81" i="63"/>
  <c r="R11" i="32"/>
  <c r="H63" i="62"/>
  <c r="D53" i="19"/>
  <c r="E52" i="19"/>
  <c r="N55" i="40"/>
  <c r="W48" i="36"/>
  <c r="S48" i="36"/>
  <c r="D54" i="34"/>
  <c r="E53" i="34"/>
  <c r="D52" i="32"/>
  <c r="E51" i="32"/>
  <c r="E53" i="28"/>
  <c r="D54" i="28"/>
  <c r="D57" i="25"/>
  <c r="E56" i="25"/>
  <c r="D58" i="40"/>
  <c r="E56" i="40"/>
  <c r="D57" i="40"/>
  <c r="E57" i="40" s="1"/>
  <c r="D51" i="36"/>
  <c r="D50" i="36"/>
  <c r="E50" i="36" s="1"/>
  <c r="N50" i="36" s="1"/>
  <c r="E49" i="36"/>
  <c r="N49" i="36" s="1"/>
  <c r="E53" i="30"/>
  <c r="D54" i="30"/>
  <c r="O22" i="11"/>
  <c r="H50" i="61" s="1"/>
  <c r="D35" i="39"/>
  <c r="E34" i="39"/>
  <c r="D60" i="22"/>
  <c r="D63" i="22" s="1"/>
  <c r="E59" i="22"/>
  <c r="O489" i="11"/>
  <c r="O452" i="11"/>
  <c r="Q11" i="38" s="1"/>
  <c r="O102" i="11"/>
  <c r="O314" i="11"/>
  <c r="H64" i="62" s="1"/>
  <c r="O232" i="11"/>
  <c r="O194" i="11"/>
  <c r="R11" i="25" s="1"/>
  <c r="O371" i="11"/>
  <c r="O167" i="11"/>
  <c r="O69" i="11"/>
  <c r="H82" i="63" s="1"/>
  <c r="L66" i="67" l="1"/>
  <c r="L19" i="67"/>
  <c r="L43" i="67"/>
  <c r="J26" i="67"/>
  <c r="K99" i="67"/>
  <c r="K75" i="67"/>
  <c r="H63" i="66"/>
  <c r="R11" i="40"/>
  <c r="H63" i="65"/>
  <c r="Q10" i="22"/>
  <c r="H62" i="64"/>
  <c r="E53" i="19"/>
  <c r="D54" i="19"/>
  <c r="N56" i="40"/>
  <c r="D56" i="34"/>
  <c r="E54" i="34"/>
  <c r="D55" i="34"/>
  <c r="E55" i="34" s="1"/>
  <c r="E52" i="32"/>
  <c r="D53" i="32"/>
  <c r="D55" i="28"/>
  <c r="E54" i="28"/>
  <c r="D58" i="25"/>
  <c r="E57" i="25"/>
  <c r="D59" i="40"/>
  <c r="E58" i="40"/>
  <c r="E51" i="36"/>
  <c r="D52" i="36"/>
  <c r="D56" i="30"/>
  <c r="D55" i="30"/>
  <c r="E55" i="30" s="1"/>
  <c r="E54" i="30"/>
  <c r="O23" i="11"/>
  <c r="D36" i="39"/>
  <c r="E35" i="39"/>
  <c r="D64" i="22"/>
  <c r="D65" i="22" s="1"/>
  <c r="D61" i="22"/>
  <c r="E60" i="22"/>
  <c r="O490" i="11"/>
  <c r="O453" i="11"/>
  <c r="O195" i="11"/>
  <c r="S11" i="25" s="1"/>
  <c r="O168" i="11"/>
  <c r="O315" i="11"/>
  <c r="H65" i="62" s="1"/>
  <c r="O70" i="11"/>
  <c r="H83" i="63" s="1"/>
  <c r="O233" i="11"/>
  <c r="O12" i="28" s="1"/>
  <c r="O372" i="11"/>
  <c r="O103" i="11"/>
  <c r="M43" i="67" l="1"/>
  <c r="K26" i="67"/>
  <c r="L99" i="67"/>
  <c r="I51" i="67"/>
  <c r="H64" i="65"/>
  <c r="H64" i="66"/>
  <c r="R10" i="22"/>
  <c r="H63" i="64"/>
  <c r="O11" i="1"/>
  <c r="H60" i="61"/>
  <c r="E54" i="19"/>
  <c r="N57" i="40"/>
  <c r="S56" i="40" s="1"/>
  <c r="S11" i="40"/>
  <c r="E56" i="34"/>
  <c r="D57" i="34"/>
  <c r="D54" i="32"/>
  <c r="E53" i="32"/>
  <c r="E55" i="28"/>
  <c r="D56" i="28"/>
  <c r="D59" i="25"/>
  <c r="E58" i="25"/>
  <c r="E59" i="40"/>
  <c r="D60" i="40"/>
  <c r="D53" i="36"/>
  <c r="E52" i="36"/>
  <c r="D57" i="30"/>
  <c r="E56" i="30"/>
  <c r="O24" i="11"/>
  <c r="D37" i="39"/>
  <c r="E36" i="39"/>
  <c r="E65" i="22"/>
  <c r="D66" i="22"/>
  <c r="D62" i="22"/>
  <c r="E61" i="22"/>
  <c r="O491" i="11"/>
  <c r="O454" i="11"/>
  <c r="O104" i="11"/>
  <c r="O316" i="11"/>
  <c r="H66" i="62" s="1"/>
  <c r="O71" i="11"/>
  <c r="H84" i="63" s="1"/>
  <c r="O373" i="11"/>
  <c r="O13" i="34" s="1"/>
  <c r="O169" i="11"/>
  <c r="O234" i="11"/>
  <c r="P12" i="28" s="1"/>
  <c r="O196" i="11"/>
  <c r="J51" i="67" l="1"/>
  <c r="M99" i="67"/>
  <c r="I84" i="67"/>
  <c r="L26" i="67"/>
  <c r="I11" i="67"/>
  <c r="H65" i="65"/>
  <c r="H65" i="66"/>
  <c r="S55" i="40"/>
  <c r="S53" i="40"/>
  <c r="S54" i="40"/>
  <c r="S10" i="22"/>
  <c r="H64" i="64"/>
  <c r="P11" i="1"/>
  <c r="H61" i="61"/>
  <c r="S57" i="40"/>
  <c r="E57" i="34"/>
  <c r="D58" i="34"/>
  <c r="D55" i="32"/>
  <c r="E54" i="32"/>
  <c r="D57" i="28"/>
  <c r="E57" i="28" s="1"/>
  <c r="E56" i="28"/>
  <c r="D58" i="28"/>
  <c r="D60" i="25"/>
  <c r="E59" i="25"/>
  <c r="E60" i="40"/>
  <c r="D61" i="40"/>
  <c r="E53" i="36"/>
  <c r="N53" i="36" s="1"/>
  <c r="D54" i="36"/>
  <c r="D58" i="30"/>
  <c r="E57" i="30"/>
  <c r="O25" i="11"/>
  <c r="D38" i="39"/>
  <c r="E37" i="39"/>
  <c r="D67" i="22"/>
  <c r="E66" i="22"/>
  <c r="E62" i="22"/>
  <c r="O492" i="11"/>
  <c r="O455" i="11"/>
  <c r="O374" i="11"/>
  <c r="P13" i="34" s="1"/>
  <c r="O317" i="11"/>
  <c r="O235" i="11"/>
  <c r="Q12" i="28" s="1"/>
  <c r="O72" i="11"/>
  <c r="O197" i="11"/>
  <c r="O105" i="11"/>
  <c r="J11" i="67" l="1"/>
  <c r="K51" i="67"/>
  <c r="M26" i="67"/>
  <c r="J84" i="67"/>
  <c r="H66" i="65"/>
  <c r="H66" i="66"/>
  <c r="T10" i="22"/>
  <c r="H65" i="64"/>
  <c r="O13" i="19"/>
  <c r="H94" i="63"/>
  <c r="O12" i="32"/>
  <c r="H78" i="62"/>
  <c r="Q11" i="1"/>
  <c r="H62" i="61"/>
  <c r="E58" i="34"/>
  <c r="D59" i="34"/>
  <c r="E55" i="32"/>
  <c r="D56" i="32"/>
  <c r="E56" i="32" s="1"/>
  <c r="D57" i="32"/>
  <c r="E58" i="28"/>
  <c r="D59" i="28"/>
  <c r="D61" i="25"/>
  <c r="E60" i="25"/>
  <c r="E61" i="40"/>
  <c r="D62" i="40"/>
  <c r="D55" i="36"/>
  <c r="E54" i="36"/>
  <c r="N54" i="36" s="1"/>
  <c r="E58" i="30"/>
  <c r="D59" i="30"/>
  <c r="O26" i="11"/>
  <c r="E38" i="39"/>
  <c r="D39" i="39"/>
  <c r="D68" i="22"/>
  <c r="E67" i="22"/>
  <c r="O493" i="11"/>
  <c r="O456" i="11"/>
  <c r="O73" i="11"/>
  <c r="O106" i="11"/>
  <c r="H66" i="64" s="1"/>
  <c r="O318" i="11"/>
  <c r="O236" i="11"/>
  <c r="R12" i="28" s="1"/>
  <c r="O198" i="11"/>
  <c r="O12" i="25" s="1"/>
  <c r="O375" i="11"/>
  <c r="Q13" i="34" s="1"/>
  <c r="N26" i="67" l="1"/>
  <c r="I44" i="67"/>
  <c r="L51" i="67"/>
  <c r="K11" i="67"/>
  <c r="K84" i="67"/>
  <c r="I67" i="67"/>
  <c r="I20" i="67"/>
  <c r="H78" i="65"/>
  <c r="H78" i="66"/>
  <c r="P13" i="19"/>
  <c r="H95" i="63"/>
  <c r="P12" i="32"/>
  <c r="H79" i="62"/>
  <c r="R11" i="1"/>
  <c r="H63" i="61"/>
  <c r="N60" i="40"/>
  <c r="O12" i="40"/>
  <c r="D60" i="34"/>
  <c r="E59" i="34"/>
  <c r="D58" i="32"/>
  <c r="E57" i="32"/>
  <c r="E59" i="28"/>
  <c r="D60" i="28"/>
  <c r="E61" i="25"/>
  <c r="D62" i="25"/>
  <c r="E62" i="40"/>
  <c r="D63" i="40"/>
  <c r="E55" i="36"/>
  <c r="N55" i="36" s="1"/>
  <c r="D56" i="36"/>
  <c r="E59" i="30"/>
  <c r="D60" i="30"/>
  <c r="O27" i="11"/>
  <c r="D40" i="39"/>
  <c r="E39" i="39"/>
  <c r="D69" i="22"/>
  <c r="E68" i="22"/>
  <c r="O494" i="11"/>
  <c r="O457" i="11"/>
  <c r="O12" i="38" s="1"/>
  <c r="O319" i="11"/>
  <c r="O107" i="11"/>
  <c r="O237" i="11"/>
  <c r="S12" i="28" s="1"/>
  <c r="O376" i="11"/>
  <c r="R13" i="34" s="1"/>
  <c r="O199" i="11"/>
  <c r="P12" i="25" s="1"/>
  <c r="O74" i="11"/>
  <c r="I100" i="67" l="1"/>
  <c r="L11" i="67"/>
  <c r="I76" i="67"/>
  <c r="J67" i="67"/>
  <c r="J20" i="67"/>
  <c r="M51" i="67"/>
  <c r="J44" i="67"/>
  <c r="L84" i="67"/>
  <c r="H79" i="65"/>
  <c r="H79" i="66"/>
  <c r="O11" i="22"/>
  <c r="H78" i="64"/>
  <c r="Q13" i="19"/>
  <c r="H96" i="63"/>
  <c r="Q12" i="32"/>
  <c r="H80" i="62"/>
  <c r="S11" i="1"/>
  <c r="H64" i="61"/>
  <c r="N61" i="40"/>
  <c r="P12" i="40"/>
  <c r="E60" i="34"/>
  <c r="D61" i="34"/>
  <c r="D59" i="32"/>
  <c r="E58" i="32"/>
  <c r="E60" i="28"/>
  <c r="D61" i="28"/>
  <c r="E62" i="25"/>
  <c r="D63" i="25"/>
  <c r="E63" i="25" s="1"/>
  <c r="E63" i="40"/>
  <c r="D64" i="40"/>
  <c r="E56" i="36"/>
  <c r="N56" i="36" s="1"/>
  <c r="D57" i="36"/>
  <c r="E60" i="30"/>
  <c r="D61" i="30"/>
  <c r="O28" i="11"/>
  <c r="D41" i="39"/>
  <c r="E40" i="39"/>
  <c r="D70" i="22"/>
  <c r="D71" i="22" s="1"/>
  <c r="D72" i="22" s="1"/>
  <c r="E69" i="22"/>
  <c r="O495" i="11"/>
  <c r="O458" i="11"/>
  <c r="P12" i="38" s="1"/>
  <c r="O75" i="11"/>
  <c r="O108" i="11"/>
  <c r="O377" i="11"/>
  <c r="S13" i="34" s="1"/>
  <c r="O238" i="11"/>
  <c r="T12" i="28" s="1"/>
  <c r="O200" i="11"/>
  <c r="Q12" i="25" s="1"/>
  <c r="O320" i="11"/>
  <c r="K67" i="67" l="1"/>
  <c r="K20" i="67"/>
  <c r="I27" i="67"/>
  <c r="K44" i="67"/>
  <c r="N51" i="67"/>
  <c r="M84" i="67"/>
  <c r="J100" i="67"/>
  <c r="J76" i="67"/>
  <c r="M11" i="67"/>
  <c r="H80" i="65"/>
  <c r="H80" i="66"/>
  <c r="P11" i="22"/>
  <c r="H79" i="64"/>
  <c r="R13" i="19"/>
  <c r="H97" i="63"/>
  <c r="R12" i="32"/>
  <c r="H81" i="62"/>
  <c r="T11" i="1"/>
  <c r="H65" i="61"/>
  <c r="N62" i="40"/>
  <c r="Q12" i="40"/>
  <c r="D62" i="34"/>
  <c r="E61" i="34"/>
  <c r="D60" i="32"/>
  <c r="E59" i="32"/>
  <c r="E61" i="28"/>
  <c r="D62" i="28"/>
  <c r="D65" i="40"/>
  <c r="E65" i="40" s="1"/>
  <c r="E64" i="40"/>
  <c r="D66" i="40"/>
  <c r="E57" i="36"/>
  <c r="N57" i="36" s="1"/>
  <c r="D58" i="36"/>
  <c r="E61" i="30"/>
  <c r="D62" i="30"/>
  <c r="E62" i="30" s="1"/>
  <c r="O29" i="11"/>
  <c r="H66" i="61" s="1"/>
  <c r="D42" i="39"/>
  <c r="E41" i="39"/>
  <c r="D73" i="22"/>
  <c r="E72" i="22"/>
  <c r="O496" i="11"/>
  <c r="O459" i="11"/>
  <c r="Q12" i="38" s="1"/>
  <c r="O321" i="11"/>
  <c r="O109" i="11"/>
  <c r="O239" i="11"/>
  <c r="O378" i="11"/>
  <c r="T13" i="34" s="1"/>
  <c r="O201" i="11"/>
  <c r="R12" i="25" s="1"/>
  <c r="O76" i="11"/>
  <c r="H98" i="63" s="1"/>
  <c r="L20" i="67" l="1"/>
  <c r="J27" i="67"/>
  <c r="L44" i="67"/>
  <c r="N84" i="67"/>
  <c r="K100" i="67"/>
  <c r="N11" i="67"/>
  <c r="K76" i="67"/>
  <c r="L67" i="67"/>
  <c r="H81" i="65"/>
  <c r="H81" i="66"/>
  <c r="Q11" i="22"/>
  <c r="H80" i="64"/>
  <c r="S12" i="32"/>
  <c r="H82" i="62"/>
  <c r="N63" i="40"/>
  <c r="R12" i="40"/>
  <c r="D63" i="34"/>
  <c r="E63" i="34" s="1"/>
  <c r="E62" i="34"/>
  <c r="D61" i="32"/>
  <c r="E60" i="32"/>
  <c r="E62" i="28"/>
  <c r="D63" i="28"/>
  <c r="E66" i="40"/>
  <c r="D67" i="40"/>
  <c r="D59" i="36"/>
  <c r="E59" i="36" s="1"/>
  <c r="N59" i="36" s="1"/>
  <c r="E58" i="36"/>
  <c r="N58" i="36" s="1"/>
  <c r="D60" i="36"/>
  <c r="O30" i="11"/>
  <c r="E42" i="39"/>
  <c r="D43" i="39"/>
  <c r="E73" i="22"/>
  <c r="D74" i="22"/>
  <c r="O497" i="11"/>
  <c r="O460" i="11"/>
  <c r="R12" i="38" s="1"/>
  <c r="O379" i="11"/>
  <c r="O77" i="11"/>
  <c r="H99" i="63" s="1"/>
  <c r="O110" i="11"/>
  <c r="O240" i="11"/>
  <c r="O13" i="28" s="1"/>
  <c r="O202" i="11"/>
  <c r="S12" i="25" s="1"/>
  <c r="O322" i="11"/>
  <c r="H83" i="62" s="1"/>
  <c r="L100" i="67" l="1"/>
  <c r="M67" i="67"/>
  <c r="K27" i="67"/>
  <c r="I52" i="67"/>
  <c r="L76" i="67"/>
  <c r="M44" i="67"/>
  <c r="H82" i="65"/>
  <c r="H82" i="66"/>
  <c r="R11" i="22"/>
  <c r="H81" i="64"/>
  <c r="O12" i="1"/>
  <c r="H78" i="61"/>
  <c r="N64" i="40"/>
  <c r="S12" i="40"/>
  <c r="E61" i="32"/>
  <c r="D62" i="32"/>
  <c r="E63" i="28"/>
  <c r="D64" i="28"/>
  <c r="E67" i="40"/>
  <c r="D68" i="40"/>
  <c r="D61" i="36"/>
  <c r="E60" i="36"/>
  <c r="O31" i="11"/>
  <c r="D44" i="39"/>
  <c r="E43" i="39"/>
  <c r="D75" i="22"/>
  <c r="D77" i="22" s="1"/>
  <c r="E74" i="22"/>
  <c r="O498" i="11"/>
  <c r="O461" i="11"/>
  <c r="S12" i="38" s="1"/>
  <c r="O323" i="11"/>
  <c r="H84" i="62" s="1"/>
  <c r="O78" i="11"/>
  <c r="H100" i="63" s="1"/>
  <c r="O203" i="11"/>
  <c r="T12" i="25" s="1"/>
  <c r="O111" i="11"/>
  <c r="O241" i="11"/>
  <c r="P13" i="28" s="1"/>
  <c r="M76" i="67" l="1"/>
  <c r="M100" i="67"/>
  <c r="I12" i="67"/>
  <c r="J52" i="67"/>
  <c r="L27" i="67"/>
  <c r="N44" i="67"/>
  <c r="H83" i="65"/>
  <c r="H83" i="66"/>
  <c r="S11" i="22"/>
  <c r="H82" i="64"/>
  <c r="P12" i="1"/>
  <c r="H79" i="61"/>
  <c r="N65" i="40"/>
  <c r="S65" i="40" s="1"/>
  <c r="T12" i="40"/>
  <c r="D64" i="32"/>
  <c r="E62" i="32"/>
  <c r="D63" i="32"/>
  <c r="E63" i="32" s="1"/>
  <c r="E64" i="28"/>
  <c r="D65" i="28"/>
  <c r="E68" i="40"/>
  <c r="D69" i="40"/>
  <c r="D62" i="36"/>
  <c r="E61" i="36"/>
  <c r="D78" i="22"/>
  <c r="D79" i="22" s="1"/>
  <c r="O32" i="11"/>
  <c r="D45" i="39"/>
  <c r="E44" i="39"/>
  <c r="E75" i="22"/>
  <c r="D76" i="22"/>
  <c r="O499" i="11"/>
  <c r="O462" i="11"/>
  <c r="T12" i="38" s="1"/>
  <c r="O112" i="11"/>
  <c r="H83" i="64" s="1"/>
  <c r="O324" i="11"/>
  <c r="O242" i="11"/>
  <c r="Q13" i="28" s="1"/>
  <c r="O204" i="11"/>
  <c r="U12" i="25" s="1"/>
  <c r="N100" i="67" l="1"/>
  <c r="O44" i="67"/>
  <c r="J12" i="67"/>
  <c r="K52" i="67"/>
  <c r="M27" i="67"/>
  <c r="N76" i="67"/>
  <c r="H84" i="65"/>
  <c r="H84" i="66"/>
  <c r="S62" i="40"/>
  <c r="S63" i="40"/>
  <c r="S64" i="40"/>
  <c r="S61" i="40"/>
  <c r="O13" i="32"/>
  <c r="H94" i="62"/>
  <c r="Q12" i="1"/>
  <c r="H80" i="61"/>
  <c r="D65" i="32"/>
  <c r="E64" i="32"/>
  <c r="E65" i="28"/>
  <c r="D66" i="28"/>
  <c r="E66" i="28" s="1"/>
  <c r="E69" i="40"/>
  <c r="D70" i="40"/>
  <c r="E62" i="36"/>
  <c r="N62" i="36" s="1"/>
  <c r="D63" i="36"/>
  <c r="D80" i="22"/>
  <c r="E79" i="22"/>
  <c r="O33" i="11"/>
  <c r="D46" i="39"/>
  <c r="E45" i="39"/>
  <c r="E76" i="22"/>
  <c r="O500" i="11"/>
  <c r="O463" i="11"/>
  <c r="U12" i="38" s="1"/>
  <c r="O243" i="11"/>
  <c r="R13" i="28" s="1"/>
  <c r="O325" i="11"/>
  <c r="O113" i="11"/>
  <c r="H84" i="64" s="1"/>
  <c r="K12" i="67" l="1"/>
  <c r="I68" i="67"/>
  <c r="L52" i="67"/>
  <c r="O76" i="67"/>
  <c r="H94" i="65"/>
  <c r="H94" i="66"/>
  <c r="P13" i="32"/>
  <c r="H95" i="62"/>
  <c r="R12" i="1"/>
  <c r="H81" i="61"/>
  <c r="N68" i="40"/>
  <c r="O13" i="40"/>
  <c r="E65" i="32"/>
  <c r="D66" i="32"/>
  <c r="D71" i="40"/>
  <c r="E71" i="40" s="1"/>
  <c r="E70" i="40"/>
  <c r="D64" i="36"/>
  <c r="E63" i="36"/>
  <c r="N63" i="36" s="1"/>
  <c r="D81" i="22"/>
  <c r="E80" i="22"/>
  <c r="O34" i="11"/>
  <c r="D47" i="39"/>
  <c r="E46" i="39"/>
  <c r="O501" i="11"/>
  <c r="O114" i="11"/>
  <c r="O326" i="11"/>
  <c r="O244" i="11"/>
  <c r="S13" i="28" s="1"/>
  <c r="J68" i="67" l="1"/>
  <c r="M52" i="67"/>
  <c r="I101" i="67"/>
  <c r="L12" i="67"/>
  <c r="H95" i="65"/>
  <c r="H95" i="66"/>
  <c r="O12" i="22"/>
  <c r="H94" i="64"/>
  <c r="Q13" i="32"/>
  <c r="H96" i="62"/>
  <c r="S12" i="1"/>
  <c r="H82" i="61"/>
  <c r="N69" i="40"/>
  <c r="P13" i="40"/>
  <c r="E66" i="32"/>
  <c r="D67" i="32"/>
  <c r="D66" i="36"/>
  <c r="D65" i="36"/>
  <c r="E65" i="36" s="1"/>
  <c r="N65" i="36" s="1"/>
  <c r="E64" i="36"/>
  <c r="N64" i="36" s="1"/>
  <c r="D82" i="22"/>
  <c r="E81" i="22"/>
  <c r="O35" i="11"/>
  <c r="D48" i="39"/>
  <c r="E47" i="39"/>
  <c r="O502" i="11"/>
  <c r="O245" i="11"/>
  <c r="T13" i="28" s="1"/>
  <c r="O327" i="11"/>
  <c r="O115" i="11"/>
  <c r="I28" i="67" l="1"/>
  <c r="J101" i="67"/>
  <c r="M12" i="67"/>
  <c r="N52" i="67"/>
  <c r="K68" i="67"/>
  <c r="H96" i="65"/>
  <c r="H96" i="66"/>
  <c r="P12" i="22"/>
  <c r="H95" i="64"/>
  <c r="R13" i="32"/>
  <c r="H97" i="62"/>
  <c r="N70" i="40"/>
  <c r="Q13" i="40"/>
  <c r="E67" i="32"/>
  <c r="D68" i="32"/>
  <c r="E68" i="32" s="1"/>
  <c r="D67" i="36"/>
  <c r="E66" i="36"/>
  <c r="D83" i="22"/>
  <c r="E82" i="22"/>
  <c r="O36" i="11"/>
  <c r="D52" i="39"/>
  <c r="D49" i="39"/>
  <c r="E48" i="39"/>
  <c r="O503" i="11"/>
  <c r="O116" i="11"/>
  <c r="O328" i="11"/>
  <c r="O246" i="11"/>
  <c r="U13" i="28" s="1"/>
  <c r="O52" i="67" l="1"/>
  <c r="K101" i="67"/>
  <c r="L68" i="67"/>
  <c r="J28" i="67"/>
  <c r="H97" i="65"/>
  <c r="H97" i="66"/>
  <c r="Q12" i="22"/>
  <c r="H96" i="64"/>
  <c r="S13" i="32"/>
  <c r="H98" i="62"/>
  <c r="N71" i="40"/>
  <c r="R13" i="40"/>
  <c r="D68" i="36"/>
  <c r="E67" i="36"/>
  <c r="D84" i="22"/>
  <c r="E83" i="22"/>
  <c r="N34" i="19"/>
  <c r="N47" i="22"/>
  <c r="N66" i="22"/>
  <c r="N29" i="22"/>
  <c r="N37" i="22"/>
  <c r="N35" i="19"/>
  <c r="N39" i="19"/>
  <c r="N32" i="22"/>
  <c r="N45" i="19"/>
  <c r="N40" i="19"/>
  <c r="N36" i="19"/>
  <c r="N31" i="19"/>
  <c r="N51" i="22"/>
  <c r="N48" i="19"/>
  <c r="N42" i="19"/>
  <c r="N65" i="22"/>
  <c r="N58" i="19"/>
  <c r="N59" i="22"/>
  <c r="N61" i="22"/>
  <c r="N41" i="22"/>
  <c r="N28" i="22"/>
  <c r="N38" i="22"/>
  <c r="N41" i="19"/>
  <c r="N62" i="22"/>
  <c r="N52" i="22"/>
  <c r="N27" i="19"/>
  <c r="N46" i="19"/>
  <c r="N33" i="22"/>
  <c r="N60" i="22"/>
  <c r="N45" i="22"/>
  <c r="N27" i="22"/>
  <c r="N33" i="19"/>
  <c r="D50" i="39"/>
  <c r="E50" i="39" s="1"/>
  <c r="E49" i="39"/>
  <c r="D53" i="39"/>
  <c r="E52" i="39"/>
  <c r="N67" i="22"/>
  <c r="O504" i="11"/>
  <c r="O329" i="11"/>
  <c r="H99" i="62" s="1"/>
  <c r="O117" i="11"/>
  <c r="K28" i="67" l="1"/>
  <c r="L101" i="67"/>
  <c r="M68" i="67"/>
  <c r="H98" i="65"/>
  <c r="H98" i="66"/>
  <c r="X50" i="40"/>
  <c r="X49" i="40"/>
  <c r="S70" i="40"/>
  <c r="X70" i="40"/>
  <c r="S68" i="40"/>
  <c r="X68" i="40"/>
  <c r="X69" i="40"/>
  <c r="S69" i="40"/>
  <c r="X65" i="40"/>
  <c r="X62" i="40"/>
  <c r="X48" i="40"/>
  <c r="X64" i="40"/>
  <c r="X63" i="40"/>
  <c r="S60" i="40"/>
  <c r="X60" i="40"/>
  <c r="X55" i="40"/>
  <c r="X61" i="40"/>
  <c r="X57" i="40"/>
  <c r="X56" i="40"/>
  <c r="X54" i="40"/>
  <c r="X53" i="40"/>
  <c r="X47" i="40"/>
  <c r="X46" i="40"/>
  <c r="S45" i="40"/>
  <c r="X45" i="40"/>
  <c r="X39" i="40"/>
  <c r="X38" i="40"/>
  <c r="X41" i="40"/>
  <c r="X40" i="40"/>
  <c r="S37" i="40"/>
  <c r="X37" i="40"/>
  <c r="X30" i="40"/>
  <c r="X29" i="40"/>
  <c r="X32" i="40"/>
  <c r="X31" i="40"/>
  <c r="O20" i="40"/>
  <c r="X33" i="40"/>
  <c r="R12" i="22"/>
  <c r="H97" i="64"/>
  <c r="N59" i="19"/>
  <c r="M59" i="19" s="1"/>
  <c r="S71" i="40"/>
  <c r="X71" i="40"/>
  <c r="M37" i="22"/>
  <c r="M34" i="19"/>
  <c r="M29" i="22"/>
  <c r="M66" i="22"/>
  <c r="D69" i="36"/>
  <c r="E68" i="36"/>
  <c r="N68" i="36" s="1"/>
  <c r="D85" i="22"/>
  <c r="E85" i="22" s="1"/>
  <c r="E84" i="22"/>
  <c r="M47" i="22"/>
  <c r="M60" i="22"/>
  <c r="M62" i="22"/>
  <c r="M40" i="19"/>
  <c r="M33" i="19"/>
  <c r="M45" i="22"/>
  <c r="M27" i="19"/>
  <c r="M41" i="19"/>
  <c r="M32" i="22"/>
  <c r="M35" i="19"/>
  <c r="M33" i="22"/>
  <c r="M39" i="19"/>
  <c r="M42" i="19"/>
  <c r="M31" i="19"/>
  <c r="M27" i="22"/>
  <c r="M46" i="19"/>
  <c r="M51" i="22"/>
  <c r="M45" i="19"/>
  <c r="M61" i="22"/>
  <c r="M59" i="22"/>
  <c r="M36" i="19"/>
  <c r="M52" i="22"/>
  <c r="M38" i="22"/>
  <c r="M65" i="22"/>
  <c r="M41" i="22"/>
  <c r="M28" i="22"/>
  <c r="M58" i="19"/>
  <c r="M48" i="19"/>
  <c r="D54" i="39"/>
  <c r="E53" i="39"/>
  <c r="N68" i="22"/>
  <c r="M67" i="22"/>
  <c r="O505" i="11"/>
  <c r="O118" i="11"/>
  <c r="O330" i="11"/>
  <c r="H100" i="62" s="1"/>
  <c r="L28" i="67" l="1"/>
  <c r="H99" i="65"/>
  <c r="H99" i="66"/>
  <c r="S12" i="22"/>
  <c r="H98" i="64"/>
  <c r="N60" i="19"/>
  <c r="M60" i="19" s="1"/>
  <c r="D70" i="36"/>
  <c r="E69" i="36"/>
  <c r="N69" i="36" s="1"/>
  <c r="D55" i="39"/>
  <c r="E54" i="39"/>
  <c r="N69" i="22"/>
  <c r="S65" i="22" s="1"/>
  <c r="M68" i="22"/>
  <c r="O506" i="11"/>
  <c r="O331" i="11"/>
  <c r="O119" i="11"/>
  <c r="H99" i="64" s="1"/>
  <c r="M28" i="67" l="1"/>
  <c r="H100" i="65"/>
  <c r="H100" i="66"/>
  <c r="O14" i="32"/>
  <c r="H110" i="62"/>
  <c r="S68" i="22"/>
  <c r="S67" i="22"/>
  <c r="S66" i="22"/>
  <c r="S69" i="22"/>
  <c r="D71" i="36"/>
  <c r="E70" i="36"/>
  <c r="N70" i="36" s="1"/>
  <c r="E55" i="39"/>
  <c r="D56" i="39"/>
  <c r="M69" i="22"/>
  <c r="O120" i="11"/>
  <c r="H100" i="64" s="1"/>
  <c r="O332" i="11"/>
  <c r="I69" i="67" l="1"/>
  <c r="P14" i="32"/>
  <c r="H111" i="62"/>
  <c r="D72" i="36"/>
  <c r="E71" i="36"/>
  <c r="N71" i="36" s="1"/>
  <c r="D57" i="39"/>
  <c r="E56" i="39"/>
  <c r="O333" i="11"/>
  <c r="O121" i="11"/>
  <c r="J69" i="67" l="1"/>
  <c r="O13" i="22"/>
  <c r="H110" i="64"/>
  <c r="Q14" i="32"/>
  <c r="H112" i="62"/>
  <c r="E72" i="36"/>
  <c r="N72" i="36" s="1"/>
  <c r="O20" i="36" s="1"/>
  <c r="D58" i="39"/>
  <c r="E57" i="39"/>
  <c r="N72" i="22"/>
  <c r="O122" i="11"/>
  <c r="O334" i="11"/>
  <c r="H113" i="62" s="1"/>
  <c r="K69" i="67" l="1"/>
  <c r="I29" i="67"/>
  <c r="P13" i="22"/>
  <c r="H111" i="64"/>
  <c r="D59" i="39"/>
  <c r="E58" i="39"/>
  <c r="M72" i="22"/>
  <c r="N73" i="22"/>
  <c r="O335" i="11"/>
  <c r="H114" i="62" s="1"/>
  <c r="O123" i="11"/>
  <c r="J29" i="67" l="1"/>
  <c r="Q13" i="22"/>
  <c r="H112" i="64"/>
  <c r="D60" i="39"/>
  <c r="E59" i="39"/>
  <c r="M73" i="22"/>
  <c r="N74" i="22"/>
  <c r="O124" i="11"/>
  <c r="O336" i="11"/>
  <c r="H115" i="62" s="1"/>
  <c r="K29" i="67" l="1"/>
  <c r="R13" i="22"/>
  <c r="H113" i="64"/>
  <c r="D61" i="39"/>
  <c r="E60" i="39"/>
  <c r="M74" i="22"/>
  <c r="N75" i="22"/>
  <c r="O337" i="11"/>
  <c r="H116" i="62" s="1"/>
  <c r="O125" i="11"/>
  <c r="L29" i="67" l="1"/>
  <c r="S13" i="22"/>
  <c r="H114" i="64"/>
  <c r="N51" i="19"/>
  <c r="N53" i="22"/>
  <c r="N52" i="19"/>
  <c r="N54" i="22"/>
  <c r="N54" i="19"/>
  <c r="N55" i="22"/>
  <c r="N57" i="19"/>
  <c r="N53" i="19"/>
  <c r="N58" i="22"/>
  <c r="N47" i="19"/>
  <c r="N31" i="22"/>
  <c r="N36" i="22"/>
  <c r="N42" i="22"/>
  <c r="N32" i="19"/>
  <c r="N30" i="22"/>
  <c r="N39" i="22"/>
  <c r="N40" i="22"/>
  <c r="N50" i="22"/>
  <c r="N28" i="19"/>
  <c r="N46" i="22"/>
  <c r="D62" i="39"/>
  <c r="E61" i="39"/>
  <c r="N76" i="22"/>
  <c r="S73" i="22" s="1"/>
  <c r="M75" i="22"/>
  <c r="O126" i="11"/>
  <c r="H115" i="64" s="1"/>
  <c r="M29" i="67" l="1"/>
  <c r="S47" i="22"/>
  <c r="S45" i="22"/>
  <c r="O20" i="19"/>
  <c r="S75" i="22"/>
  <c r="S74" i="22"/>
  <c r="S61" i="22"/>
  <c r="S62" i="22"/>
  <c r="S59" i="22"/>
  <c r="S60" i="22"/>
  <c r="S52" i="22"/>
  <c r="S51" i="22"/>
  <c r="S41" i="22"/>
  <c r="S38" i="22"/>
  <c r="S37" i="22"/>
  <c r="S33" i="22"/>
  <c r="S32" i="22"/>
  <c r="S29" i="22"/>
  <c r="S28" i="22"/>
  <c r="S27" i="22"/>
  <c r="S45" i="19"/>
  <c r="W45" i="19"/>
  <c r="S40" i="19"/>
  <c r="W40" i="19"/>
  <c r="S35" i="19"/>
  <c r="W35" i="19"/>
  <c r="S39" i="22"/>
  <c r="S30" i="22"/>
  <c r="S58" i="22"/>
  <c r="S53" i="22"/>
  <c r="S46" i="22"/>
  <c r="S42" i="22"/>
  <c r="S55" i="22"/>
  <c r="S36" i="22"/>
  <c r="S31" i="22"/>
  <c r="S76" i="22"/>
  <c r="S50" i="22"/>
  <c r="S54" i="22"/>
  <c r="S40" i="22"/>
  <c r="S47" i="19"/>
  <c r="W52" i="19"/>
  <c r="S52" i="19"/>
  <c r="W47" i="19"/>
  <c r="O21" i="19"/>
  <c r="O128" i="11"/>
  <c r="H126" i="64" s="1"/>
  <c r="M40" i="22"/>
  <c r="M32" i="19"/>
  <c r="M47" i="19"/>
  <c r="M52" i="19"/>
  <c r="M53" i="19"/>
  <c r="M54" i="19"/>
  <c r="M31" i="22"/>
  <c r="M57" i="19"/>
  <c r="M53" i="22"/>
  <c r="M58" i="22"/>
  <c r="M51" i="19"/>
  <c r="M46" i="22"/>
  <c r="M30" i="22"/>
  <c r="M36" i="22"/>
  <c r="M55" i="22"/>
  <c r="M54" i="22"/>
  <c r="M28" i="19"/>
  <c r="M50" i="22"/>
  <c r="M39" i="22"/>
  <c r="M42" i="22"/>
  <c r="E62" i="39"/>
  <c r="D63" i="39"/>
  <c r="M76" i="22"/>
  <c r="O127" i="11"/>
  <c r="H116" i="64" s="1"/>
  <c r="O14" i="22" l="1"/>
  <c r="H116" i="59"/>
  <c r="L53" i="57"/>
  <c r="N8" i="1"/>
  <c r="N79" i="22"/>
  <c r="O129" i="11"/>
  <c r="H127" i="64" s="1"/>
  <c r="S25" i="22"/>
  <c r="S43" i="22"/>
  <c r="S56" i="22"/>
  <c r="S48" i="22"/>
  <c r="S34" i="22"/>
  <c r="L45" i="22"/>
  <c r="J42" i="22"/>
  <c r="J59" i="19"/>
  <c r="H60" i="22"/>
  <c r="G32" i="19"/>
  <c r="N7" i="22"/>
  <c r="F7" i="12"/>
  <c r="D64" i="39"/>
  <c r="E63" i="39"/>
  <c r="F8" i="12"/>
  <c r="K47" i="57"/>
  <c r="I30" i="67" l="1"/>
  <c r="P14" i="22"/>
  <c r="H46" i="57"/>
  <c r="L55" i="22"/>
  <c r="H54" i="22"/>
  <c r="J29" i="22"/>
  <c r="G33" i="22"/>
  <c r="I79" i="22"/>
  <c r="I31" i="22"/>
  <c r="L55" i="57"/>
  <c r="G46" i="22"/>
  <c r="L59" i="19"/>
  <c r="J48" i="19"/>
  <c r="N12" i="19"/>
  <c r="K36" i="22"/>
  <c r="G58" i="22"/>
  <c r="G38" i="22"/>
  <c r="K37" i="22"/>
  <c r="L52" i="22"/>
  <c r="K76" i="22"/>
  <c r="N9" i="19"/>
  <c r="K54" i="57"/>
  <c r="J59" i="22"/>
  <c r="K68" i="22"/>
  <c r="G34" i="22"/>
  <c r="J27" i="19"/>
  <c r="L73" i="22"/>
  <c r="G63" i="22"/>
  <c r="J34" i="19"/>
  <c r="J60" i="22"/>
  <c r="G27" i="22"/>
  <c r="J44" i="57"/>
  <c r="L59" i="22"/>
  <c r="G64" i="22"/>
  <c r="G50" i="22"/>
  <c r="I42" i="57"/>
  <c r="G51" i="19"/>
  <c r="L33" i="22"/>
  <c r="J39" i="19"/>
  <c r="G76" i="22"/>
  <c r="I55" i="57"/>
  <c r="K48" i="57"/>
  <c r="G9" i="57"/>
  <c r="G53" i="57"/>
  <c r="G42" i="57"/>
  <c r="S42" i="57" s="1"/>
  <c r="H48" i="57"/>
  <c r="G46" i="57"/>
  <c r="I52" i="57"/>
  <c r="H36" i="57"/>
  <c r="H56" i="57"/>
  <c r="G28" i="57"/>
  <c r="G55" i="57"/>
  <c r="I46" i="57"/>
  <c r="H33" i="57"/>
  <c r="G21" i="40"/>
  <c r="J79" i="22"/>
  <c r="G14" i="22"/>
  <c r="G6" i="19"/>
  <c r="N12" i="1"/>
  <c r="K58" i="22"/>
  <c r="I67" i="22"/>
  <c r="H27" i="22"/>
  <c r="J65" i="22"/>
  <c r="G69" i="22"/>
  <c r="I31" i="19"/>
  <c r="L31" i="22"/>
  <c r="G40" i="19"/>
  <c r="I53" i="19"/>
  <c r="H52" i="22"/>
  <c r="J72" i="22"/>
  <c r="G74" i="22"/>
  <c r="J54" i="22"/>
  <c r="H40" i="19"/>
  <c r="G56" i="22"/>
  <c r="I38" i="22"/>
  <c r="L60" i="19"/>
  <c r="H45" i="19"/>
  <c r="J41" i="19"/>
  <c r="H66" i="22"/>
  <c r="K62" i="22"/>
  <c r="L32" i="19"/>
  <c r="I29" i="22"/>
  <c r="I65" i="22"/>
  <c r="K67" i="22"/>
  <c r="G55" i="22"/>
  <c r="H42" i="19"/>
  <c r="L41" i="22"/>
  <c r="J58" i="22"/>
  <c r="I34" i="19"/>
  <c r="G70" i="22"/>
  <c r="I72" i="22"/>
  <c r="J28" i="22"/>
  <c r="H32" i="57"/>
  <c r="J43" i="57"/>
  <c r="H28" i="57"/>
  <c r="H47" i="57"/>
  <c r="K40" i="22"/>
  <c r="L31" i="19"/>
  <c r="G31" i="22"/>
  <c r="G25" i="19"/>
  <c r="I33" i="19"/>
  <c r="H27" i="1"/>
  <c r="G79" i="22"/>
  <c r="N8" i="22"/>
  <c r="G34" i="19"/>
  <c r="I39" i="19"/>
  <c r="J42" i="19"/>
  <c r="G67" i="22"/>
  <c r="I27" i="57"/>
  <c r="K29" i="57"/>
  <c r="K37" i="57"/>
  <c r="I47" i="57"/>
  <c r="L36" i="57"/>
  <c r="K28" i="57"/>
  <c r="G13" i="1"/>
  <c r="K44" i="57"/>
  <c r="K27" i="1"/>
  <c r="G34" i="57"/>
  <c r="J48" i="57"/>
  <c r="L52" i="57"/>
  <c r="L48" i="57"/>
  <c r="H27" i="57"/>
  <c r="G39" i="57"/>
  <c r="G21" i="36"/>
  <c r="H79" i="22"/>
  <c r="G15" i="22"/>
  <c r="G11" i="19"/>
  <c r="G10" i="22"/>
  <c r="G38" i="19"/>
  <c r="I45" i="22"/>
  <c r="K60" i="22"/>
  <c r="L61" i="22"/>
  <c r="G44" i="22"/>
  <c r="J57" i="19"/>
  <c r="K40" i="19"/>
  <c r="L67" i="22"/>
  <c r="G71" i="22"/>
  <c r="K28" i="19"/>
  <c r="H40" i="22"/>
  <c r="K45" i="22"/>
  <c r="H30" i="22"/>
  <c r="H38" i="22"/>
  <c r="I75" i="22"/>
  <c r="H35" i="19"/>
  <c r="H29" i="19"/>
  <c r="J53" i="19"/>
  <c r="G60" i="22"/>
  <c r="J38" i="22"/>
  <c r="G52" i="22"/>
  <c r="G51" i="22"/>
  <c r="H54" i="19"/>
  <c r="G68" i="22"/>
  <c r="G44" i="19"/>
  <c r="J28" i="19"/>
  <c r="L58" i="19"/>
  <c r="H31" i="19"/>
  <c r="G45" i="22"/>
  <c r="I52" i="19"/>
  <c r="L27" i="22"/>
  <c r="K59" i="22"/>
  <c r="H74" i="22"/>
  <c r="J37" i="22"/>
  <c r="I28" i="22"/>
  <c r="K50" i="22"/>
  <c r="K30" i="57"/>
  <c r="G36" i="57"/>
  <c r="K52" i="57"/>
  <c r="K36" i="57"/>
  <c r="L68" i="22"/>
  <c r="H67" i="22"/>
  <c r="I41" i="22"/>
  <c r="J52" i="22"/>
  <c r="J39" i="22"/>
  <c r="I66" i="22"/>
  <c r="H75" i="22"/>
  <c r="H33" i="19"/>
  <c r="G65" i="22"/>
  <c r="H39" i="57"/>
  <c r="I29" i="57"/>
  <c r="L51" i="22"/>
  <c r="I51" i="22"/>
  <c r="J33" i="22"/>
  <c r="G48" i="22"/>
  <c r="G43" i="19"/>
  <c r="L42" i="19"/>
  <c r="H35" i="57"/>
  <c r="G11" i="57"/>
  <c r="J37" i="57"/>
  <c r="G51" i="57"/>
  <c r="L44" i="57"/>
  <c r="I36" i="57"/>
  <c r="J28" i="57"/>
  <c r="K55" i="57"/>
  <c r="J55" i="57"/>
  <c r="H30" i="57"/>
  <c r="L37" i="57"/>
  <c r="J46" i="57"/>
  <c r="J56" i="57"/>
  <c r="J42" i="57"/>
  <c r="K31" i="57"/>
  <c r="L35" i="57"/>
  <c r="K39" i="57"/>
  <c r="G5" i="1"/>
  <c r="K79" i="22"/>
  <c r="G9" i="22"/>
  <c r="G16" i="22"/>
  <c r="G7" i="22"/>
  <c r="I41" i="19"/>
  <c r="G31" i="19"/>
  <c r="I42" i="19"/>
  <c r="J45" i="22"/>
  <c r="I61" i="22"/>
  <c r="H51" i="22"/>
  <c r="H60" i="19"/>
  <c r="K52" i="19"/>
  <c r="H32" i="22"/>
  <c r="I57" i="19"/>
  <c r="I40" i="19"/>
  <c r="H29" i="22"/>
  <c r="H69" i="22"/>
  <c r="G47" i="22"/>
  <c r="J53" i="22"/>
  <c r="H65" i="22"/>
  <c r="H34" i="22"/>
  <c r="G45" i="19"/>
  <c r="H41" i="22"/>
  <c r="H36" i="19"/>
  <c r="I62" i="22"/>
  <c r="G57" i="19"/>
  <c r="I35" i="19"/>
  <c r="G36" i="22"/>
  <c r="G29" i="22"/>
  <c r="H73" i="22"/>
  <c r="G43" i="22"/>
  <c r="L39" i="22"/>
  <c r="L29" i="22"/>
  <c r="K35" i="19"/>
  <c r="J54" i="19"/>
  <c r="G54" i="22"/>
  <c r="H39" i="19"/>
  <c r="G61" i="22"/>
  <c r="L30" i="57"/>
  <c r="N10" i="19"/>
  <c r="I58" i="22"/>
  <c r="L40" i="19"/>
  <c r="G62" i="22"/>
  <c r="J47" i="22"/>
  <c r="H50" i="22"/>
  <c r="H33" i="22"/>
  <c r="J30" i="57"/>
  <c r="I48" i="57"/>
  <c r="G35" i="57"/>
  <c r="L36" i="19"/>
  <c r="G66" i="22"/>
  <c r="I37" i="22"/>
  <c r="G54" i="19"/>
  <c r="G59" i="22"/>
  <c r="K38" i="57"/>
  <c r="K45" i="57"/>
  <c r="G8" i="57"/>
  <c r="J52" i="57"/>
  <c r="H29" i="57"/>
  <c r="I39" i="57"/>
  <c r="N8" i="57"/>
  <c r="G30" i="57"/>
  <c r="L32" i="57"/>
  <c r="L31" i="57"/>
  <c r="J27" i="57"/>
  <c r="J53" i="57"/>
  <c r="L28" i="57"/>
  <c r="L42" i="57"/>
  <c r="J38" i="57"/>
  <c r="G7" i="19"/>
  <c r="G17" i="19"/>
  <c r="G13" i="22"/>
  <c r="N10" i="1"/>
  <c r="N12" i="22"/>
  <c r="I54" i="19"/>
  <c r="G59" i="19"/>
  <c r="H45" i="22"/>
  <c r="H51" i="19"/>
  <c r="K32" i="22"/>
  <c r="J62" i="22"/>
  <c r="I36" i="19"/>
  <c r="K47" i="19"/>
  <c r="J67" i="22"/>
  <c r="J40" i="22"/>
  <c r="K41" i="19"/>
  <c r="J47" i="19"/>
  <c r="G37" i="22"/>
  <c r="L65" i="22"/>
  <c r="G27" i="19"/>
  <c r="L28" i="19"/>
  <c r="G30" i="22"/>
  <c r="I28" i="19"/>
  <c r="K72" i="22"/>
  <c r="I46" i="19"/>
  <c r="H76" i="22"/>
  <c r="J68" i="22"/>
  <c r="K31" i="22"/>
  <c r="K57" i="19"/>
  <c r="H31" i="22"/>
  <c r="K48" i="19"/>
  <c r="I55" i="22"/>
  <c r="H36" i="22"/>
  <c r="K53" i="22"/>
  <c r="G40" i="22"/>
  <c r="K54" i="19"/>
  <c r="K42" i="19"/>
  <c r="K52" i="22"/>
  <c r="K54" i="22"/>
  <c r="J46" i="22"/>
  <c r="G60" i="19"/>
  <c r="I32" i="19"/>
  <c r="J41" i="22"/>
  <c r="G38" i="57"/>
  <c r="I56" i="57"/>
  <c r="I30" i="57"/>
  <c r="L50" i="22"/>
  <c r="K45" i="19"/>
  <c r="H62" i="22"/>
  <c r="K51" i="19"/>
  <c r="K33" i="19"/>
  <c r="L75" i="22"/>
  <c r="L57" i="19"/>
  <c r="K27" i="57"/>
  <c r="G5" i="19"/>
  <c r="G53" i="22"/>
  <c r="L36" i="22"/>
  <c r="H57" i="19"/>
  <c r="K53" i="19"/>
  <c r="G39" i="22"/>
  <c r="H43" i="57"/>
  <c r="G5" i="57"/>
  <c r="H54" i="57"/>
  <c r="G40" i="57"/>
  <c r="G10" i="57"/>
  <c r="I54" i="57"/>
  <c r="I38" i="57"/>
  <c r="J47" i="57"/>
  <c r="N9" i="57"/>
  <c r="G31" i="57"/>
  <c r="G32" i="57"/>
  <c r="I43" i="57"/>
  <c r="G37" i="57"/>
  <c r="K35" i="57"/>
  <c r="N11" i="57"/>
  <c r="G43" i="57"/>
  <c r="J45" i="57"/>
  <c r="N14" i="22"/>
  <c r="G18" i="22"/>
  <c r="G18" i="19"/>
  <c r="G10" i="19"/>
  <c r="N8" i="19"/>
  <c r="G28" i="22"/>
  <c r="K51" i="22"/>
  <c r="L54" i="19"/>
  <c r="H42" i="22"/>
  <c r="L42" i="22"/>
  <c r="H28" i="19"/>
  <c r="J45" i="19"/>
  <c r="K58" i="19"/>
  <c r="G73" i="22"/>
  <c r="L34" i="19"/>
  <c r="H28" i="22"/>
  <c r="L38" i="22"/>
  <c r="N9" i="22"/>
  <c r="H53" i="22"/>
  <c r="I46" i="22"/>
  <c r="I60" i="19"/>
  <c r="L54" i="22"/>
  <c r="G30" i="19"/>
  <c r="H32" i="19"/>
  <c r="G72" i="22"/>
  <c r="I33" i="22"/>
  <c r="J30" i="22"/>
  <c r="J31" i="22"/>
  <c r="I69" i="22"/>
  <c r="K38" i="22"/>
  <c r="L60" i="22"/>
  <c r="L76" i="22"/>
  <c r="K28" i="22"/>
  <c r="G36" i="19"/>
  <c r="G52" i="19"/>
  <c r="H41" i="19"/>
  <c r="L52" i="19"/>
  <c r="I39" i="22"/>
  <c r="N13" i="22"/>
  <c r="G7" i="57"/>
  <c r="H53" i="57"/>
  <c r="J32" i="57"/>
  <c r="L27" i="57"/>
  <c r="G8" i="22"/>
  <c r="J32" i="22"/>
  <c r="J50" i="22"/>
  <c r="K27" i="19"/>
  <c r="J35" i="19"/>
  <c r="H27" i="19"/>
  <c r="I32" i="22"/>
  <c r="G33" i="57"/>
  <c r="L39" i="57"/>
  <c r="G47" i="57"/>
  <c r="G11" i="22"/>
  <c r="G49" i="19"/>
  <c r="L46" i="19"/>
  <c r="H52" i="19"/>
  <c r="G57" i="22"/>
  <c r="K46" i="22"/>
  <c r="I42" i="22"/>
  <c r="I47" i="22"/>
  <c r="G6" i="57"/>
  <c r="I35" i="57"/>
  <c r="G52" i="57"/>
  <c r="J27" i="1"/>
  <c r="G26" i="57"/>
  <c r="K46" i="57"/>
  <c r="G41" i="57"/>
  <c r="L47" i="57"/>
  <c r="G54" i="57"/>
  <c r="J54" i="57"/>
  <c r="G29" i="57"/>
  <c r="I45" i="57"/>
  <c r="H52" i="57"/>
  <c r="G9" i="19"/>
  <c r="G15" i="19"/>
  <c r="N11" i="19"/>
  <c r="J55" i="22"/>
  <c r="L48" i="19"/>
  <c r="I27" i="22"/>
  <c r="L46" i="22"/>
  <c r="J36" i="19"/>
  <c r="H47" i="22"/>
  <c r="J69" i="22"/>
  <c r="J51" i="22"/>
  <c r="L47" i="22"/>
  <c r="L62" i="22"/>
  <c r="K55" i="22"/>
  <c r="H59" i="22"/>
  <c r="J36" i="22"/>
  <c r="G47" i="19"/>
  <c r="L74" i="22"/>
  <c r="I60" i="22"/>
  <c r="G58" i="19"/>
  <c r="G42" i="19"/>
  <c r="L40" i="22"/>
  <c r="H37" i="22"/>
  <c r="G49" i="22"/>
  <c r="G29" i="19"/>
  <c r="G75" i="22"/>
  <c r="N11" i="22"/>
  <c r="I40" i="22"/>
  <c r="K34" i="19"/>
  <c r="I68" i="22"/>
  <c r="L47" i="19"/>
  <c r="K32" i="19"/>
  <c r="J74" i="22"/>
  <c r="H44" i="57"/>
  <c r="H45" i="57"/>
  <c r="N13" i="19"/>
  <c r="I45" i="19"/>
  <c r="L51" i="19"/>
  <c r="H39" i="22"/>
  <c r="L53" i="22"/>
  <c r="G35" i="19"/>
  <c r="H34" i="19"/>
  <c r="G48" i="19"/>
  <c r="H37" i="57"/>
  <c r="J32" i="19"/>
  <c r="K27" i="22"/>
  <c r="K42" i="57"/>
  <c r="I27" i="1"/>
  <c r="H61" i="22"/>
  <c r="H46" i="22"/>
  <c r="G5" i="22"/>
  <c r="H42" i="57"/>
  <c r="H46" i="19"/>
  <c r="K75" i="22"/>
  <c r="G42" i="22"/>
  <c r="H72" i="22"/>
  <c r="L28" i="22"/>
  <c r="G28" i="19"/>
  <c r="I58" i="19"/>
  <c r="G26" i="22"/>
  <c r="I74" i="22"/>
  <c r="I30" i="22"/>
  <c r="G37" i="19"/>
  <c r="G35" i="22"/>
  <c r="G13" i="19"/>
  <c r="G22" i="22"/>
  <c r="G48" i="57"/>
  <c r="N10" i="57"/>
  <c r="G50" i="57"/>
  <c r="G46" i="19"/>
  <c r="L58" i="22"/>
  <c r="K29" i="22"/>
  <c r="G6" i="22"/>
  <c r="G41" i="22"/>
  <c r="K74" i="22"/>
  <c r="I53" i="22"/>
  <c r="I51" i="19"/>
  <c r="G50" i="19"/>
  <c r="H58" i="19"/>
  <c r="I59" i="19"/>
  <c r="J76" i="22"/>
  <c r="I47" i="19"/>
  <c r="K73" i="22"/>
  <c r="G53" i="19"/>
  <c r="K47" i="22"/>
  <c r="L37" i="22"/>
  <c r="G16" i="19"/>
  <c r="J29" i="57"/>
  <c r="G27" i="1"/>
  <c r="I28" i="57"/>
  <c r="L27" i="1"/>
  <c r="K42" i="22"/>
  <c r="L43" i="57"/>
  <c r="L35" i="19"/>
  <c r="J33" i="19"/>
  <c r="K56" i="57"/>
  <c r="I76" i="22"/>
  <c r="K65" i="22"/>
  <c r="L56" i="57"/>
  <c r="H38" i="57"/>
  <c r="G55" i="19"/>
  <c r="J31" i="19"/>
  <c r="H59" i="19"/>
  <c r="G33" i="19"/>
  <c r="K30" i="22"/>
  <c r="K41" i="22"/>
  <c r="J73" i="22"/>
  <c r="J46" i="19"/>
  <c r="J58" i="19"/>
  <c r="J27" i="22"/>
  <c r="K39" i="22"/>
  <c r="J66" i="22"/>
  <c r="G17" i="22"/>
  <c r="I44" i="57"/>
  <c r="K53" i="57"/>
  <c r="I31" i="57"/>
  <c r="I37" i="57"/>
  <c r="L66" i="22"/>
  <c r="K31" i="19"/>
  <c r="L29" i="57"/>
  <c r="L39" i="19"/>
  <c r="L32" i="22"/>
  <c r="N9" i="1"/>
  <c r="L27" i="19"/>
  <c r="I52" i="22"/>
  <c r="K39" i="19"/>
  <c r="H58" i="22"/>
  <c r="L69" i="22"/>
  <c r="L30" i="22"/>
  <c r="J52" i="19"/>
  <c r="J40" i="19"/>
  <c r="K60" i="19"/>
  <c r="J51" i="19"/>
  <c r="G14" i="19"/>
  <c r="G77" i="22"/>
  <c r="G44" i="57"/>
  <c r="I53" i="57"/>
  <c r="J35" i="57"/>
  <c r="G27" i="57"/>
  <c r="J39" i="57"/>
  <c r="I46" i="51"/>
  <c r="I33" i="48"/>
  <c r="I50" i="48"/>
  <c r="I31" i="48"/>
  <c r="I49" i="53"/>
  <c r="I47" i="54"/>
  <c r="I45" i="50"/>
  <c r="I31" i="51"/>
  <c r="I32" i="48"/>
  <c r="I48" i="54"/>
  <c r="I49" i="54"/>
  <c r="I49" i="48"/>
  <c r="I29" i="51"/>
  <c r="I29" i="39"/>
  <c r="I45" i="48"/>
  <c r="I28" i="54"/>
  <c r="I47" i="51"/>
  <c r="I50" i="54"/>
  <c r="I31" i="55"/>
  <c r="I28" i="51"/>
  <c r="I46" i="50"/>
  <c r="I49" i="51"/>
  <c r="I45" i="54"/>
  <c r="I47" i="48"/>
  <c r="I48" i="48"/>
  <c r="I34" i="53"/>
  <c r="I30" i="55"/>
  <c r="I48" i="50"/>
  <c r="I44" i="51"/>
  <c r="I44" i="53"/>
  <c r="I46" i="54"/>
  <c r="I45" i="53"/>
  <c r="I31" i="50"/>
  <c r="I28" i="53"/>
  <c r="I30" i="53"/>
  <c r="I29" i="54"/>
  <c r="I32" i="53"/>
  <c r="I31" i="39"/>
  <c r="I31" i="54"/>
  <c r="I48" i="53"/>
  <c r="I44" i="50"/>
  <c r="I28" i="50"/>
  <c r="I50" i="53"/>
  <c r="I34" i="39"/>
  <c r="I33" i="53"/>
  <c r="I29" i="53"/>
  <c r="I47" i="55"/>
  <c r="I28" i="48"/>
  <c r="I29" i="48"/>
  <c r="I47" i="53"/>
  <c r="I33" i="50"/>
  <c r="I32" i="51"/>
  <c r="I30" i="51"/>
  <c r="I28" i="55"/>
  <c r="I34" i="48"/>
  <c r="I30" i="54"/>
  <c r="I45" i="51"/>
  <c r="I48" i="51"/>
  <c r="I29" i="50"/>
  <c r="I33" i="51"/>
  <c r="I50" i="50"/>
  <c r="I46" i="53"/>
  <c r="I46" i="55"/>
  <c r="I47" i="50"/>
  <c r="I49" i="55"/>
  <c r="I31" i="53"/>
  <c r="I34" i="51"/>
  <c r="I34" i="54"/>
  <c r="I44" i="48"/>
  <c r="I49" i="50"/>
  <c r="I44" i="54"/>
  <c r="I50" i="55"/>
  <c r="I33" i="54"/>
  <c r="I32" i="50"/>
  <c r="I32" i="54"/>
  <c r="I44" i="55"/>
  <c r="I32" i="55"/>
  <c r="I32" i="39"/>
  <c r="I48" i="55"/>
  <c r="I46" i="48"/>
  <c r="I34" i="50"/>
  <c r="I30" i="48"/>
  <c r="I50" i="51"/>
  <c r="I33" i="39"/>
  <c r="I30" i="50"/>
  <c r="I45" i="55"/>
  <c r="I30" i="39"/>
  <c r="I29" i="55"/>
  <c r="I28" i="39"/>
  <c r="G25" i="22"/>
  <c r="L41" i="19"/>
  <c r="G8" i="19"/>
  <c r="G22" i="57"/>
  <c r="I59" i="22"/>
  <c r="N10" i="22"/>
  <c r="H48" i="19"/>
  <c r="I32" i="57"/>
  <c r="G32" i="22"/>
  <c r="H55" i="22"/>
  <c r="I73" i="22"/>
  <c r="L53" i="19"/>
  <c r="I50" i="22"/>
  <c r="I36" i="22"/>
  <c r="K61" i="22"/>
  <c r="G26" i="19"/>
  <c r="G22" i="19"/>
  <c r="G56" i="19"/>
  <c r="K59" i="19"/>
  <c r="K36" i="19"/>
  <c r="J75" i="22"/>
  <c r="G19" i="22"/>
  <c r="H77" i="22"/>
  <c r="L45" i="57"/>
  <c r="L54" i="57"/>
  <c r="G45" i="57"/>
  <c r="K32" i="57"/>
  <c r="H55" i="57"/>
  <c r="G25" i="1"/>
  <c r="L38" i="57"/>
  <c r="G39" i="19"/>
  <c r="N11" i="1"/>
  <c r="K43" i="57"/>
  <c r="H47" i="19"/>
  <c r="H31" i="57"/>
  <c r="H53" i="19"/>
  <c r="L45" i="19"/>
  <c r="G41" i="19"/>
  <c r="I27" i="19"/>
  <c r="K69" i="22"/>
  <c r="J60" i="19"/>
  <c r="H68" i="22"/>
  <c r="I48" i="19"/>
  <c r="L33" i="19"/>
  <c r="K66" i="22"/>
  <c r="K33" i="22"/>
  <c r="J61" i="22"/>
  <c r="L72" i="22"/>
  <c r="K46" i="19"/>
  <c r="I54" i="22"/>
  <c r="L79" i="22"/>
  <c r="G56" i="57"/>
  <c r="J31" i="57"/>
  <c r="G25" i="57"/>
  <c r="J36" i="57"/>
  <c r="L46" i="57"/>
  <c r="L80" i="22"/>
  <c r="I80" i="22"/>
  <c r="H80" i="22"/>
  <c r="J80" i="22"/>
  <c r="G78" i="22"/>
  <c r="K80" i="22"/>
  <c r="G80" i="22"/>
  <c r="L81" i="22"/>
  <c r="N80" i="22"/>
  <c r="M79" i="22"/>
  <c r="O130" i="11"/>
  <c r="H128" i="64" s="1"/>
  <c r="D65" i="39"/>
  <c r="E64" i="39"/>
  <c r="S63" i="22"/>
  <c r="J30" i="67" l="1"/>
  <c r="X42" i="57"/>
  <c r="S51" i="19"/>
  <c r="S54" i="19"/>
  <c r="S53" i="19"/>
  <c r="S33" i="19"/>
  <c r="S34" i="19"/>
  <c r="S32" i="19"/>
  <c r="S36" i="19"/>
  <c r="S31" i="19"/>
  <c r="S27" i="19"/>
  <c r="S28" i="19"/>
  <c r="S42" i="19"/>
  <c r="S58" i="19"/>
  <c r="S57" i="19"/>
  <c r="S59" i="19"/>
  <c r="S60" i="19"/>
  <c r="S41" i="19"/>
  <c r="S39" i="19"/>
  <c r="S48" i="57"/>
  <c r="S48" i="19"/>
  <c r="S46" i="19"/>
  <c r="W27" i="19"/>
  <c r="W28" i="19"/>
  <c r="W60" i="19"/>
  <c r="W41" i="19"/>
  <c r="W36" i="19"/>
  <c r="W57" i="19"/>
  <c r="W59" i="19"/>
  <c r="W58" i="19"/>
  <c r="W39" i="19"/>
  <c r="W54" i="19"/>
  <c r="W46" i="19"/>
  <c r="W51" i="19"/>
  <c r="W31" i="19"/>
  <c r="W48" i="19"/>
  <c r="W33" i="19"/>
  <c r="W34" i="19"/>
  <c r="W53" i="19"/>
  <c r="W32" i="19"/>
  <c r="W42" i="19"/>
  <c r="X31" i="57"/>
  <c r="X46" i="57"/>
  <c r="X44" i="57"/>
  <c r="X29" i="57"/>
  <c r="X36" i="57"/>
  <c r="X45" i="57"/>
  <c r="X28" i="57"/>
  <c r="X39" i="57"/>
  <c r="X27" i="57"/>
  <c r="X43" i="57"/>
  <c r="X37" i="57"/>
  <c r="X38" i="57"/>
  <c r="S31" i="57"/>
  <c r="S29" i="57"/>
  <c r="S27" i="57"/>
  <c r="S28" i="57"/>
  <c r="S38" i="57"/>
  <c r="S36" i="57"/>
  <c r="S37" i="57"/>
  <c r="S39" i="57"/>
  <c r="S45" i="57"/>
  <c r="S46" i="57"/>
  <c r="S43" i="57"/>
  <c r="S44" i="57"/>
  <c r="Q14" i="22"/>
  <c r="X49" i="57"/>
  <c r="X52" i="57"/>
  <c r="X54" i="57"/>
  <c r="X53" i="57"/>
  <c r="X55" i="57"/>
  <c r="X56" i="57"/>
  <c r="X48" i="57"/>
  <c r="S52" i="57"/>
  <c r="S54" i="57"/>
  <c r="S53" i="57"/>
  <c r="S55" i="57"/>
  <c r="S56" i="57"/>
  <c r="S49" i="57"/>
  <c r="G81" i="22"/>
  <c r="H81" i="22"/>
  <c r="J81" i="22"/>
  <c r="K81" i="22"/>
  <c r="I81" i="22"/>
  <c r="J82" i="22"/>
  <c r="N81" i="22"/>
  <c r="M80" i="22"/>
  <c r="O131" i="11"/>
  <c r="H129" i="64" s="1"/>
  <c r="D66" i="39"/>
  <c r="E65" i="39"/>
  <c r="K30" i="67" l="1"/>
  <c r="S49" i="19"/>
  <c r="AA12" i="19" s="1"/>
  <c r="S37" i="19"/>
  <c r="AA10" i="19" s="1"/>
  <c r="S55" i="19"/>
  <c r="AA13" i="19" s="1"/>
  <c r="S25" i="19"/>
  <c r="AA8" i="19" s="1"/>
  <c r="S43" i="19"/>
  <c r="AA11" i="19" s="1"/>
  <c r="S29" i="19"/>
  <c r="AA9" i="19" s="1"/>
  <c r="S40" i="57"/>
  <c r="AB10" i="57" s="1"/>
  <c r="S33" i="57"/>
  <c r="AB9" i="57" s="1"/>
  <c r="S25" i="57"/>
  <c r="AB8" i="57" s="1"/>
  <c r="R14" i="22"/>
  <c r="S50" i="57"/>
  <c r="AB11" i="57" s="1"/>
  <c r="AB14" i="57"/>
  <c r="V108" i="67" s="1"/>
  <c r="AA16" i="19"/>
  <c r="V21" i="67" s="1"/>
  <c r="L82" i="22"/>
  <c r="K82" i="22"/>
  <c r="I82" i="22"/>
  <c r="H82" i="22"/>
  <c r="G82" i="22"/>
  <c r="M81" i="22"/>
  <c r="N82" i="22"/>
  <c r="O132" i="11"/>
  <c r="H130" i="64" s="1"/>
  <c r="D67" i="39"/>
  <c r="E66" i="39"/>
  <c r="V106" i="67" l="1"/>
  <c r="V16" i="67"/>
  <c r="V18" i="67"/>
  <c r="V15" i="67"/>
  <c r="V20" i="67"/>
  <c r="V104" i="67"/>
  <c r="V17" i="67"/>
  <c r="L30" i="67"/>
  <c r="V19" i="67"/>
  <c r="V105" i="67"/>
  <c r="V107" i="67"/>
  <c r="H18" i="12"/>
  <c r="H7" i="12"/>
  <c r="S14" i="22"/>
  <c r="H83" i="22"/>
  <c r="K83" i="22"/>
  <c r="J83" i="22"/>
  <c r="G83" i="22"/>
  <c r="I83" i="22"/>
  <c r="L83" i="22"/>
  <c r="N83" i="22"/>
  <c r="M82" i="22"/>
  <c r="O133" i="11"/>
  <c r="H131" i="64" s="1"/>
  <c r="D71" i="39"/>
  <c r="E67" i="39"/>
  <c r="M30" i="67" l="1"/>
  <c r="T14" i="22"/>
  <c r="S83" i="22"/>
  <c r="W83" i="22"/>
  <c r="F12" i="12"/>
  <c r="F15" i="12"/>
  <c r="F17" i="12"/>
  <c r="F11" i="12"/>
  <c r="F9" i="12"/>
  <c r="F14" i="12"/>
  <c r="G47" i="48"/>
  <c r="F16" i="12"/>
  <c r="K72" i="36"/>
  <c r="I84" i="22"/>
  <c r="G84" i="22"/>
  <c r="L84" i="22"/>
  <c r="I68" i="36"/>
  <c r="F18" i="12"/>
  <c r="F10" i="12"/>
  <c r="I34" i="40"/>
  <c r="J34" i="40"/>
  <c r="K84" i="22"/>
  <c r="J69" i="36"/>
  <c r="H72" i="36"/>
  <c r="H84" i="22"/>
  <c r="F13" i="12"/>
  <c r="J71" i="36"/>
  <c r="J84" i="22"/>
  <c r="L69" i="36"/>
  <c r="G66" i="36"/>
  <c r="L70" i="36"/>
  <c r="H85" i="22"/>
  <c r="M83" i="22"/>
  <c r="N84" i="22"/>
  <c r="K81" i="39"/>
  <c r="O134" i="11"/>
  <c r="H132" i="64" s="1"/>
  <c r="K63" i="39"/>
  <c r="H28" i="39"/>
  <c r="G33" i="39"/>
  <c r="N49" i="38"/>
  <c r="H99" i="39"/>
  <c r="K49" i="39"/>
  <c r="N35" i="38"/>
  <c r="N59" i="38"/>
  <c r="I100" i="39"/>
  <c r="G16" i="39"/>
  <c r="H44" i="39"/>
  <c r="H97" i="39"/>
  <c r="G94" i="39"/>
  <c r="H46" i="39"/>
  <c r="G14" i="39"/>
  <c r="H62" i="39"/>
  <c r="N30" i="38"/>
  <c r="K13" i="39"/>
  <c r="N54" i="38"/>
  <c r="K115" i="39"/>
  <c r="I16" i="39"/>
  <c r="I116" i="39"/>
  <c r="H63" i="39"/>
  <c r="H31" i="39"/>
  <c r="H16" i="39"/>
  <c r="N29" i="38"/>
  <c r="I82" i="39"/>
  <c r="N45" i="38"/>
  <c r="I94" i="39"/>
  <c r="H114" i="39"/>
  <c r="K61" i="39"/>
  <c r="G31" i="39"/>
  <c r="N32" i="38"/>
  <c r="D72" i="39"/>
  <c r="E71" i="39"/>
  <c r="N30" i="67" l="1"/>
  <c r="U14" i="22"/>
  <c r="S54" i="38"/>
  <c r="W54" i="38"/>
  <c r="I14" i="39"/>
  <c r="K16" i="39"/>
  <c r="K71" i="36"/>
  <c r="G71" i="36"/>
  <c r="G116" i="39"/>
  <c r="K66" i="39"/>
  <c r="N43" i="38"/>
  <c r="I18" i="39"/>
  <c r="H34" i="39"/>
  <c r="N48" i="38"/>
  <c r="I69" i="36"/>
  <c r="H115" i="53"/>
  <c r="G79" i="55"/>
  <c r="J7" i="54"/>
  <c r="K84" i="55"/>
  <c r="I81" i="51"/>
  <c r="G116" i="54"/>
  <c r="J40" i="53"/>
  <c r="K113" i="53"/>
  <c r="K14" i="53"/>
  <c r="K31" i="55"/>
  <c r="I17" i="54"/>
  <c r="K112" i="54"/>
  <c r="J5" i="48"/>
  <c r="K95" i="51"/>
  <c r="H61" i="53"/>
  <c r="I82" i="54"/>
  <c r="G14" i="53"/>
  <c r="H31" i="48"/>
  <c r="G34" i="53"/>
  <c r="G78" i="54"/>
  <c r="H34" i="53"/>
  <c r="H16" i="48"/>
  <c r="K111" i="51"/>
  <c r="H62" i="51"/>
  <c r="G100" i="51"/>
  <c r="G83" i="48"/>
  <c r="I16" i="53"/>
  <c r="G114" i="55"/>
  <c r="K61" i="53"/>
  <c r="I18" i="53"/>
  <c r="G16" i="53"/>
  <c r="G78" i="51"/>
  <c r="H66" i="50"/>
  <c r="H81" i="50"/>
  <c r="G66" i="48"/>
  <c r="H80" i="48"/>
  <c r="I17" i="55"/>
  <c r="I114" i="51"/>
  <c r="H114" i="48"/>
  <c r="K97" i="51"/>
  <c r="H114" i="53"/>
  <c r="K30" i="48"/>
  <c r="H32" i="51"/>
  <c r="K111" i="53"/>
  <c r="H50" i="54"/>
  <c r="G78" i="53"/>
  <c r="K28" i="54"/>
  <c r="K98" i="53"/>
  <c r="H61" i="51"/>
  <c r="K65" i="54"/>
  <c r="G114" i="48"/>
  <c r="H97" i="54"/>
  <c r="H16" i="53"/>
  <c r="H112" i="51"/>
  <c r="H12" i="54"/>
  <c r="K65" i="55"/>
  <c r="H28" i="54"/>
  <c r="H50" i="53"/>
  <c r="K95" i="48"/>
  <c r="H94" i="51"/>
  <c r="G98" i="54"/>
  <c r="I113" i="48"/>
  <c r="G28" i="51"/>
  <c r="K80" i="53"/>
  <c r="H60" i="51"/>
  <c r="G98" i="48"/>
  <c r="H97" i="51"/>
  <c r="G78" i="50"/>
  <c r="K95" i="50"/>
  <c r="I61" i="51"/>
  <c r="I98" i="48"/>
  <c r="K99" i="54"/>
  <c r="H84" i="55"/>
  <c r="G61" i="55"/>
  <c r="K15" i="55"/>
  <c r="G97" i="50"/>
  <c r="I61" i="53"/>
  <c r="I114" i="48"/>
  <c r="H14" i="48"/>
  <c r="G46" i="55"/>
  <c r="H81" i="53"/>
  <c r="I66" i="54"/>
  <c r="I17" i="48"/>
  <c r="G16" i="48"/>
  <c r="H81" i="51"/>
  <c r="K60" i="53"/>
  <c r="H111" i="55"/>
  <c r="H94" i="48"/>
  <c r="H13" i="50"/>
  <c r="H95" i="51"/>
  <c r="K81" i="54"/>
  <c r="I81" i="53"/>
  <c r="K64" i="50"/>
  <c r="K95" i="54"/>
  <c r="H97" i="48"/>
  <c r="H65" i="54"/>
  <c r="I83" i="50"/>
  <c r="K66" i="50"/>
  <c r="K112" i="53"/>
  <c r="H31" i="53"/>
  <c r="G66" i="50"/>
  <c r="H116" i="55"/>
  <c r="I12" i="54"/>
  <c r="G30" i="53"/>
  <c r="K95" i="55"/>
  <c r="H66" i="55"/>
  <c r="H46" i="50"/>
  <c r="G49" i="50"/>
  <c r="G49" i="54"/>
  <c r="G113" i="53"/>
  <c r="G33" i="51"/>
  <c r="H47" i="53"/>
  <c r="K30" i="54"/>
  <c r="I78" i="53"/>
  <c r="I18" i="55"/>
  <c r="K84" i="51"/>
  <c r="I115" i="51"/>
  <c r="I14" i="51"/>
  <c r="I100" i="48"/>
  <c r="G112" i="48"/>
  <c r="H95" i="50"/>
  <c r="K64" i="54"/>
  <c r="H99" i="50"/>
  <c r="G66" i="53"/>
  <c r="H32" i="54"/>
  <c r="I78" i="54"/>
  <c r="I61" i="54"/>
  <c r="H30" i="51"/>
  <c r="K113" i="48"/>
  <c r="G48" i="55"/>
  <c r="K50" i="50"/>
  <c r="K116" i="51"/>
  <c r="H99" i="51"/>
  <c r="K94" i="48"/>
  <c r="H61" i="50"/>
  <c r="H44" i="50"/>
  <c r="I94" i="51"/>
  <c r="H78" i="54"/>
  <c r="H15" i="51"/>
  <c r="H110" i="50"/>
  <c r="H82" i="55"/>
  <c r="K81" i="53"/>
  <c r="K82" i="53"/>
  <c r="G81" i="55"/>
  <c r="K15" i="48"/>
  <c r="G83" i="54"/>
  <c r="G100" i="50"/>
  <c r="H83" i="51"/>
  <c r="G18" i="55"/>
  <c r="H99" i="53"/>
  <c r="K47" i="54"/>
  <c r="H13" i="51"/>
  <c r="I97" i="55"/>
  <c r="I12" i="53"/>
  <c r="K44" i="50"/>
  <c r="I114" i="50"/>
  <c r="I64" i="51"/>
  <c r="H48" i="50"/>
  <c r="K63" i="51"/>
  <c r="I61" i="48"/>
  <c r="H65" i="55"/>
  <c r="H46" i="51"/>
  <c r="G31" i="50"/>
  <c r="G96" i="54"/>
  <c r="K46" i="51"/>
  <c r="K16" i="48"/>
  <c r="K14" i="55"/>
  <c r="H29" i="53"/>
  <c r="G94" i="54"/>
  <c r="G115" i="53"/>
  <c r="K62" i="53"/>
  <c r="G28" i="50"/>
  <c r="I79" i="51"/>
  <c r="K18" i="51"/>
  <c r="K17" i="55"/>
  <c r="I115" i="48"/>
  <c r="H47" i="50"/>
  <c r="H16" i="54"/>
  <c r="H31" i="50"/>
  <c r="H66" i="53"/>
  <c r="H17" i="51"/>
  <c r="H116" i="51"/>
  <c r="K84" i="54"/>
  <c r="K97" i="54"/>
  <c r="G34" i="51"/>
  <c r="I63" i="55"/>
  <c r="H80" i="50"/>
  <c r="G81" i="50"/>
  <c r="H112" i="53"/>
  <c r="H110" i="48"/>
  <c r="H14" i="51"/>
  <c r="H111" i="53"/>
  <c r="K94" i="50"/>
  <c r="K16" i="54"/>
  <c r="G34" i="50"/>
  <c r="G111" i="48"/>
  <c r="I114" i="53"/>
  <c r="I99" i="54"/>
  <c r="K48" i="48"/>
  <c r="G65" i="53"/>
  <c r="H116" i="53"/>
  <c r="I98" i="54"/>
  <c r="I78" i="50"/>
  <c r="I115" i="53"/>
  <c r="G62" i="51"/>
  <c r="K111" i="48"/>
  <c r="G84" i="53"/>
  <c r="H45" i="55"/>
  <c r="G45" i="51"/>
  <c r="K30" i="55"/>
  <c r="G49" i="51"/>
  <c r="K83" i="54"/>
  <c r="H16" i="55"/>
  <c r="H113" i="54"/>
  <c r="H80" i="55"/>
  <c r="K80" i="51"/>
  <c r="H96" i="48"/>
  <c r="H94" i="53"/>
  <c r="I99" i="51"/>
  <c r="I100" i="51"/>
  <c r="H97" i="53"/>
  <c r="H50" i="50"/>
  <c r="I12" i="51"/>
  <c r="H18" i="48"/>
  <c r="G48" i="48"/>
  <c r="K30" i="50"/>
  <c r="I65" i="50"/>
  <c r="H98" i="50"/>
  <c r="G80" i="53"/>
  <c r="K15" i="53"/>
  <c r="H112" i="54"/>
  <c r="G99" i="55"/>
  <c r="K61" i="54"/>
  <c r="H34" i="51"/>
  <c r="I100" i="53"/>
  <c r="G63" i="54"/>
  <c r="I79" i="55"/>
  <c r="G100" i="48"/>
  <c r="H78" i="51"/>
  <c r="I81" i="55"/>
  <c r="G60" i="48"/>
  <c r="G29" i="50"/>
  <c r="G94" i="51"/>
  <c r="H12" i="53"/>
  <c r="I112" i="48"/>
  <c r="K46" i="54"/>
  <c r="H115" i="54"/>
  <c r="G50" i="51"/>
  <c r="K18" i="48"/>
  <c r="K110" i="51"/>
  <c r="K13" i="53"/>
  <c r="G96" i="51"/>
  <c r="H28" i="51"/>
  <c r="K17" i="53"/>
  <c r="K63" i="48"/>
  <c r="H63" i="50"/>
  <c r="K33" i="48"/>
  <c r="K112" i="51"/>
  <c r="K79" i="50"/>
  <c r="I18" i="50"/>
  <c r="G12" i="50"/>
  <c r="K28" i="51"/>
  <c r="I116" i="54"/>
  <c r="K84" i="53"/>
  <c r="I15" i="54"/>
  <c r="K78" i="50"/>
  <c r="K62" i="54"/>
  <c r="H48" i="53"/>
  <c r="H29" i="50"/>
  <c r="G12" i="55"/>
  <c r="H13" i="53"/>
  <c r="K13" i="51"/>
  <c r="I84" i="50"/>
  <c r="G97" i="51"/>
  <c r="K12" i="53"/>
  <c r="H60" i="55"/>
  <c r="H29" i="48"/>
  <c r="G28" i="55"/>
  <c r="K14" i="48"/>
  <c r="I100" i="54"/>
  <c r="G115" i="50"/>
  <c r="G18" i="50"/>
  <c r="G116" i="55"/>
  <c r="I82" i="53"/>
  <c r="H62" i="48"/>
  <c r="H28" i="48"/>
  <c r="I116" i="48"/>
  <c r="H78" i="53"/>
  <c r="K66" i="51"/>
  <c r="G84" i="55"/>
  <c r="H45" i="53"/>
  <c r="G14" i="51"/>
  <c r="K115" i="55"/>
  <c r="H62" i="50"/>
  <c r="H115" i="48"/>
  <c r="H47" i="55"/>
  <c r="H79" i="53"/>
  <c r="H18" i="51"/>
  <c r="G31" i="53"/>
  <c r="H100" i="53"/>
  <c r="K31" i="50"/>
  <c r="H84" i="53"/>
  <c r="K110" i="50"/>
  <c r="G30" i="50"/>
  <c r="H60" i="48"/>
  <c r="H115" i="51"/>
  <c r="H47" i="48"/>
  <c r="I60" i="51"/>
  <c r="I96" i="54"/>
  <c r="I110" i="53"/>
  <c r="K116" i="54"/>
  <c r="K17" i="54"/>
  <c r="I18" i="48"/>
  <c r="K115" i="54"/>
  <c r="I97" i="53"/>
  <c r="H14" i="53"/>
  <c r="I100" i="50"/>
  <c r="I64" i="54"/>
  <c r="K114" i="51"/>
  <c r="G84" i="51"/>
  <c r="H100" i="50"/>
  <c r="G17" i="55"/>
  <c r="G116" i="48"/>
  <c r="I81" i="50"/>
  <c r="I96" i="53"/>
  <c r="G80" i="54"/>
  <c r="H110" i="55"/>
  <c r="K115" i="48"/>
  <c r="H49" i="54"/>
  <c r="G115" i="55"/>
  <c r="G16" i="55"/>
  <c r="I82" i="51"/>
  <c r="G14" i="50"/>
  <c r="K45" i="51"/>
  <c r="G63" i="51"/>
  <c r="K61" i="48"/>
  <c r="K46" i="55"/>
  <c r="I17" i="53"/>
  <c r="K49" i="51"/>
  <c r="H18" i="50"/>
  <c r="K45" i="55"/>
  <c r="I97" i="50"/>
  <c r="G100" i="53"/>
  <c r="K116" i="48"/>
  <c r="H17" i="53"/>
  <c r="I78" i="55"/>
  <c r="H17" i="54"/>
  <c r="H28" i="55"/>
  <c r="H99" i="54"/>
  <c r="G100" i="54"/>
  <c r="G113" i="48"/>
  <c r="I99" i="50"/>
  <c r="K66" i="55"/>
  <c r="H50" i="55"/>
  <c r="K16" i="55"/>
  <c r="I100" i="55"/>
  <c r="K29" i="53"/>
  <c r="K33" i="50"/>
  <c r="H111" i="48"/>
  <c r="G111" i="55"/>
  <c r="G47" i="54"/>
  <c r="G97" i="48"/>
  <c r="G84" i="50"/>
  <c r="G50" i="48"/>
  <c r="G113" i="55"/>
  <c r="I14" i="48"/>
  <c r="I115" i="55"/>
  <c r="G30" i="54"/>
  <c r="I13" i="53"/>
  <c r="H114" i="54"/>
  <c r="G31" i="54"/>
  <c r="K13" i="55"/>
  <c r="K28" i="55"/>
  <c r="K116" i="55"/>
  <c r="G82" i="48"/>
  <c r="H46" i="53"/>
  <c r="K84" i="48"/>
  <c r="H79" i="55"/>
  <c r="G97" i="54"/>
  <c r="H29" i="55"/>
  <c r="K12" i="54"/>
  <c r="K32" i="54"/>
  <c r="H65" i="48"/>
  <c r="H60" i="54"/>
  <c r="K79" i="53"/>
  <c r="K99" i="51"/>
  <c r="I111" i="48"/>
  <c r="K98" i="54"/>
  <c r="G60" i="55"/>
  <c r="K62" i="55"/>
  <c r="G111" i="50"/>
  <c r="K60" i="51"/>
  <c r="K95" i="53"/>
  <c r="H115" i="55"/>
  <c r="G116" i="51"/>
  <c r="K61" i="50"/>
  <c r="G46" i="50"/>
  <c r="K81" i="48"/>
  <c r="H82" i="48"/>
  <c r="K29" i="55"/>
  <c r="G29" i="53"/>
  <c r="I116" i="55"/>
  <c r="H110" i="53"/>
  <c r="I17" i="50"/>
  <c r="G12" i="54"/>
  <c r="I15" i="50"/>
  <c r="I114" i="54"/>
  <c r="I84" i="48"/>
  <c r="K46" i="48"/>
  <c r="G15" i="50"/>
  <c r="I62" i="53"/>
  <c r="I97" i="48"/>
  <c r="I115" i="54"/>
  <c r="I15" i="51"/>
  <c r="K96" i="48"/>
  <c r="G15" i="54"/>
  <c r="G81" i="48"/>
  <c r="H96" i="51"/>
  <c r="G50" i="50"/>
  <c r="I111" i="51"/>
  <c r="H46" i="55"/>
  <c r="K97" i="53"/>
  <c r="K111" i="55"/>
  <c r="I82" i="55"/>
  <c r="G111" i="53"/>
  <c r="I13" i="51"/>
  <c r="H44" i="51"/>
  <c r="H16" i="50"/>
  <c r="K94" i="55"/>
  <c r="I18" i="51"/>
  <c r="K44" i="53"/>
  <c r="H112" i="50"/>
  <c r="H45" i="54"/>
  <c r="G14" i="55"/>
  <c r="G32" i="50"/>
  <c r="G30" i="48"/>
  <c r="H66" i="54"/>
  <c r="I116" i="50"/>
  <c r="K79" i="55"/>
  <c r="G64" i="51"/>
  <c r="H111" i="51"/>
  <c r="H98" i="54"/>
  <c r="H64" i="48"/>
  <c r="H83" i="55"/>
  <c r="H116" i="50"/>
  <c r="K65" i="51"/>
  <c r="G17" i="51"/>
  <c r="G28" i="54"/>
  <c r="I110" i="54"/>
  <c r="I61" i="55"/>
  <c r="I98" i="51"/>
  <c r="H100" i="51"/>
  <c r="H34" i="48"/>
  <c r="I79" i="54"/>
  <c r="K110" i="55"/>
  <c r="I63" i="54"/>
  <c r="H29" i="54"/>
  <c r="I84" i="53"/>
  <c r="H47" i="51"/>
  <c r="K29" i="48"/>
  <c r="H96" i="53"/>
  <c r="H94" i="50"/>
  <c r="G17" i="50"/>
  <c r="G110" i="54"/>
  <c r="G45" i="48"/>
  <c r="K97" i="48"/>
  <c r="H63" i="55"/>
  <c r="H63" i="51"/>
  <c r="K100" i="51"/>
  <c r="G110" i="50"/>
  <c r="H83" i="50"/>
  <c r="G32" i="55"/>
  <c r="H33" i="48"/>
  <c r="I78" i="51"/>
  <c r="K49" i="53"/>
  <c r="K15" i="50"/>
  <c r="H65" i="50"/>
  <c r="K97" i="55"/>
  <c r="G12" i="53"/>
  <c r="H84" i="50"/>
  <c r="H99" i="55"/>
  <c r="G17" i="54"/>
  <c r="K100" i="48"/>
  <c r="H12" i="48"/>
  <c r="H44" i="48"/>
  <c r="I112" i="50"/>
  <c r="G29" i="55"/>
  <c r="H81" i="48"/>
  <c r="G82" i="55"/>
  <c r="G14" i="48"/>
  <c r="I96" i="51"/>
  <c r="K16" i="51"/>
  <c r="K98" i="51"/>
  <c r="G47" i="51"/>
  <c r="G65" i="51"/>
  <c r="H49" i="48"/>
  <c r="K99" i="48"/>
  <c r="I99" i="53"/>
  <c r="I94" i="54"/>
  <c r="H66" i="48"/>
  <c r="I80" i="55"/>
  <c r="K28" i="53"/>
  <c r="I112" i="54"/>
  <c r="H96" i="50"/>
  <c r="G79" i="53"/>
  <c r="H82" i="53"/>
  <c r="G113" i="51"/>
  <c r="K29" i="54"/>
  <c r="G28" i="53"/>
  <c r="H17" i="50"/>
  <c r="H33" i="51"/>
  <c r="H79" i="51"/>
  <c r="I60" i="54"/>
  <c r="G29" i="48"/>
  <c r="G95" i="50"/>
  <c r="K81" i="51"/>
  <c r="K61" i="51"/>
  <c r="K111" i="50"/>
  <c r="G31" i="55"/>
  <c r="K99" i="55"/>
  <c r="G62" i="53"/>
  <c r="H31" i="51"/>
  <c r="K113" i="55"/>
  <c r="K50" i="55"/>
  <c r="I83" i="51"/>
  <c r="H98" i="51"/>
  <c r="K44" i="51"/>
  <c r="G33" i="53"/>
  <c r="K29" i="51"/>
  <c r="K94" i="54"/>
  <c r="H95" i="48"/>
  <c r="H113" i="51"/>
  <c r="G18" i="53"/>
  <c r="H94" i="54"/>
  <c r="H17" i="55"/>
  <c r="G60" i="54"/>
  <c r="G32" i="54"/>
  <c r="G44" i="54"/>
  <c r="K48" i="53"/>
  <c r="G49" i="53"/>
  <c r="H61" i="48"/>
  <c r="G65" i="50"/>
  <c r="G18" i="48"/>
  <c r="G82" i="53"/>
  <c r="K12" i="51"/>
  <c r="I78" i="48"/>
  <c r="I15" i="53"/>
  <c r="K18" i="54"/>
  <c r="G78" i="55"/>
  <c r="I64" i="53"/>
  <c r="K110" i="53"/>
  <c r="I12" i="55"/>
  <c r="H14" i="54"/>
  <c r="I65" i="48"/>
  <c r="G94" i="53"/>
  <c r="H113" i="53"/>
  <c r="K60" i="50"/>
  <c r="K98" i="50"/>
  <c r="K18" i="53"/>
  <c r="K78" i="53"/>
  <c r="G98" i="55"/>
  <c r="H48" i="55"/>
  <c r="H49" i="55"/>
  <c r="G64" i="54"/>
  <c r="G44" i="55"/>
  <c r="I16" i="50"/>
  <c r="H113" i="50"/>
  <c r="H115" i="50"/>
  <c r="I96" i="48"/>
  <c r="G64" i="48"/>
  <c r="G13" i="48"/>
  <c r="K79" i="51"/>
  <c r="K12" i="55"/>
  <c r="H13" i="48"/>
  <c r="H96" i="54"/>
  <c r="K48" i="55"/>
  <c r="H16" i="51"/>
  <c r="K32" i="51"/>
  <c r="H97" i="50"/>
  <c r="H45" i="51"/>
  <c r="H30" i="48"/>
  <c r="G15" i="55"/>
  <c r="G95" i="53"/>
  <c r="H30" i="53"/>
  <c r="I110" i="50"/>
  <c r="H100" i="54"/>
  <c r="I13" i="54"/>
  <c r="G114" i="53"/>
  <c r="K30" i="51"/>
  <c r="G80" i="55"/>
  <c r="K61" i="55"/>
  <c r="K14" i="51"/>
  <c r="K96" i="51"/>
  <c r="G17" i="53"/>
  <c r="K96" i="54"/>
  <c r="H84" i="54"/>
  <c r="I62" i="55"/>
  <c r="I111" i="54"/>
  <c r="K47" i="50"/>
  <c r="G48" i="53"/>
  <c r="K66" i="53"/>
  <c r="G64" i="55"/>
  <c r="I66" i="50"/>
  <c r="I116" i="51"/>
  <c r="K64" i="55"/>
  <c r="H64" i="54"/>
  <c r="I111" i="53"/>
  <c r="K14" i="50"/>
  <c r="K32" i="50"/>
  <c r="K81" i="50"/>
  <c r="K65" i="50"/>
  <c r="H34" i="50"/>
  <c r="K34" i="53"/>
  <c r="G110" i="53"/>
  <c r="G14" i="54"/>
  <c r="G50" i="53"/>
  <c r="H49" i="53"/>
  <c r="K33" i="51"/>
  <c r="I99" i="55"/>
  <c r="G44" i="51"/>
  <c r="G114" i="54"/>
  <c r="K13" i="48"/>
  <c r="H113" i="55"/>
  <c r="H78" i="48"/>
  <c r="H96" i="55"/>
  <c r="K34" i="51"/>
  <c r="K12" i="48"/>
  <c r="G13" i="54"/>
  <c r="G112" i="53"/>
  <c r="K65" i="48"/>
  <c r="H15" i="48"/>
  <c r="I14" i="50"/>
  <c r="G99" i="48"/>
  <c r="K64" i="48"/>
  <c r="H30" i="54"/>
  <c r="G12" i="48"/>
  <c r="I94" i="53"/>
  <c r="K28" i="48"/>
  <c r="G96" i="50"/>
  <c r="G110" i="55"/>
  <c r="I62" i="54"/>
  <c r="I83" i="53"/>
  <c r="G16" i="51"/>
  <c r="G30" i="51"/>
  <c r="K34" i="54"/>
  <c r="K62" i="51"/>
  <c r="G45" i="55"/>
  <c r="K80" i="55"/>
  <c r="G61" i="54"/>
  <c r="H15" i="55"/>
  <c r="H97" i="55"/>
  <c r="H111" i="50"/>
  <c r="G95" i="51"/>
  <c r="H79" i="54"/>
  <c r="K113" i="50"/>
  <c r="H60" i="50"/>
  <c r="K83" i="51"/>
  <c r="G60" i="51"/>
  <c r="H63" i="48"/>
  <c r="K84" i="50"/>
  <c r="H66" i="51"/>
  <c r="H33" i="50"/>
  <c r="K65" i="53"/>
  <c r="K30" i="53"/>
  <c r="K28" i="50"/>
  <c r="G48" i="50"/>
  <c r="K66" i="54"/>
  <c r="G61" i="53"/>
  <c r="H63" i="54"/>
  <c r="K82" i="50"/>
  <c r="K60" i="54"/>
  <c r="I95" i="51"/>
  <c r="G30" i="55"/>
  <c r="G113" i="54"/>
  <c r="H31" i="54"/>
  <c r="I84" i="55"/>
  <c r="G111" i="54"/>
  <c r="G34" i="48"/>
  <c r="H48" i="51"/>
  <c r="H64" i="51"/>
  <c r="G64" i="50"/>
  <c r="H61" i="54"/>
  <c r="K49" i="55"/>
  <c r="G65" i="54"/>
  <c r="K63" i="54"/>
  <c r="G18" i="54"/>
  <c r="H47" i="54"/>
  <c r="G100" i="55"/>
  <c r="K49" i="50"/>
  <c r="K83" i="48"/>
  <c r="G47" i="53"/>
  <c r="G47" i="55"/>
  <c r="G96" i="48"/>
  <c r="G115" i="54"/>
  <c r="G80" i="48"/>
  <c r="G96" i="55"/>
  <c r="G46" i="53"/>
  <c r="K44" i="48"/>
  <c r="I15" i="48"/>
  <c r="I14" i="54"/>
  <c r="G112" i="54"/>
  <c r="G62" i="50"/>
  <c r="I98" i="53"/>
  <c r="H94" i="55"/>
  <c r="K15" i="51"/>
  <c r="G33" i="48"/>
  <c r="H65" i="53"/>
  <c r="I80" i="51"/>
  <c r="K45" i="50"/>
  <c r="K100" i="55"/>
  <c r="H64" i="55"/>
  <c r="H84" i="48"/>
  <c r="G81" i="53"/>
  <c r="I63" i="53"/>
  <c r="K79" i="54"/>
  <c r="K34" i="48"/>
  <c r="H13" i="54"/>
  <c r="I96" i="50"/>
  <c r="G13" i="50"/>
  <c r="I80" i="53"/>
  <c r="K98" i="48"/>
  <c r="G49" i="48"/>
  <c r="G63" i="50"/>
  <c r="K14" i="54"/>
  <c r="I95" i="48"/>
  <c r="H30" i="55"/>
  <c r="G79" i="48"/>
  <c r="G61" i="51"/>
  <c r="G83" i="50"/>
  <c r="K83" i="50"/>
  <c r="H64" i="53"/>
  <c r="H46" i="48"/>
  <c r="I94" i="55"/>
  <c r="I98" i="50"/>
  <c r="G99" i="51"/>
  <c r="I13" i="50"/>
  <c r="G62" i="54"/>
  <c r="K96" i="50"/>
  <c r="K100" i="50"/>
  <c r="I63" i="51"/>
  <c r="G32" i="51"/>
  <c r="K78" i="55"/>
  <c r="G64" i="53"/>
  <c r="H110" i="54"/>
  <c r="H81" i="54"/>
  <c r="H44" i="54"/>
  <c r="K47" i="48"/>
  <c r="I60" i="50"/>
  <c r="G95" i="48"/>
  <c r="K31" i="54"/>
  <c r="I79" i="53"/>
  <c r="K33" i="54"/>
  <c r="G116" i="53"/>
  <c r="H28" i="53"/>
  <c r="I65" i="54"/>
  <c r="K99" i="50"/>
  <c r="H32" i="48"/>
  <c r="I113" i="54"/>
  <c r="K64" i="53"/>
  <c r="G113" i="50"/>
  <c r="G50" i="54"/>
  <c r="K113" i="51"/>
  <c r="G110" i="51"/>
  <c r="G15" i="53"/>
  <c r="G15" i="51"/>
  <c r="G78" i="48"/>
  <c r="H95" i="53"/>
  <c r="G13" i="51"/>
  <c r="H61" i="55"/>
  <c r="G81" i="54"/>
  <c r="G62" i="48"/>
  <c r="G13" i="55"/>
  <c r="G31" i="48"/>
  <c r="K12" i="50"/>
  <c r="H98" i="55"/>
  <c r="G65" i="48"/>
  <c r="I66" i="55"/>
  <c r="K18" i="50"/>
  <c r="H80" i="53"/>
  <c r="G115" i="51"/>
  <c r="G29" i="54"/>
  <c r="K82" i="54"/>
  <c r="H112" i="48"/>
  <c r="K29" i="50"/>
  <c r="H83" i="48"/>
  <c r="H78" i="50"/>
  <c r="I80" i="50"/>
  <c r="G94" i="55"/>
  <c r="I110" i="48"/>
  <c r="I79" i="50"/>
  <c r="I13" i="48"/>
  <c r="H28" i="50"/>
  <c r="G114" i="51"/>
  <c r="G97" i="55"/>
  <c r="G34" i="54"/>
  <c r="K49" i="48"/>
  <c r="H98" i="53"/>
  <c r="K99" i="53"/>
  <c r="G48" i="54"/>
  <c r="K78" i="48"/>
  <c r="I60" i="53"/>
  <c r="G98" i="53"/>
  <c r="I65" i="53"/>
  <c r="I80" i="54"/>
  <c r="G95" i="55"/>
  <c r="G66" i="51"/>
  <c r="I64" i="50"/>
  <c r="K46" i="53"/>
  <c r="K114" i="53"/>
  <c r="K96" i="53"/>
  <c r="K83" i="55"/>
  <c r="K62" i="50"/>
  <c r="I62" i="50"/>
  <c r="I111" i="50"/>
  <c r="H78" i="55"/>
  <c r="K80" i="54"/>
  <c r="I84" i="54"/>
  <c r="G80" i="50"/>
  <c r="G110" i="48"/>
  <c r="I16" i="54"/>
  <c r="H99" i="48"/>
  <c r="I95" i="53"/>
  <c r="I17" i="51"/>
  <c r="I66" i="48"/>
  <c r="I95" i="55"/>
  <c r="G63" i="55"/>
  <c r="I112" i="53"/>
  <c r="H114" i="50"/>
  <c r="I115" i="50"/>
  <c r="H116" i="54"/>
  <c r="K17" i="48"/>
  <c r="G13" i="53"/>
  <c r="G79" i="50"/>
  <c r="H79" i="48"/>
  <c r="K82" i="48"/>
  <c r="G18" i="51"/>
  <c r="K13" i="50"/>
  <c r="H62" i="54"/>
  <c r="K50" i="51"/>
  <c r="H14" i="55"/>
  <c r="G45" i="53"/>
  <c r="G46" i="48"/>
  <c r="K64" i="51"/>
  <c r="H100" i="55"/>
  <c r="G82" i="51"/>
  <c r="I18" i="54"/>
  <c r="G94" i="48"/>
  <c r="G83" i="51"/>
  <c r="K31" i="53"/>
  <c r="I110" i="51"/>
  <c r="H60" i="53"/>
  <c r="H17" i="48"/>
  <c r="H18" i="53"/>
  <c r="G99" i="50"/>
  <c r="G60" i="50"/>
  <c r="G48" i="51"/>
  <c r="H33" i="54"/>
  <c r="I60" i="55"/>
  <c r="H80" i="51"/>
  <c r="K50" i="53"/>
  <c r="I99" i="48"/>
  <c r="G99" i="54"/>
  <c r="G115" i="48"/>
  <c r="G61" i="48"/>
  <c r="G84" i="54"/>
  <c r="G83" i="55"/>
  <c r="H100" i="48"/>
  <c r="K94" i="53"/>
  <c r="H64" i="50"/>
  <c r="I82" i="48"/>
  <c r="G45" i="50"/>
  <c r="K13" i="54"/>
  <c r="K111" i="54"/>
  <c r="H49" i="50"/>
  <c r="K48" i="54"/>
  <c r="K45" i="53"/>
  <c r="K94" i="51"/>
  <c r="K47" i="51"/>
  <c r="G65" i="55"/>
  <c r="G47" i="50"/>
  <c r="I84" i="51"/>
  <c r="G111" i="51"/>
  <c r="I83" i="54"/>
  <c r="H18" i="55"/>
  <c r="G98" i="50"/>
  <c r="H116" i="48"/>
  <c r="I83" i="55"/>
  <c r="K82" i="51"/>
  <c r="I15" i="55"/>
  <c r="K114" i="50"/>
  <c r="I14" i="53"/>
  <c r="G33" i="50"/>
  <c r="I65" i="55"/>
  <c r="I113" i="55"/>
  <c r="H15" i="50"/>
  <c r="K62" i="48"/>
  <c r="G31" i="51"/>
  <c r="H112" i="55"/>
  <c r="K31" i="51"/>
  <c r="K45" i="48"/>
  <c r="K17" i="50"/>
  <c r="K112" i="48"/>
  <c r="K34" i="50"/>
  <c r="I62" i="48"/>
  <c r="I113" i="53"/>
  <c r="I12" i="50"/>
  <c r="H12" i="51"/>
  <c r="H79" i="50"/>
  <c r="K66" i="48"/>
  <c r="H95" i="55"/>
  <c r="K112" i="50"/>
  <c r="H63" i="53"/>
  <c r="H62" i="53"/>
  <c r="I66" i="51"/>
  <c r="H14" i="50"/>
  <c r="I116" i="53"/>
  <c r="K114" i="48"/>
  <c r="K32" i="48"/>
  <c r="K82" i="55"/>
  <c r="I83" i="48"/>
  <c r="K31" i="48"/>
  <c r="G95" i="54"/>
  <c r="G62" i="55"/>
  <c r="K50" i="54"/>
  <c r="K45" i="54"/>
  <c r="G60" i="53"/>
  <c r="H32" i="53"/>
  <c r="H83" i="53"/>
  <c r="H45" i="48"/>
  <c r="G99" i="53"/>
  <c r="G112" i="50"/>
  <c r="H33" i="53"/>
  <c r="I64" i="55"/>
  <c r="I16" i="55"/>
  <c r="G50" i="55"/>
  <c r="H110" i="51"/>
  <c r="K114" i="54"/>
  <c r="G63" i="48"/>
  <c r="K110" i="54"/>
  <c r="I98" i="55"/>
  <c r="I97" i="51"/>
  <c r="K47" i="53"/>
  <c r="G29" i="51"/>
  <c r="G46" i="51"/>
  <c r="I114" i="55"/>
  <c r="K96" i="55"/>
  <c r="K80" i="48"/>
  <c r="H98" i="48"/>
  <c r="K48" i="50"/>
  <c r="I16" i="51"/>
  <c r="K114" i="55"/>
  <c r="H48" i="48"/>
  <c r="G44" i="50"/>
  <c r="K32" i="55"/>
  <c r="G114" i="50"/>
  <c r="H62" i="55"/>
  <c r="G84" i="48"/>
  <c r="K83" i="53"/>
  <c r="K116" i="50"/>
  <c r="G16" i="50"/>
  <c r="H50" i="48"/>
  <c r="H15" i="54"/>
  <c r="K78" i="51"/>
  <c r="G116" i="50"/>
  <c r="G81" i="51"/>
  <c r="G83" i="53"/>
  <c r="G46" i="54"/>
  <c r="G28" i="48"/>
  <c r="K79" i="48"/>
  <c r="H82" i="50"/>
  <c r="G79" i="51"/>
  <c r="I95" i="50"/>
  <c r="K60" i="48"/>
  <c r="K63" i="53"/>
  <c r="I94" i="50"/>
  <c r="K100" i="54"/>
  <c r="K115" i="53"/>
  <c r="I62" i="51"/>
  <c r="H45" i="50"/>
  <c r="G32" i="48"/>
  <c r="K116" i="53"/>
  <c r="I112" i="55"/>
  <c r="I113" i="50"/>
  <c r="H113" i="48"/>
  <c r="H18" i="54"/>
  <c r="I14" i="55"/>
  <c r="H13" i="55"/>
  <c r="H65" i="51"/>
  <c r="G17" i="48"/>
  <c r="K46" i="50"/>
  <c r="K98" i="55"/>
  <c r="G63" i="53"/>
  <c r="G12" i="51"/>
  <c r="I113" i="51"/>
  <c r="I63" i="48"/>
  <c r="K18" i="55"/>
  <c r="J21" i="51"/>
  <c r="J40" i="48"/>
  <c r="G16" i="54"/>
  <c r="H111" i="54"/>
  <c r="G94" i="50"/>
  <c r="H31" i="55"/>
  <c r="K63" i="50"/>
  <c r="K49" i="54"/>
  <c r="H82" i="54"/>
  <c r="K110" i="48"/>
  <c r="I81" i="54"/>
  <c r="I61" i="50"/>
  <c r="I112" i="51"/>
  <c r="I12" i="48"/>
  <c r="H46" i="54"/>
  <c r="H15" i="53"/>
  <c r="J2" i="50"/>
  <c r="G20" i="24"/>
  <c r="J2" i="54"/>
  <c r="J24" i="48"/>
  <c r="J103" i="53"/>
  <c r="J106" i="54"/>
  <c r="J71" i="51"/>
  <c r="G21" i="24"/>
  <c r="J105" i="51"/>
  <c r="J87" i="53"/>
  <c r="J39" i="54"/>
  <c r="J105" i="48"/>
  <c r="J24" i="55"/>
  <c r="J74" i="55"/>
  <c r="J55" i="54"/>
  <c r="J37" i="53"/>
  <c r="J55" i="48"/>
  <c r="J40" i="51"/>
  <c r="J53" i="54"/>
  <c r="J37" i="55"/>
  <c r="J2" i="51"/>
  <c r="J8" i="48"/>
  <c r="J105" i="55"/>
  <c r="J105" i="54"/>
  <c r="I63" i="50"/>
  <c r="K16" i="53"/>
  <c r="K113" i="54"/>
  <c r="J87" i="50"/>
  <c r="J39" i="48"/>
  <c r="J56" i="48"/>
  <c r="J8" i="53"/>
  <c r="J21" i="50"/>
  <c r="J40" i="50"/>
  <c r="J5" i="50"/>
  <c r="J23" i="54"/>
  <c r="J1" i="54"/>
  <c r="J90" i="55"/>
  <c r="J106" i="51"/>
  <c r="J7" i="51"/>
  <c r="J103" i="48"/>
  <c r="G21" i="32"/>
  <c r="J53" i="51"/>
  <c r="J103" i="50"/>
  <c r="J105" i="53"/>
  <c r="J73" i="48"/>
  <c r="J89" i="53"/>
  <c r="J8" i="51"/>
  <c r="K78" i="54"/>
  <c r="H32" i="55"/>
  <c r="J103" i="51"/>
  <c r="G21" i="30"/>
  <c r="J8" i="54"/>
  <c r="G21" i="28"/>
  <c r="J103" i="54"/>
  <c r="J73" i="54"/>
  <c r="J1" i="48"/>
  <c r="J39" i="50"/>
  <c r="J56" i="53"/>
  <c r="J39" i="53"/>
  <c r="H48" i="54"/>
  <c r="J40" i="54"/>
  <c r="J23" i="55"/>
  <c r="J106" i="48"/>
  <c r="J73" i="53"/>
  <c r="J37" i="50"/>
  <c r="I82" i="50"/>
  <c r="J89" i="48"/>
  <c r="H30" i="50"/>
  <c r="J105" i="50"/>
  <c r="J21" i="54"/>
  <c r="J87" i="54"/>
  <c r="J87" i="55"/>
  <c r="J37" i="54"/>
  <c r="J24" i="53"/>
  <c r="J89" i="55"/>
  <c r="J21" i="55"/>
  <c r="K44" i="54"/>
  <c r="J21" i="53"/>
  <c r="J5" i="51"/>
  <c r="J53" i="48"/>
  <c r="J21" i="48"/>
  <c r="J87" i="51"/>
  <c r="J5" i="55"/>
  <c r="J24" i="51"/>
  <c r="J55" i="53"/>
  <c r="J1" i="53"/>
  <c r="J7" i="53"/>
  <c r="H114" i="55"/>
  <c r="H44" i="53"/>
  <c r="J74" i="48"/>
  <c r="J71" i="48"/>
  <c r="J2" i="48"/>
  <c r="J74" i="54"/>
  <c r="J90" i="53"/>
  <c r="J39" i="51"/>
  <c r="J37" i="48"/>
  <c r="J103" i="55"/>
  <c r="J23" i="51"/>
  <c r="J7" i="48"/>
  <c r="J71" i="54"/>
  <c r="J90" i="54"/>
  <c r="G21" i="38"/>
  <c r="J106" i="55"/>
  <c r="J23" i="53"/>
  <c r="J1" i="55"/>
  <c r="J5" i="54"/>
  <c r="J37" i="51"/>
  <c r="J106" i="50"/>
  <c r="J53" i="55"/>
  <c r="I16" i="48"/>
  <c r="J1" i="51"/>
  <c r="J71" i="50"/>
  <c r="J56" i="54"/>
  <c r="J24" i="54"/>
  <c r="J53" i="50"/>
  <c r="J89" i="54"/>
  <c r="J87" i="48"/>
  <c r="J5" i="53"/>
  <c r="J74" i="53"/>
  <c r="J90" i="48"/>
  <c r="J23" i="48"/>
  <c r="J106" i="53"/>
  <c r="J2" i="55"/>
  <c r="J71" i="53"/>
  <c r="G96" i="53"/>
  <c r="G66" i="55"/>
  <c r="K50" i="48"/>
  <c r="G70" i="36"/>
  <c r="L85" i="22"/>
  <c r="I80" i="48"/>
  <c r="I79" i="48"/>
  <c r="I13" i="55"/>
  <c r="G98" i="51"/>
  <c r="K100" i="53"/>
  <c r="G97" i="53"/>
  <c r="J1" i="50"/>
  <c r="H95" i="54"/>
  <c r="G49" i="55"/>
  <c r="K115" i="51"/>
  <c r="H32" i="50"/>
  <c r="K47" i="55"/>
  <c r="G44" i="48"/>
  <c r="I65" i="51"/>
  <c r="G33" i="54"/>
  <c r="H49" i="51"/>
  <c r="H80" i="54"/>
  <c r="G80" i="51"/>
  <c r="I111" i="55"/>
  <c r="G112" i="55"/>
  <c r="K15" i="54"/>
  <c r="K48" i="51"/>
  <c r="G18" i="39"/>
  <c r="K46" i="39"/>
  <c r="H82" i="39"/>
  <c r="K47" i="39"/>
  <c r="I85" i="22"/>
  <c r="H50" i="51"/>
  <c r="I81" i="48"/>
  <c r="J2" i="53"/>
  <c r="K60" i="55"/>
  <c r="K97" i="50"/>
  <c r="G15" i="48"/>
  <c r="K17" i="51"/>
  <c r="G82" i="50"/>
  <c r="H83" i="54"/>
  <c r="I81" i="39"/>
  <c r="G95" i="39"/>
  <c r="K111" i="39"/>
  <c r="K32" i="39"/>
  <c r="I113" i="39"/>
  <c r="I65" i="39"/>
  <c r="N40" i="38"/>
  <c r="I83" i="39"/>
  <c r="L71" i="36"/>
  <c r="I96" i="55"/>
  <c r="H29" i="51"/>
  <c r="K112" i="55"/>
  <c r="I94" i="48"/>
  <c r="J73" i="55"/>
  <c r="I97" i="54"/>
  <c r="G44" i="53"/>
  <c r="J53" i="53"/>
  <c r="G66" i="54"/>
  <c r="K80" i="50"/>
  <c r="K33" i="53"/>
  <c r="G82" i="54"/>
  <c r="G79" i="54"/>
  <c r="H34" i="54"/>
  <c r="H81" i="55"/>
  <c r="K63" i="55"/>
  <c r="G32" i="53"/>
  <c r="G61" i="50"/>
  <c r="K113" i="39"/>
  <c r="G60" i="39"/>
  <c r="G29" i="39"/>
  <c r="I61" i="39"/>
  <c r="G113" i="39"/>
  <c r="K116" i="39"/>
  <c r="K70" i="36"/>
  <c r="J71" i="55"/>
  <c r="I66" i="53"/>
  <c r="G21" i="25"/>
  <c r="I64" i="48"/>
  <c r="K44" i="55"/>
  <c r="K32" i="53"/>
  <c r="K81" i="55"/>
  <c r="H12" i="50"/>
  <c r="N28" i="38"/>
  <c r="G114" i="39"/>
  <c r="G112" i="51"/>
  <c r="I110" i="55"/>
  <c r="G45" i="54"/>
  <c r="H114" i="51"/>
  <c r="K115" i="50"/>
  <c r="H82" i="51"/>
  <c r="K16" i="50"/>
  <c r="I60" i="48"/>
  <c r="H84" i="51"/>
  <c r="I95" i="54"/>
  <c r="K69" i="36"/>
  <c r="G68" i="36"/>
  <c r="G85" i="22"/>
  <c r="G34" i="40"/>
  <c r="H68" i="36"/>
  <c r="J68" i="36"/>
  <c r="K68" i="36"/>
  <c r="H69" i="36"/>
  <c r="I71" i="36"/>
  <c r="K34" i="40"/>
  <c r="G22" i="25"/>
  <c r="I70" i="36"/>
  <c r="I72" i="36"/>
  <c r="H34" i="40"/>
  <c r="G67" i="36"/>
  <c r="J70" i="36"/>
  <c r="H71" i="36"/>
  <c r="J85" i="22"/>
  <c r="L72" i="36"/>
  <c r="J72" i="36"/>
  <c r="L68" i="36"/>
  <c r="G72" i="36"/>
  <c r="H70" i="36"/>
  <c r="G69" i="36"/>
  <c r="K85" i="22"/>
  <c r="L34" i="40"/>
  <c r="M84" i="22"/>
  <c r="N85" i="22"/>
  <c r="W45" i="22" s="1"/>
  <c r="G111" i="39"/>
  <c r="G50" i="39"/>
  <c r="I97" i="39"/>
  <c r="G17" i="39"/>
  <c r="H94" i="39"/>
  <c r="I78" i="39"/>
  <c r="K33" i="39"/>
  <c r="H30" i="39"/>
  <c r="H83" i="39"/>
  <c r="H78" i="39"/>
  <c r="G12" i="39"/>
  <c r="K31" i="39"/>
  <c r="H15" i="39"/>
  <c r="I64" i="39"/>
  <c r="I114" i="39"/>
  <c r="G66" i="39"/>
  <c r="H48" i="39"/>
  <c r="G84" i="39"/>
  <c r="I62" i="39"/>
  <c r="I110" i="39"/>
  <c r="G97" i="39"/>
  <c r="H79" i="39"/>
  <c r="N58" i="38"/>
  <c r="G79" i="39"/>
  <c r="G13" i="39"/>
  <c r="H96" i="39"/>
  <c r="H116" i="39"/>
  <c r="H64" i="39"/>
  <c r="H115" i="39"/>
  <c r="K60" i="39"/>
  <c r="K64" i="39"/>
  <c r="N41" i="38"/>
  <c r="H29" i="39"/>
  <c r="G81" i="39"/>
  <c r="G82" i="39"/>
  <c r="M54" i="38"/>
  <c r="G96" i="39"/>
  <c r="K94" i="39"/>
  <c r="I17" i="39"/>
  <c r="H49" i="39"/>
  <c r="H111" i="39"/>
  <c r="G98" i="39"/>
  <c r="K80" i="39"/>
  <c r="H110" i="39"/>
  <c r="H95" i="39"/>
  <c r="M29" i="38"/>
  <c r="M49" i="38"/>
  <c r="K78" i="39"/>
  <c r="I80" i="39"/>
  <c r="H113" i="39"/>
  <c r="K18" i="39"/>
  <c r="M35" i="38"/>
  <c r="K100" i="39"/>
  <c r="H66" i="39"/>
  <c r="G49" i="39"/>
  <c r="H60" i="39"/>
  <c r="G99" i="39"/>
  <c r="M59" i="38"/>
  <c r="N44" i="38"/>
  <c r="G65" i="39"/>
  <c r="K17" i="39"/>
  <c r="I115" i="39"/>
  <c r="K28" i="39"/>
  <c r="K83" i="39"/>
  <c r="N55" i="38"/>
  <c r="K98" i="39"/>
  <c r="K48" i="39"/>
  <c r="H14" i="39"/>
  <c r="G110" i="39"/>
  <c r="I63" i="39"/>
  <c r="H32" i="39"/>
  <c r="I111" i="39"/>
  <c r="H50" i="39"/>
  <c r="G46" i="39"/>
  <c r="G34" i="39"/>
  <c r="I60" i="39"/>
  <c r="G115" i="39"/>
  <c r="K79" i="39"/>
  <c r="N57" i="38"/>
  <c r="G63" i="39"/>
  <c r="G30" i="39"/>
  <c r="N42" i="38"/>
  <c r="N27" i="38"/>
  <c r="M45" i="38"/>
  <c r="M30" i="38"/>
  <c r="K45" i="39"/>
  <c r="I99" i="39"/>
  <c r="H55" i="40"/>
  <c r="N57" i="25"/>
  <c r="N29" i="24"/>
  <c r="N28" i="28"/>
  <c r="L62" i="34"/>
  <c r="G18" i="34"/>
  <c r="N30" i="28"/>
  <c r="G7" i="30"/>
  <c r="G16" i="25"/>
  <c r="N46" i="25"/>
  <c r="N60" i="34"/>
  <c r="G16" i="38"/>
  <c r="N60" i="25"/>
  <c r="N52" i="25"/>
  <c r="N27" i="28"/>
  <c r="G10" i="34"/>
  <c r="N38" i="30"/>
  <c r="I98" i="39"/>
  <c r="K110" i="39"/>
  <c r="N63" i="28"/>
  <c r="G6" i="32"/>
  <c r="J52" i="30"/>
  <c r="G10" i="36"/>
  <c r="N43" i="25"/>
  <c r="G5" i="38"/>
  <c r="G9" i="30"/>
  <c r="N32" i="32"/>
  <c r="G15" i="34"/>
  <c r="N31" i="32"/>
  <c r="N10" i="28"/>
  <c r="H59" i="34"/>
  <c r="N37" i="24"/>
  <c r="N28" i="25"/>
  <c r="N54" i="34"/>
  <c r="J61" i="34"/>
  <c r="G5" i="34"/>
  <c r="I27" i="34"/>
  <c r="N56" i="32"/>
  <c r="I61" i="34"/>
  <c r="G7" i="28"/>
  <c r="N9" i="25"/>
  <c r="G8" i="32"/>
  <c r="G8" i="30"/>
  <c r="K82" i="39"/>
  <c r="N28" i="30"/>
  <c r="G9" i="28"/>
  <c r="K45" i="38"/>
  <c r="G5" i="32"/>
  <c r="N52" i="30"/>
  <c r="W52" i="30" s="1"/>
  <c r="G60" i="34"/>
  <c r="N49" i="28"/>
  <c r="K61" i="34"/>
  <c r="G17" i="28"/>
  <c r="K28" i="32"/>
  <c r="H60" i="34"/>
  <c r="N36" i="25"/>
  <c r="G56" i="34"/>
  <c r="J63" i="34"/>
  <c r="G11" i="28"/>
  <c r="N12" i="24"/>
  <c r="J60" i="34"/>
  <c r="N42" i="24"/>
  <c r="G41" i="30"/>
  <c r="G62" i="34"/>
  <c r="N34" i="32"/>
  <c r="N52" i="32"/>
  <c r="K62" i="39"/>
  <c r="G9" i="36"/>
  <c r="N36" i="32"/>
  <c r="N41" i="28"/>
  <c r="N49" i="34"/>
  <c r="G15" i="24"/>
  <c r="N41" i="32"/>
  <c r="G9" i="38"/>
  <c r="G8" i="24"/>
  <c r="N30" i="25"/>
  <c r="H33" i="28"/>
  <c r="G7" i="34"/>
  <c r="G10" i="25"/>
  <c r="K58" i="34"/>
  <c r="I43" i="25"/>
  <c r="G56" i="30"/>
  <c r="G13" i="32"/>
  <c r="J47" i="36"/>
  <c r="G14" i="38"/>
  <c r="N56" i="38"/>
  <c r="G47" i="39"/>
  <c r="K63" i="34"/>
  <c r="G8" i="36"/>
  <c r="N59" i="30"/>
  <c r="I58" i="34"/>
  <c r="G17" i="36"/>
  <c r="H37" i="40"/>
  <c r="N44" i="25"/>
  <c r="J56" i="36"/>
  <c r="G13" i="24"/>
  <c r="N56" i="28"/>
  <c r="N42" i="30"/>
  <c r="N35" i="25"/>
  <c r="G5" i="30"/>
  <c r="H35" i="40"/>
  <c r="H49" i="30"/>
  <c r="G7" i="32"/>
  <c r="G50" i="34"/>
  <c r="I63" i="34"/>
  <c r="N46" i="32"/>
  <c r="G17" i="25"/>
  <c r="K34" i="39"/>
  <c r="I79" i="39"/>
  <c r="N9" i="32"/>
  <c r="G22" i="24"/>
  <c r="G5" i="25"/>
  <c r="N35" i="28"/>
  <c r="L59" i="34"/>
  <c r="G47" i="24"/>
  <c r="G17" i="30"/>
  <c r="G6" i="30"/>
  <c r="H38" i="25"/>
  <c r="N47" i="24"/>
  <c r="L63" i="34"/>
  <c r="G6" i="38"/>
  <c r="L41" i="32"/>
  <c r="K27" i="36"/>
  <c r="H62" i="34"/>
  <c r="G17" i="40"/>
  <c r="N42" i="32"/>
  <c r="G10" i="32"/>
  <c r="I44" i="39"/>
  <c r="I112" i="39"/>
  <c r="G16" i="24"/>
  <c r="N40" i="32"/>
  <c r="G6" i="34"/>
  <c r="K69" i="40"/>
  <c r="N49" i="32"/>
  <c r="G10" i="24"/>
  <c r="G13" i="36"/>
  <c r="N60" i="30"/>
  <c r="G38" i="34"/>
  <c r="G18" i="36"/>
  <c r="J63" i="32"/>
  <c r="I60" i="34"/>
  <c r="K59" i="38"/>
  <c r="G16" i="30"/>
  <c r="G15" i="25"/>
  <c r="G19" i="32"/>
  <c r="N34" i="25"/>
  <c r="N28" i="24"/>
  <c r="N54" i="32"/>
  <c r="K12" i="39"/>
  <c r="G13" i="40"/>
  <c r="N27" i="32"/>
  <c r="G14" i="28"/>
  <c r="G6" i="25"/>
  <c r="G19" i="24"/>
  <c r="N55" i="32"/>
  <c r="G8" i="40"/>
  <c r="N66" i="28"/>
  <c r="H50" i="40"/>
  <c r="G13" i="30"/>
  <c r="G18" i="32"/>
  <c r="G10" i="38"/>
  <c r="G6" i="40"/>
  <c r="G59" i="34"/>
  <c r="G11" i="30"/>
  <c r="N37" i="30"/>
  <c r="G15" i="36"/>
  <c r="N36" i="28"/>
  <c r="N50" i="24"/>
  <c r="K95" i="39"/>
  <c r="N53" i="28"/>
  <c r="I62" i="34"/>
  <c r="K60" i="34"/>
  <c r="H63" i="34"/>
  <c r="G13" i="25"/>
  <c r="G6" i="24"/>
  <c r="N53" i="30"/>
  <c r="N59" i="34"/>
  <c r="G7" i="40"/>
  <c r="N49" i="30"/>
  <c r="G14" i="40"/>
  <c r="N62" i="34"/>
  <c r="L60" i="34"/>
  <c r="G11" i="40"/>
  <c r="N32" i="34"/>
  <c r="N61" i="32"/>
  <c r="G14" i="36"/>
  <c r="H65" i="36"/>
  <c r="G14" i="25"/>
  <c r="N9" i="34"/>
  <c r="G64" i="39"/>
  <c r="H84" i="39"/>
  <c r="G11" i="34"/>
  <c r="N63" i="34"/>
  <c r="G11" i="36"/>
  <c r="N48" i="28"/>
  <c r="N53" i="25"/>
  <c r="I27" i="36"/>
  <c r="G8" i="25"/>
  <c r="G59" i="25"/>
  <c r="I59" i="34"/>
  <c r="G16" i="36"/>
  <c r="I40" i="40"/>
  <c r="K59" i="34"/>
  <c r="L53" i="32"/>
  <c r="N48" i="32"/>
  <c r="J62" i="34"/>
  <c r="I28" i="40"/>
  <c r="K65" i="39"/>
  <c r="G8" i="38"/>
  <c r="N35" i="32"/>
  <c r="N27" i="30"/>
  <c r="N63" i="32"/>
  <c r="N27" i="24"/>
  <c r="G11" i="24"/>
  <c r="I53" i="36"/>
  <c r="K62" i="34"/>
  <c r="G19" i="36"/>
  <c r="N36" i="30"/>
  <c r="J71" i="40"/>
  <c r="J59" i="34"/>
  <c r="G15" i="28"/>
  <c r="G58" i="34"/>
  <c r="K35" i="32"/>
  <c r="N48" i="30"/>
  <c r="G55" i="25"/>
  <c r="G8" i="34"/>
  <c r="K68" i="32"/>
  <c r="G7" i="36"/>
  <c r="I28" i="34"/>
  <c r="K29" i="39"/>
  <c r="H47" i="39"/>
  <c r="G5" i="28"/>
  <c r="G11" i="38"/>
  <c r="G18" i="38"/>
  <c r="G13" i="38"/>
  <c r="L53" i="34"/>
  <c r="J58" i="34"/>
  <c r="J5" i="39"/>
  <c r="J53" i="34"/>
  <c r="H47" i="36"/>
  <c r="J53" i="40"/>
  <c r="I69" i="40"/>
  <c r="J48" i="28"/>
  <c r="N9" i="38"/>
  <c r="G52" i="40"/>
  <c r="I40" i="28"/>
  <c r="G54" i="36"/>
  <c r="N41" i="34"/>
  <c r="G14" i="24"/>
  <c r="L31" i="34"/>
  <c r="G5" i="40"/>
  <c r="I29" i="28"/>
  <c r="I67" i="32"/>
  <c r="L55" i="34"/>
  <c r="G41" i="34"/>
  <c r="K50" i="34"/>
  <c r="J32" i="40"/>
  <c r="I63" i="32"/>
  <c r="K55" i="38"/>
  <c r="J49" i="32"/>
  <c r="G35" i="25"/>
  <c r="G27" i="36"/>
  <c r="G65" i="40"/>
  <c r="N8" i="36"/>
  <c r="N34" i="30"/>
  <c r="G9" i="40"/>
  <c r="H70" i="40"/>
  <c r="K49" i="36"/>
  <c r="H46" i="36"/>
  <c r="K40" i="28"/>
  <c r="L46" i="28"/>
  <c r="L35" i="28"/>
  <c r="N13" i="32"/>
  <c r="K50" i="36"/>
  <c r="G16" i="40"/>
  <c r="G51" i="40"/>
  <c r="I55" i="36"/>
  <c r="N68" i="32"/>
  <c r="G5" i="24"/>
  <c r="G30" i="40"/>
  <c r="J63" i="36"/>
  <c r="N42" i="28"/>
  <c r="L28" i="34"/>
  <c r="I32" i="36"/>
  <c r="J60" i="25"/>
  <c r="L38" i="24"/>
  <c r="H34" i="30"/>
  <c r="K44" i="38"/>
  <c r="H46" i="34"/>
  <c r="I34" i="28"/>
  <c r="G27" i="40"/>
  <c r="L47" i="40"/>
  <c r="G67" i="40"/>
  <c r="G8" i="28"/>
  <c r="J62" i="30"/>
  <c r="K36" i="32"/>
  <c r="I48" i="40"/>
  <c r="G56" i="36"/>
  <c r="K30" i="40"/>
  <c r="G40" i="34"/>
  <c r="G65" i="28"/>
  <c r="I29" i="38"/>
  <c r="N10" i="24"/>
  <c r="G29" i="28"/>
  <c r="I48" i="30"/>
  <c r="G6" i="36"/>
  <c r="L49" i="32"/>
  <c r="L38" i="25"/>
  <c r="J53" i="38"/>
  <c r="N30" i="34"/>
  <c r="I95" i="39"/>
  <c r="G44" i="39"/>
  <c r="N32" i="24"/>
  <c r="G57" i="34"/>
  <c r="I35" i="34"/>
  <c r="G10" i="40"/>
  <c r="J37" i="38"/>
  <c r="H45" i="25"/>
  <c r="G48" i="30"/>
  <c r="H50" i="34"/>
  <c r="H29" i="24"/>
  <c r="N11" i="32"/>
  <c r="K55" i="34"/>
  <c r="K34" i="36"/>
  <c r="L64" i="36"/>
  <c r="H27" i="28"/>
  <c r="L42" i="38"/>
  <c r="J28" i="24"/>
  <c r="J48" i="34"/>
  <c r="I59" i="36"/>
  <c r="K47" i="40"/>
  <c r="K36" i="28"/>
  <c r="G7" i="24"/>
  <c r="N67" i="32"/>
  <c r="K43" i="25"/>
  <c r="K62" i="30"/>
  <c r="G44" i="32"/>
  <c r="G49" i="40"/>
  <c r="N9" i="24"/>
  <c r="G45" i="24"/>
  <c r="G18" i="40"/>
  <c r="G36" i="34"/>
  <c r="G31" i="34"/>
  <c r="J61" i="28"/>
  <c r="L65" i="40"/>
  <c r="J58" i="38"/>
  <c r="G83" i="39"/>
  <c r="N57" i="28"/>
  <c r="G13" i="34"/>
  <c r="G17" i="32"/>
  <c r="H34" i="28"/>
  <c r="G7" i="25"/>
  <c r="I56" i="40"/>
  <c r="I40" i="38"/>
  <c r="I35" i="38"/>
  <c r="H63" i="36"/>
  <c r="H36" i="38"/>
  <c r="H36" i="25"/>
  <c r="G52" i="34"/>
  <c r="I47" i="32"/>
  <c r="H38" i="40"/>
  <c r="I34" i="36"/>
  <c r="I54" i="38"/>
  <c r="K56" i="40"/>
  <c r="G32" i="40"/>
  <c r="L32" i="38"/>
  <c r="G54" i="34"/>
  <c r="N13" i="40"/>
  <c r="G60" i="32"/>
  <c r="H43" i="32"/>
  <c r="L62" i="30"/>
  <c r="N11" i="28"/>
  <c r="H69" i="40"/>
  <c r="L60" i="28"/>
  <c r="K43" i="32"/>
  <c r="K42" i="36"/>
  <c r="N29" i="34"/>
  <c r="G44" i="40"/>
  <c r="S44" i="40" s="1"/>
  <c r="G7" i="38"/>
  <c r="H54" i="28"/>
  <c r="I31" i="36"/>
  <c r="N9" i="28"/>
  <c r="I53" i="38"/>
  <c r="H47" i="25"/>
  <c r="I55" i="32"/>
  <c r="I33" i="28"/>
  <c r="L48" i="30"/>
  <c r="I48" i="34"/>
  <c r="J44" i="38"/>
  <c r="H28" i="36"/>
  <c r="G61" i="28"/>
  <c r="G16" i="32"/>
  <c r="N11" i="34"/>
  <c r="L42" i="36"/>
  <c r="G41" i="32"/>
  <c r="K49" i="40"/>
  <c r="N13" i="34"/>
  <c r="G9" i="34"/>
  <c r="N60" i="28"/>
  <c r="N36" i="34"/>
  <c r="K62" i="36"/>
  <c r="J48" i="36"/>
  <c r="K30" i="25"/>
  <c r="L58" i="34"/>
  <c r="G9" i="25"/>
  <c r="N54" i="28"/>
  <c r="G28" i="36"/>
  <c r="G42" i="38"/>
  <c r="H56" i="40"/>
  <c r="L49" i="36"/>
  <c r="H33" i="34"/>
  <c r="I52" i="32"/>
  <c r="H41" i="34"/>
  <c r="G10" i="28"/>
  <c r="K70" i="40"/>
  <c r="G40" i="38"/>
  <c r="G42" i="34"/>
  <c r="K37" i="40"/>
  <c r="J61" i="32"/>
  <c r="G16" i="34"/>
  <c r="K32" i="40"/>
  <c r="G54" i="25"/>
  <c r="J57" i="36"/>
  <c r="H46" i="40"/>
  <c r="L31" i="36"/>
  <c r="G30" i="30"/>
  <c r="K56" i="36"/>
  <c r="N10" i="40"/>
  <c r="J1" i="39"/>
  <c r="G46" i="40"/>
  <c r="H36" i="32"/>
  <c r="N9" i="36"/>
  <c r="J63" i="28"/>
  <c r="G43" i="32"/>
  <c r="J30" i="38"/>
  <c r="G33" i="38"/>
  <c r="G25" i="28"/>
  <c r="H36" i="36"/>
  <c r="G33" i="40"/>
  <c r="G51" i="36"/>
  <c r="L37" i="40"/>
  <c r="L44" i="40"/>
  <c r="N40" i="25"/>
  <c r="H53" i="36"/>
  <c r="I40" i="36"/>
  <c r="J43" i="36"/>
  <c r="L56" i="28"/>
  <c r="J44" i="40"/>
  <c r="J55" i="34"/>
  <c r="G41" i="38"/>
  <c r="K36" i="25"/>
  <c r="I57" i="38"/>
  <c r="I30" i="40"/>
  <c r="I42" i="24"/>
  <c r="N10" i="36"/>
  <c r="N52" i="28"/>
  <c r="N46" i="34"/>
  <c r="G44" i="30"/>
  <c r="H65" i="39"/>
  <c r="N47" i="32"/>
  <c r="N41" i="24"/>
  <c r="N53" i="32"/>
  <c r="G54" i="30"/>
  <c r="I50" i="40"/>
  <c r="H47" i="40"/>
  <c r="G45" i="36"/>
  <c r="J29" i="40"/>
  <c r="K44" i="40"/>
  <c r="H58" i="34"/>
  <c r="L52" i="32"/>
  <c r="J50" i="40"/>
  <c r="H65" i="40"/>
  <c r="G18" i="28"/>
  <c r="G49" i="25"/>
  <c r="G33" i="32"/>
  <c r="G37" i="34"/>
  <c r="I65" i="36"/>
  <c r="J51" i="24"/>
  <c r="K50" i="38"/>
  <c r="G53" i="40"/>
  <c r="G30" i="32"/>
  <c r="J64" i="28"/>
  <c r="N42" i="34"/>
  <c r="G34" i="36"/>
  <c r="G40" i="36"/>
  <c r="I29" i="34"/>
  <c r="K29" i="38"/>
  <c r="G46" i="36"/>
  <c r="G25" i="32"/>
  <c r="K63" i="40"/>
  <c r="L63" i="32"/>
  <c r="L58" i="38"/>
  <c r="N12" i="40"/>
  <c r="J40" i="40"/>
  <c r="I37" i="30"/>
  <c r="L50" i="36"/>
  <c r="G71" i="40"/>
  <c r="H60" i="32"/>
  <c r="N11" i="25"/>
  <c r="J27" i="32"/>
  <c r="G9" i="24"/>
  <c r="I30" i="38"/>
  <c r="I54" i="28"/>
  <c r="H56" i="38"/>
  <c r="K30" i="39"/>
  <c r="I12" i="39"/>
  <c r="H18" i="39"/>
  <c r="G15" i="40"/>
  <c r="G13" i="28"/>
  <c r="L61" i="34"/>
  <c r="G9" i="32"/>
  <c r="G11" i="25"/>
  <c r="G47" i="40"/>
  <c r="J28" i="36"/>
  <c r="H53" i="38"/>
  <c r="G58" i="40"/>
  <c r="N28" i="32"/>
  <c r="L64" i="40"/>
  <c r="N14" i="32"/>
  <c r="L54" i="32"/>
  <c r="J41" i="34"/>
  <c r="J71" i="39"/>
  <c r="J59" i="32"/>
  <c r="J61" i="40"/>
  <c r="I62" i="25"/>
  <c r="J55" i="32"/>
  <c r="K45" i="40"/>
  <c r="L28" i="40"/>
  <c r="G17" i="34"/>
  <c r="J40" i="38"/>
  <c r="G56" i="28"/>
  <c r="K33" i="32"/>
  <c r="J57" i="38"/>
  <c r="J42" i="38"/>
  <c r="I41" i="34"/>
  <c r="K33" i="24"/>
  <c r="G50" i="28"/>
  <c r="J42" i="30"/>
  <c r="G47" i="36"/>
  <c r="L57" i="40"/>
  <c r="L36" i="32"/>
  <c r="H41" i="36"/>
  <c r="I49" i="38"/>
  <c r="I41" i="36"/>
  <c r="J65" i="36"/>
  <c r="L66" i="32"/>
  <c r="G80" i="39"/>
  <c r="L43" i="25"/>
  <c r="G15" i="32"/>
  <c r="N62" i="25"/>
  <c r="N58" i="34"/>
  <c r="G10" i="30"/>
  <c r="K56" i="28"/>
  <c r="I42" i="32"/>
  <c r="N29" i="25"/>
  <c r="L41" i="36"/>
  <c r="G33" i="34"/>
  <c r="G65" i="36"/>
  <c r="G58" i="30"/>
  <c r="H56" i="32"/>
  <c r="I33" i="30"/>
  <c r="I27" i="38"/>
  <c r="K57" i="25"/>
  <c r="J32" i="38"/>
  <c r="N61" i="28"/>
  <c r="H50" i="36"/>
  <c r="G37" i="38"/>
  <c r="J87" i="39"/>
  <c r="G37" i="32"/>
  <c r="N55" i="30"/>
  <c r="I45" i="34"/>
  <c r="H40" i="36"/>
  <c r="G39" i="25"/>
  <c r="L50" i="34"/>
  <c r="G63" i="40"/>
  <c r="I41" i="40"/>
  <c r="G30" i="36"/>
  <c r="G46" i="25"/>
  <c r="J70" i="40"/>
  <c r="N12" i="28"/>
  <c r="J31" i="32"/>
  <c r="I60" i="30"/>
  <c r="L31" i="40"/>
  <c r="G48" i="36"/>
  <c r="H53" i="32"/>
  <c r="H27" i="38"/>
  <c r="H42" i="34"/>
  <c r="G6" i="28"/>
  <c r="N55" i="34"/>
  <c r="N40" i="24"/>
  <c r="G61" i="34"/>
  <c r="G18" i="30"/>
  <c r="J40" i="36"/>
  <c r="L29" i="24"/>
  <c r="J41" i="32"/>
  <c r="L66" i="28"/>
  <c r="I61" i="30"/>
  <c r="G51" i="32"/>
  <c r="I42" i="28"/>
  <c r="N12" i="34"/>
  <c r="I37" i="38"/>
  <c r="I55" i="38"/>
  <c r="L40" i="34"/>
  <c r="J40" i="32"/>
  <c r="J54" i="28"/>
  <c r="K38" i="24"/>
  <c r="H40" i="38"/>
  <c r="N47" i="28"/>
  <c r="L33" i="36"/>
  <c r="K52" i="32"/>
  <c r="K38" i="30"/>
  <c r="J55" i="40"/>
  <c r="H49" i="32"/>
  <c r="G51" i="38"/>
  <c r="I38" i="40"/>
  <c r="H27" i="36"/>
  <c r="N58" i="25"/>
  <c r="G45" i="38"/>
  <c r="H59" i="32"/>
  <c r="G63" i="34"/>
  <c r="K45" i="30"/>
  <c r="I49" i="40"/>
  <c r="N12" i="32"/>
  <c r="G36" i="25"/>
  <c r="H54" i="25"/>
  <c r="L69" i="40"/>
  <c r="G61" i="30"/>
  <c r="L62" i="36"/>
  <c r="G65" i="32"/>
  <c r="K50" i="39"/>
  <c r="N59" i="32"/>
  <c r="N39" i="24"/>
  <c r="G14" i="30"/>
  <c r="N45" i="30"/>
  <c r="K54" i="36"/>
  <c r="G34" i="34"/>
  <c r="H53" i="40"/>
  <c r="N11" i="24"/>
  <c r="J54" i="38"/>
  <c r="G64" i="40"/>
  <c r="J47" i="30"/>
  <c r="K68" i="40"/>
  <c r="G36" i="30"/>
  <c r="H28" i="40"/>
  <c r="H42" i="38"/>
  <c r="L68" i="40"/>
  <c r="G43" i="40"/>
  <c r="N8" i="40"/>
  <c r="J62" i="36"/>
  <c r="L41" i="40"/>
  <c r="G41" i="36"/>
  <c r="H31" i="36"/>
  <c r="K41" i="30"/>
  <c r="K49" i="38"/>
  <c r="K41" i="34"/>
  <c r="N54" i="25"/>
  <c r="J35" i="38"/>
  <c r="G52" i="28"/>
  <c r="I61" i="28"/>
  <c r="L32" i="40"/>
  <c r="N12" i="25"/>
  <c r="N33" i="28"/>
  <c r="J46" i="25"/>
  <c r="G39" i="34"/>
  <c r="L55" i="38"/>
  <c r="G31" i="36"/>
  <c r="H32" i="38"/>
  <c r="H57" i="28"/>
  <c r="I32" i="38"/>
  <c r="H54" i="40"/>
  <c r="G62" i="32"/>
  <c r="K41" i="40"/>
  <c r="I29" i="30"/>
  <c r="J45" i="40"/>
  <c r="G5" i="36"/>
  <c r="G57" i="40"/>
  <c r="G14" i="32"/>
  <c r="G17" i="38"/>
  <c r="K48" i="36"/>
  <c r="K36" i="36"/>
  <c r="G51" i="34"/>
  <c r="G53" i="38"/>
  <c r="H63" i="25"/>
  <c r="G66" i="40"/>
  <c r="H62" i="36"/>
  <c r="J46" i="34"/>
  <c r="H39" i="36"/>
  <c r="H47" i="34"/>
  <c r="I49" i="30"/>
  <c r="J54" i="40"/>
  <c r="G38" i="40"/>
  <c r="J36" i="38"/>
  <c r="K54" i="34"/>
  <c r="G34" i="38"/>
  <c r="I42" i="38"/>
  <c r="J40" i="39"/>
  <c r="K57" i="40"/>
  <c r="I54" i="36"/>
  <c r="N33" i="32"/>
  <c r="L38" i="30"/>
  <c r="L63" i="25"/>
  <c r="L28" i="24"/>
  <c r="N14" i="36"/>
  <c r="L32" i="32"/>
  <c r="N61" i="25"/>
  <c r="K60" i="40"/>
  <c r="H68" i="40"/>
  <c r="K45" i="34"/>
  <c r="L54" i="25"/>
  <c r="K49" i="30"/>
  <c r="H67" i="32"/>
  <c r="H49" i="38"/>
  <c r="H48" i="34"/>
  <c r="N8" i="28"/>
  <c r="H61" i="34"/>
  <c r="G41" i="40"/>
  <c r="K57" i="38"/>
  <c r="N11" i="36"/>
  <c r="K35" i="30"/>
  <c r="K39" i="40"/>
  <c r="H42" i="36"/>
  <c r="G61" i="39"/>
  <c r="G16" i="28"/>
  <c r="L36" i="34"/>
  <c r="K28" i="40"/>
  <c r="G67" i="32"/>
  <c r="I50" i="36"/>
  <c r="N40" i="34"/>
  <c r="K62" i="40"/>
  <c r="G62" i="36"/>
  <c r="N43" i="24"/>
  <c r="I54" i="25"/>
  <c r="G63" i="25"/>
  <c r="K34" i="25"/>
  <c r="G42" i="32"/>
  <c r="J59" i="36"/>
  <c r="H48" i="40"/>
  <c r="I52" i="25"/>
  <c r="G44" i="38"/>
  <c r="L71" i="40"/>
  <c r="J57" i="40"/>
  <c r="I39" i="28"/>
  <c r="L47" i="25"/>
  <c r="L48" i="34"/>
  <c r="J66" i="28"/>
  <c r="G28" i="30"/>
  <c r="L27" i="34"/>
  <c r="J29" i="30"/>
  <c r="K61" i="32"/>
  <c r="I68" i="32"/>
  <c r="K31" i="34"/>
  <c r="K35" i="38"/>
  <c r="L45" i="38"/>
  <c r="K35" i="34"/>
  <c r="H51" i="24"/>
  <c r="G26" i="34"/>
  <c r="I43" i="32"/>
  <c r="K38" i="25"/>
  <c r="L52" i="25"/>
  <c r="J35" i="34"/>
  <c r="L27" i="30"/>
  <c r="K64" i="36"/>
  <c r="L32" i="36"/>
  <c r="J34" i="28"/>
  <c r="H61" i="25"/>
  <c r="H48" i="38"/>
  <c r="K49" i="28"/>
  <c r="J33" i="40"/>
  <c r="K48" i="40"/>
  <c r="I37" i="34"/>
  <c r="K53" i="40"/>
  <c r="H31" i="30"/>
  <c r="N45" i="34"/>
  <c r="H44" i="38"/>
  <c r="G35" i="38"/>
  <c r="J37" i="40"/>
  <c r="I63" i="40"/>
  <c r="L53" i="36"/>
  <c r="I56" i="28"/>
  <c r="G47" i="34"/>
  <c r="G60" i="40"/>
  <c r="I62" i="28"/>
  <c r="G60" i="28"/>
  <c r="N50" i="34"/>
  <c r="H58" i="36"/>
  <c r="I56" i="38"/>
  <c r="N54" i="30"/>
  <c r="L35" i="30"/>
  <c r="L56" i="36"/>
  <c r="J68" i="32"/>
  <c r="G27" i="32"/>
  <c r="H44" i="40"/>
  <c r="K32" i="38"/>
  <c r="J27" i="38"/>
  <c r="G29" i="38"/>
  <c r="H64" i="40"/>
  <c r="J28" i="28"/>
  <c r="H48" i="28"/>
  <c r="G48" i="38"/>
  <c r="L52" i="28"/>
  <c r="G47" i="25"/>
  <c r="K27" i="34"/>
  <c r="G52" i="38"/>
  <c r="J68" i="40"/>
  <c r="L31" i="25"/>
  <c r="I39" i="25"/>
  <c r="G32" i="25"/>
  <c r="H31" i="40"/>
  <c r="I45" i="25"/>
  <c r="K28" i="36"/>
  <c r="K54" i="32"/>
  <c r="J62" i="28"/>
  <c r="K27" i="24"/>
  <c r="H39" i="40"/>
  <c r="K60" i="32"/>
  <c r="H62" i="30"/>
  <c r="L38" i="40"/>
  <c r="L31" i="38"/>
  <c r="I34" i="24"/>
  <c r="K47" i="30"/>
  <c r="J46" i="36"/>
  <c r="G49" i="34"/>
  <c r="K43" i="28"/>
  <c r="H55" i="32"/>
  <c r="J27" i="40"/>
  <c r="G43" i="28"/>
  <c r="L39" i="32"/>
  <c r="K63" i="28"/>
  <c r="J36" i="32"/>
  <c r="N55" i="28"/>
  <c r="H30" i="34"/>
  <c r="H36" i="30"/>
  <c r="L60" i="40"/>
  <c r="K48" i="30"/>
  <c r="K63" i="25"/>
  <c r="I30" i="25"/>
  <c r="I33" i="24"/>
  <c r="J73" i="39"/>
  <c r="G55" i="30"/>
  <c r="L45" i="30"/>
  <c r="L28" i="36"/>
  <c r="N47" i="30"/>
  <c r="L40" i="36"/>
  <c r="J28" i="30"/>
  <c r="L63" i="40"/>
  <c r="J38" i="30"/>
  <c r="H42" i="32"/>
  <c r="K60" i="25"/>
  <c r="N10" i="25"/>
  <c r="K33" i="36"/>
  <c r="K28" i="30"/>
  <c r="H35" i="25"/>
  <c r="N66" i="32"/>
  <c r="H30" i="25"/>
  <c r="K32" i="24"/>
  <c r="I29" i="24"/>
  <c r="I61" i="25"/>
  <c r="J38" i="40"/>
  <c r="H46" i="24"/>
  <c r="I46" i="36"/>
  <c r="L51" i="24"/>
  <c r="G44" i="34"/>
  <c r="G56" i="38"/>
  <c r="J36" i="36"/>
  <c r="I45" i="30"/>
  <c r="G58" i="28"/>
  <c r="G49" i="24"/>
  <c r="J49" i="38"/>
  <c r="G49" i="32"/>
  <c r="L40" i="28"/>
  <c r="K39" i="25"/>
  <c r="L56" i="40"/>
  <c r="G40" i="24"/>
  <c r="N30" i="30"/>
  <c r="K55" i="30"/>
  <c r="I59" i="30"/>
  <c r="I44" i="38"/>
  <c r="I51" i="24"/>
  <c r="I66" i="32"/>
  <c r="I43" i="38"/>
  <c r="K27" i="40"/>
  <c r="K48" i="28"/>
  <c r="G51" i="30"/>
  <c r="J35" i="30"/>
  <c r="H34" i="36"/>
  <c r="J43" i="24"/>
  <c r="K50" i="25"/>
  <c r="L40" i="24"/>
  <c r="H40" i="28"/>
  <c r="K59" i="36"/>
  <c r="G50" i="30"/>
  <c r="G59" i="38"/>
  <c r="G57" i="36"/>
  <c r="G41" i="25"/>
  <c r="G44" i="25"/>
  <c r="I41" i="24"/>
  <c r="H49" i="28"/>
  <c r="J49" i="40"/>
  <c r="J29" i="24"/>
  <c r="G48" i="25"/>
  <c r="I31" i="40"/>
  <c r="K35" i="36"/>
  <c r="K58" i="38"/>
  <c r="H29" i="40"/>
  <c r="J55" i="39"/>
  <c r="I38" i="25"/>
  <c r="H27" i="30"/>
  <c r="H28" i="32"/>
  <c r="J62" i="32"/>
  <c r="L54" i="40"/>
  <c r="K31" i="36"/>
  <c r="H46" i="25"/>
  <c r="H33" i="36"/>
  <c r="I49" i="34"/>
  <c r="L27" i="36"/>
  <c r="L28" i="28"/>
  <c r="I31" i="34"/>
  <c r="K46" i="36"/>
  <c r="G27" i="25"/>
  <c r="H28" i="25"/>
  <c r="H54" i="34"/>
  <c r="K34" i="32"/>
  <c r="H43" i="36"/>
  <c r="K30" i="28"/>
  <c r="K46" i="25"/>
  <c r="J40" i="25"/>
  <c r="I40" i="25"/>
  <c r="L65" i="36"/>
  <c r="K53" i="25"/>
  <c r="I38" i="30"/>
  <c r="J32" i="24"/>
  <c r="I41" i="30"/>
  <c r="N35" i="34"/>
  <c r="I28" i="38"/>
  <c r="G47" i="28"/>
  <c r="K37" i="38"/>
  <c r="J31" i="38"/>
  <c r="I53" i="28"/>
  <c r="L46" i="40"/>
  <c r="G40" i="32"/>
  <c r="I47" i="24"/>
  <c r="L61" i="28"/>
  <c r="J30" i="28"/>
  <c r="J37" i="34"/>
  <c r="J35" i="28"/>
  <c r="L49" i="34"/>
  <c r="I53" i="40"/>
  <c r="J31" i="40"/>
  <c r="J56" i="38"/>
  <c r="N33" i="30"/>
  <c r="J60" i="40"/>
  <c r="G62" i="25"/>
  <c r="G46" i="38"/>
  <c r="G39" i="28"/>
  <c r="G52" i="30"/>
  <c r="G33" i="30"/>
  <c r="J52" i="25"/>
  <c r="H47" i="24"/>
  <c r="H33" i="24"/>
  <c r="G57" i="25"/>
  <c r="G26" i="40"/>
  <c r="H50" i="25"/>
  <c r="H30" i="28"/>
  <c r="K50" i="24"/>
  <c r="N39" i="28"/>
  <c r="L37" i="34"/>
  <c r="G41" i="28"/>
  <c r="I62" i="36"/>
  <c r="J51" i="25"/>
  <c r="I40" i="24"/>
  <c r="G60" i="36"/>
  <c r="H49" i="36"/>
  <c r="G53" i="36"/>
  <c r="G40" i="30"/>
  <c r="I29" i="40"/>
  <c r="L54" i="30"/>
  <c r="H34" i="25"/>
  <c r="K64" i="40"/>
  <c r="G37" i="24"/>
  <c r="L39" i="36"/>
  <c r="J37" i="39"/>
  <c r="J106" i="39"/>
  <c r="G63" i="32"/>
  <c r="J42" i="32"/>
  <c r="G34" i="28"/>
  <c r="G45" i="28"/>
  <c r="K61" i="40"/>
  <c r="L37" i="38"/>
  <c r="N39" i="32"/>
  <c r="G45" i="25"/>
  <c r="J53" i="25"/>
  <c r="L47" i="34"/>
  <c r="H39" i="24"/>
  <c r="I42" i="34"/>
  <c r="J103" i="39"/>
  <c r="J35" i="32"/>
  <c r="G25" i="24"/>
  <c r="L52" i="30"/>
  <c r="I50" i="24"/>
  <c r="I65" i="28"/>
  <c r="K55" i="36"/>
  <c r="G34" i="32"/>
  <c r="L34" i="24"/>
  <c r="L30" i="40"/>
  <c r="J27" i="25"/>
  <c r="J28" i="34"/>
  <c r="K34" i="24"/>
  <c r="J57" i="28"/>
  <c r="I53" i="34"/>
  <c r="L33" i="40"/>
  <c r="G15" i="38"/>
  <c r="G68" i="32"/>
  <c r="G25" i="34"/>
  <c r="I68" i="40"/>
  <c r="G45" i="40"/>
  <c r="H41" i="38"/>
  <c r="N65" i="28"/>
  <c r="G53" i="25"/>
  <c r="H33" i="32"/>
  <c r="J46" i="28"/>
  <c r="L28" i="32"/>
  <c r="K58" i="30"/>
  <c r="I54" i="34"/>
  <c r="L32" i="34"/>
  <c r="J49" i="30"/>
  <c r="I57" i="40"/>
  <c r="J42" i="36"/>
  <c r="J32" i="36"/>
  <c r="K57" i="36"/>
  <c r="J50" i="36"/>
  <c r="G25" i="38"/>
  <c r="K62" i="32"/>
  <c r="G50" i="40"/>
  <c r="L55" i="30"/>
  <c r="H54" i="30"/>
  <c r="K36" i="34"/>
  <c r="G35" i="40"/>
  <c r="H64" i="36"/>
  <c r="K32" i="36"/>
  <c r="K47" i="32"/>
  <c r="N8" i="32"/>
  <c r="L42" i="34"/>
  <c r="G57" i="30"/>
  <c r="I53" i="25"/>
  <c r="H66" i="32"/>
  <c r="L48" i="38"/>
  <c r="L34" i="25"/>
  <c r="K54" i="40"/>
  <c r="L48" i="40"/>
  <c r="H52" i="32"/>
  <c r="J64" i="40"/>
  <c r="H45" i="40"/>
  <c r="J38" i="24"/>
  <c r="L42" i="24"/>
  <c r="J41" i="36"/>
  <c r="I56" i="32"/>
  <c r="L41" i="24"/>
  <c r="G29" i="40"/>
  <c r="K52" i="30"/>
  <c r="G38" i="28"/>
  <c r="J30" i="30"/>
  <c r="G25" i="30"/>
  <c r="L53" i="25"/>
  <c r="G31" i="32"/>
  <c r="G43" i="30"/>
  <c r="G38" i="24"/>
  <c r="H40" i="25"/>
  <c r="J44" i="25"/>
  <c r="K59" i="32"/>
  <c r="G45" i="30"/>
  <c r="G35" i="34"/>
  <c r="G56" i="25"/>
  <c r="L46" i="36"/>
  <c r="L61" i="32"/>
  <c r="I39" i="36"/>
  <c r="I49" i="36"/>
  <c r="L36" i="36"/>
  <c r="K48" i="34"/>
  <c r="G58" i="32"/>
  <c r="J60" i="30"/>
  <c r="H35" i="36"/>
  <c r="L56" i="32"/>
  <c r="K63" i="36"/>
  <c r="H32" i="24"/>
  <c r="G32" i="30"/>
  <c r="J54" i="32"/>
  <c r="G32" i="38"/>
  <c r="I36" i="36"/>
  <c r="G28" i="25"/>
  <c r="H54" i="32"/>
  <c r="J54" i="36"/>
  <c r="I27" i="25"/>
  <c r="I34" i="30"/>
  <c r="I39" i="32"/>
  <c r="G26" i="25"/>
  <c r="H47" i="32"/>
  <c r="J48" i="38"/>
  <c r="K50" i="40"/>
  <c r="G50" i="32"/>
  <c r="H27" i="32"/>
  <c r="J40" i="28"/>
  <c r="G31" i="38"/>
  <c r="K66" i="32"/>
  <c r="L47" i="30"/>
  <c r="H55" i="30"/>
  <c r="L27" i="38"/>
  <c r="H28" i="24"/>
  <c r="K42" i="34"/>
  <c r="I33" i="32"/>
  <c r="G39" i="24"/>
  <c r="J65" i="28"/>
  <c r="I46" i="40"/>
  <c r="I64" i="40"/>
  <c r="L40" i="38"/>
  <c r="J40" i="34"/>
  <c r="J59" i="30"/>
  <c r="H63" i="32"/>
  <c r="I42" i="30"/>
  <c r="L57" i="38"/>
  <c r="I27" i="28"/>
  <c r="K58" i="36"/>
  <c r="L36" i="30"/>
  <c r="I55" i="28"/>
  <c r="J50" i="34"/>
  <c r="K30" i="34"/>
  <c r="J27" i="28"/>
  <c r="K27" i="38"/>
  <c r="J39" i="32"/>
  <c r="L50" i="40"/>
  <c r="J39" i="39"/>
  <c r="H33" i="40"/>
  <c r="H39" i="32"/>
  <c r="L29" i="30"/>
  <c r="G32" i="34"/>
  <c r="I46" i="30"/>
  <c r="H31" i="32"/>
  <c r="L30" i="34"/>
  <c r="L32" i="24"/>
  <c r="K66" i="28"/>
  <c r="K48" i="32"/>
  <c r="L37" i="25"/>
  <c r="G40" i="40"/>
  <c r="J74" i="39"/>
  <c r="K53" i="30"/>
  <c r="L28" i="25"/>
  <c r="N35" i="30"/>
  <c r="J45" i="34"/>
  <c r="G35" i="36"/>
  <c r="H29" i="28"/>
  <c r="I38" i="24"/>
  <c r="J49" i="34"/>
  <c r="L28" i="38"/>
  <c r="G34" i="25"/>
  <c r="N8" i="30"/>
  <c r="J56" i="39"/>
  <c r="G38" i="25"/>
  <c r="J67" i="32"/>
  <c r="H56" i="36"/>
  <c r="J41" i="40"/>
  <c r="L54" i="38"/>
  <c r="K53" i="34"/>
  <c r="N13" i="30"/>
  <c r="G31" i="30"/>
  <c r="H49" i="40"/>
  <c r="H43" i="38"/>
  <c r="H30" i="38"/>
  <c r="K32" i="34"/>
  <c r="G64" i="32"/>
  <c r="J24" i="39"/>
  <c r="J39" i="25"/>
  <c r="H34" i="24"/>
  <c r="G34" i="24"/>
  <c r="L30" i="30"/>
  <c r="K47" i="34"/>
  <c r="L41" i="38"/>
  <c r="J29" i="38"/>
  <c r="H29" i="34"/>
  <c r="K31" i="38"/>
  <c r="G61" i="40"/>
  <c r="N13" i="28"/>
  <c r="H61" i="30"/>
  <c r="N8" i="38"/>
  <c r="L57" i="36"/>
  <c r="K47" i="36"/>
  <c r="K28" i="38"/>
  <c r="L59" i="36"/>
  <c r="J56" i="32"/>
  <c r="L60" i="30"/>
  <c r="G51" i="25"/>
  <c r="H54" i="38"/>
  <c r="H31" i="25"/>
  <c r="H29" i="36"/>
  <c r="J52" i="24"/>
  <c r="H29" i="30"/>
  <c r="K55" i="32"/>
  <c r="I46" i="34"/>
  <c r="G44" i="24"/>
  <c r="L59" i="38"/>
  <c r="I31" i="25"/>
  <c r="H59" i="25"/>
  <c r="H57" i="38"/>
  <c r="K47" i="24"/>
  <c r="H62" i="25"/>
  <c r="H33" i="38"/>
  <c r="G46" i="32"/>
  <c r="H57" i="40"/>
  <c r="N38" i="25"/>
  <c r="L60" i="32"/>
  <c r="J48" i="40"/>
  <c r="H47" i="28"/>
  <c r="H36" i="34"/>
  <c r="G33" i="36"/>
  <c r="G28" i="38"/>
  <c r="G50" i="36"/>
  <c r="G48" i="32"/>
  <c r="K55" i="28"/>
  <c r="J34" i="25"/>
  <c r="G42" i="25"/>
  <c r="J47" i="32"/>
  <c r="N61" i="34"/>
  <c r="H41" i="40"/>
  <c r="I58" i="38"/>
  <c r="G15" i="30"/>
  <c r="G55" i="34"/>
  <c r="N43" i="32"/>
  <c r="G61" i="25"/>
  <c r="J36" i="28"/>
  <c r="J28" i="40"/>
  <c r="G26" i="28"/>
  <c r="H40" i="24"/>
  <c r="J45" i="30"/>
  <c r="K40" i="40"/>
  <c r="I47" i="28"/>
  <c r="G52" i="36"/>
  <c r="J53" i="28"/>
  <c r="K61" i="25"/>
  <c r="G59" i="28"/>
  <c r="L48" i="28"/>
  <c r="L48" i="36"/>
  <c r="J34" i="30"/>
  <c r="I55" i="34"/>
  <c r="H37" i="25"/>
  <c r="N43" i="28"/>
  <c r="I31" i="32"/>
  <c r="J46" i="40"/>
  <c r="L34" i="36"/>
  <c r="L44" i="38"/>
  <c r="G39" i="30"/>
  <c r="J52" i="28"/>
  <c r="G49" i="36"/>
  <c r="K61" i="28"/>
  <c r="K28" i="24"/>
  <c r="G39" i="36"/>
  <c r="H30" i="40"/>
  <c r="H46" i="28"/>
  <c r="L29" i="28"/>
  <c r="G46" i="28"/>
  <c r="H31" i="28"/>
  <c r="H48" i="32"/>
  <c r="J34" i="36"/>
  <c r="K56" i="38"/>
  <c r="H57" i="25"/>
  <c r="G55" i="38"/>
  <c r="K53" i="36"/>
  <c r="K43" i="36"/>
  <c r="N1" i="30"/>
  <c r="L41" i="34"/>
  <c r="H29" i="38"/>
  <c r="I57" i="28"/>
  <c r="I47" i="36"/>
  <c r="H32" i="32"/>
  <c r="J33" i="28"/>
  <c r="J30" i="25"/>
  <c r="K41" i="24"/>
  <c r="I39" i="24"/>
  <c r="J63" i="40"/>
  <c r="J39" i="28"/>
  <c r="G58" i="38"/>
  <c r="K60" i="30"/>
  <c r="H60" i="30"/>
  <c r="G11" i="32"/>
  <c r="G45" i="34"/>
  <c r="G26" i="32"/>
  <c r="K42" i="24"/>
  <c r="G55" i="36"/>
  <c r="I40" i="32"/>
  <c r="H62" i="40"/>
  <c r="J27" i="24"/>
  <c r="I47" i="25"/>
  <c r="G28" i="34"/>
  <c r="G63" i="36"/>
  <c r="I59" i="32"/>
  <c r="L41" i="28"/>
  <c r="G42" i="28"/>
  <c r="I54" i="30"/>
  <c r="H32" i="40"/>
  <c r="L55" i="32"/>
  <c r="K39" i="36"/>
  <c r="I47" i="30"/>
  <c r="G33" i="25"/>
  <c r="N12" i="38"/>
  <c r="K59" i="25"/>
  <c r="G45" i="32"/>
  <c r="K49" i="34"/>
  <c r="I30" i="30"/>
  <c r="H58" i="30"/>
  <c r="G37" i="40"/>
  <c r="I36" i="30"/>
  <c r="I50" i="38"/>
  <c r="J55" i="38"/>
  <c r="J28" i="38"/>
  <c r="H30" i="30"/>
  <c r="L46" i="32"/>
  <c r="L61" i="40"/>
  <c r="J53" i="39"/>
  <c r="K46" i="32"/>
  <c r="G57" i="32"/>
  <c r="K45" i="25"/>
  <c r="G52" i="25"/>
  <c r="K33" i="40"/>
  <c r="J39" i="36"/>
  <c r="J40" i="24"/>
  <c r="L40" i="25"/>
  <c r="L35" i="36"/>
  <c r="G68" i="40"/>
  <c r="J41" i="30"/>
  <c r="J60" i="32"/>
  <c r="I63" i="36"/>
  <c r="K46" i="40"/>
  <c r="G37" i="25"/>
  <c r="I47" i="34"/>
  <c r="L67" i="32"/>
  <c r="H38" i="30"/>
  <c r="G63" i="28"/>
  <c r="G55" i="28"/>
  <c r="L60" i="25"/>
  <c r="L29" i="38"/>
  <c r="I45" i="38"/>
  <c r="G36" i="40"/>
  <c r="I27" i="32"/>
  <c r="G28" i="28"/>
  <c r="G36" i="36"/>
  <c r="G36" i="32"/>
  <c r="G31" i="24"/>
  <c r="I41" i="32"/>
  <c r="G64" i="36"/>
  <c r="K27" i="32"/>
  <c r="H32" i="34"/>
  <c r="J53" i="30"/>
  <c r="G37" i="36"/>
  <c r="H32" i="36"/>
  <c r="I28" i="36"/>
  <c r="J38" i="25"/>
  <c r="H43" i="28"/>
  <c r="I31" i="38"/>
  <c r="N12" i="36"/>
  <c r="L45" i="34"/>
  <c r="K52" i="25"/>
  <c r="N2" i="30"/>
  <c r="H52" i="25"/>
  <c r="G34" i="30"/>
  <c r="G30" i="24"/>
  <c r="H52" i="28"/>
  <c r="I61" i="32"/>
  <c r="G14" i="34"/>
  <c r="N8" i="34"/>
  <c r="H37" i="38"/>
  <c r="G53" i="28"/>
  <c r="N60" i="32"/>
  <c r="K52" i="24"/>
  <c r="I28" i="28"/>
  <c r="I44" i="25"/>
  <c r="I37" i="24"/>
  <c r="H41" i="32"/>
  <c r="K67" i="32"/>
  <c r="I49" i="28"/>
  <c r="N11" i="38"/>
  <c r="L43" i="28"/>
  <c r="H61" i="40"/>
  <c r="J37" i="25"/>
  <c r="I58" i="30"/>
  <c r="K43" i="38"/>
  <c r="G25" i="40"/>
  <c r="I32" i="32"/>
  <c r="H28" i="30"/>
  <c r="J33" i="30"/>
  <c r="H58" i="25"/>
  <c r="K30" i="30"/>
  <c r="J41" i="24"/>
  <c r="I30" i="28"/>
  <c r="J36" i="30"/>
  <c r="L59" i="30"/>
  <c r="L43" i="24"/>
  <c r="G48" i="24"/>
  <c r="L48" i="32"/>
  <c r="H46" i="30"/>
  <c r="L53" i="38"/>
  <c r="K30" i="38"/>
  <c r="H53" i="28"/>
  <c r="J60" i="28"/>
  <c r="K71" i="40"/>
  <c r="L27" i="40"/>
  <c r="G48" i="40"/>
  <c r="K40" i="32"/>
  <c r="J34" i="24"/>
  <c r="N9" i="30"/>
  <c r="G56" i="40"/>
  <c r="K29" i="24"/>
  <c r="G49" i="28"/>
  <c r="L53" i="30"/>
  <c r="N34" i="24"/>
  <c r="N59" i="25"/>
  <c r="L49" i="28"/>
  <c r="G31" i="25"/>
  <c r="L27" i="28"/>
  <c r="K54" i="30"/>
  <c r="L31" i="32"/>
  <c r="I62" i="40"/>
  <c r="L56" i="38"/>
  <c r="H30" i="24"/>
  <c r="K40" i="36"/>
  <c r="H29" i="32"/>
  <c r="K29" i="25"/>
  <c r="G36" i="24"/>
  <c r="N10" i="32"/>
  <c r="L61" i="30"/>
  <c r="K65" i="36"/>
  <c r="J49" i="36"/>
  <c r="I40" i="34"/>
  <c r="G27" i="34"/>
  <c r="K54" i="38"/>
  <c r="I43" i="24"/>
  <c r="J32" i="34"/>
  <c r="G60" i="25"/>
  <c r="N29" i="30"/>
  <c r="H45" i="34"/>
  <c r="H55" i="34"/>
  <c r="H27" i="25"/>
  <c r="K37" i="30"/>
  <c r="K47" i="28"/>
  <c r="G52" i="32"/>
  <c r="J54" i="34"/>
  <c r="H71" i="40"/>
  <c r="G62" i="39"/>
  <c r="G64" i="28"/>
  <c r="K44" i="39"/>
  <c r="K40" i="34"/>
  <c r="J29" i="34"/>
  <c r="K32" i="32"/>
  <c r="G51" i="28"/>
  <c r="K39" i="28"/>
  <c r="G31" i="40"/>
  <c r="G42" i="36"/>
  <c r="L33" i="30"/>
  <c r="K65" i="28"/>
  <c r="I35" i="30"/>
  <c r="I62" i="30"/>
  <c r="I43" i="36"/>
  <c r="I36" i="28"/>
  <c r="N37" i="34"/>
  <c r="I33" i="40"/>
  <c r="G42" i="24"/>
  <c r="I48" i="36"/>
  <c r="L44" i="25"/>
  <c r="N37" i="25"/>
  <c r="L51" i="25"/>
  <c r="J62" i="40"/>
  <c r="I59" i="38"/>
  <c r="G28" i="32"/>
  <c r="I32" i="24"/>
  <c r="J55" i="36"/>
  <c r="N53" i="34"/>
  <c r="H61" i="28"/>
  <c r="K27" i="30"/>
  <c r="K56" i="32"/>
  <c r="N34" i="28"/>
  <c r="G52" i="24"/>
  <c r="H40" i="34"/>
  <c r="J47" i="24"/>
  <c r="G27" i="38"/>
  <c r="K62" i="28"/>
  <c r="G29" i="24"/>
  <c r="J35" i="25"/>
  <c r="K29" i="34"/>
  <c r="N27" i="25"/>
  <c r="J58" i="36"/>
  <c r="I60" i="25"/>
  <c r="K40" i="38"/>
  <c r="K37" i="25"/>
  <c r="I52" i="30"/>
  <c r="L62" i="32"/>
  <c r="G43" i="25"/>
  <c r="G47" i="32"/>
  <c r="J37" i="24"/>
  <c r="H40" i="32"/>
  <c r="G55" i="32"/>
  <c r="J37" i="30"/>
  <c r="J31" i="34"/>
  <c r="K96" i="39"/>
  <c r="L27" i="24"/>
  <c r="I30" i="34"/>
  <c r="I36" i="25"/>
  <c r="H59" i="30"/>
  <c r="L57" i="28"/>
  <c r="H12" i="39"/>
  <c r="N8" i="24"/>
  <c r="G30" i="25"/>
  <c r="K41" i="36"/>
  <c r="K29" i="30"/>
  <c r="K62" i="25"/>
  <c r="G57" i="38"/>
  <c r="K27" i="25"/>
  <c r="L47" i="32"/>
  <c r="G37" i="28"/>
  <c r="G48" i="28"/>
  <c r="H35" i="28"/>
  <c r="J50" i="38"/>
  <c r="J23" i="39"/>
  <c r="N47" i="25"/>
  <c r="L40" i="32"/>
  <c r="G40" i="25"/>
  <c r="K46" i="28"/>
  <c r="K34" i="28"/>
  <c r="G37" i="30"/>
  <c r="L43" i="32"/>
  <c r="K44" i="25"/>
  <c r="J69" i="40"/>
  <c r="I46" i="24"/>
  <c r="H62" i="28"/>
  <c r="G44" i="36"/>
  <c r="N31" i="34"/>
  <c r="N63" i="25"/>
  <c r="H27" i="34"/>
  <c r="J28" i="25"/>
  <c r="L43" i="38"/>
  <c r="I36" i="32"/>
  <c r="G53" i="34"/>
  <c r="G48" i="34"/>
  <c r="K41" i="28"/>
  <c r="K28" i="28"/>
  <c r="I32" i="40"/>
  <c r="J2" i="39"/>
  <c r="H42" i="28"/>
  <c r="N62" i="28"/>
  <c r="L55" i="40"/>
  <c r="G38" i="32"/>
  <c r="L37" i="24"/>
  <c r="J55" i="30"/>
  <c r="L35" i="25"/>
  <c r="G30" i="28"/>
  <c r="K57" i="28"/>
  <c r="L29" i="40"/>
  <c r="I54" i="32"/>
  <c r="K53" i="28"/>
  <c r="G29" i="30"/>
  <c r="I53" i="30"/>
  <c r="H41" i="30"/>
  <c r="H43" i="25"/>
  <c r="I55" i="40"/>
  <c r="H98" i="39"/>
  <c r="H29" i="25"/>
  <c r="G30" i="38"/>
  <c r="H28" i="34"/>
  <c r="K55" i="40"/>
  <c r="G47" i="38"/>
  <c r="I55" i="30"/>
  <c r="K39" i="24"/>
  <c r="N10" i="34"/>
  <c r="G26" i="24"/>
  <c r="J64" i="36"/>
  <c r="H28" i="38"/>
  <c r="G43" i="38"/>
  <c r="J59" i="25"/>
  <c r="H39" i="28"/>
  <c r="G49" i="30"/>
  <c r="J49" i="28"/>
  <c r="H44" i="25"/>
  <c r="L59" i="32"/>
  <c r="J56" i="40"/>
  <c r="L41" i="30"/>
  <c r="L46" i="30"/>
  <c r="J50" i="24"/>
  <c r="H45" i="30"/>
  <c r="I71" i="40"/>
  <c r="L33" i="24"/>
  <c r="G54" i="28"/>
  <c r="H31" i="34"/>
  <c r="I43" i="28"/>
  <c r="G46" i="34"/>
  <c r="L68" i="32"/>
  <c r="G43" i="34"/>
  <c r="H35" i="30"/>
  <c r="G56" i="32"/>
  <c r="K31" i="25"/>
  <c r="H60" i="25"/>
  <c r="H37" i="30"/>
  <c r="H58" i="38"/>
  <c r="G43" i="36"/>
  <c r="H63" i="28"/>
  <c r="N61" i="30"/>
  <c r="L55" i="28"/>
  <c r="L47" i="24"/>
  <c r="J39" i="40"/>
  <c r="L54" i="34"/>
  <c r="L50" i="24"/>
  <c r="J33" i="36"/>
  <c r="L33" i="28"/>
  <c r="K52" i="28"/>
  <c r="J54" i="25"/>
  <c r="G32" i="39"/>
  <c r="H100" i="39"/>
  <c r="G51" i="24"/>
  <c r="L42" i="30"/>
  <c r="L49" i="40"/>
  <c r="K54" i="25"/>
  <c r="H55" i="38"/>
  <c r="I27" i="40"/>
  <c r="J45" i="38"/>
  <c r="G39" i="32"/>
  <c r="L39" i="28"/>
  <c r="G32" i="36"/>
  <c r="I45" i="40"/>
  <c r="K43" i="24"/>
  <c r="L29" i="25"/>
  <c r="J27" i="36"/>
  <c r="I35" i="25"/>
  <c r="K42" i="28"/>
  <c r="H27" i="24"/>
  <c r="I46" i="25"/>
  <c r="H49" i="34"/>
  <c r="K58" i="25"/>
  <c r="G44" i="28"/>
  <c r="G58" i="25"/>
  <c r="L49" i="30"/>
  <c r="I59" i="25"/>
  <c r="J30" i="40"/>
  <c r="L36" i="25"/>
  <c r="I37" i="40"/>
  <c r="L62" i="25"/>
  <c r="J62" i="25"/>
  <c r="I28" i="24"/>
  <c r="I35" i="36"/>
  <c r="K29" i="40"/>
  <c r="G27" i="24"/>
  <c r="L52" i="24"/>
  <c r="H36" i="28"/>
  <c r="G40" i="28"/>
  <c r="G43" i="24"/>
  <c r="I51" i="25"/>
  <c r="L45" i="40"/>
  <c r="L46" i="24"/>
  <c r="H43" i="24"/>
  <c r="J63" i="25"/>
  <c r="N27" i="34"/>
  <c r="I49" i="32"/>
  <c r="K40" i="24"/>
  <c r="G61" i="36"/>
  <c r="K35" i="25"/>
  <c r="I36" i="38"/>
  <c r="K33" i="28"/>
  <c r="K31" i="32"/>
  <c r="K31" i="40"/>
  <c r="N58" i="30"/>
  <c r="G50" i="24"/>
  <c r="J33" i="24"/>
  <c r="H81" i="39"/>
  <c r="I46" i="28"/>
  <c r="K49" i="32"/>
  <c r="K46" i="34"/>
  <c r="L46" i="34"/>
  <c r="J36" i="25"/>
  <c r="K51" i="24"/>
  <c r="G50" i="25"/>
  <c r="L35" i="32"/>
  <c r="G54" i="40"/>
  <c r="H53" i="34"/>
  <c r="J35" i="36"/>
  <c r="K61" i="30"/>
  <c r="L43" i="36"/>
  <c r="K63" i="32"/>
  <c r="L40" i="40"/>
  <c r="G29" i="32"/>
  <c r="I57" i="36"/>
  <c r="K41" i="32"/>
  <c r="N11" i="40"/>
  <c r="G55" i="40"/>
  <c r="L29" i="34"/>
  <c r="H39" i="25"/>
  <c r="L34" i="30"/>
  <c r="J48" i="30"/>
  <c r="J43" i="32"/>
  <c r="N45" i="25"/>
  <c r="L62" i="40"/>
  <c r="I41" i="38"/>
  <c r="G47" i="30"/>
  <c r="J59" i="38"/>
  <c r="N40" i="28"/>
  <c r="H32" i="25"/>
  <c r="I58" i="36"/>
  <c r="H47" i="30"/>
  <c r="G26" i="30"/>
  <c r="J43" i="28"/>
  <c r="L62" i="28"/>
  <c r="H55" i="36"/>
  <c r="K38" i="40"/>
  <c r="K46" i="24"/>
  <c r="H59" i="36"/>
  <c r="H48" i="36"/>
  <c r="I35" i="28"/>
  <c r="L70" i="40"/>
  <c r="G66" i="32"/>
  <c r="G26" i="36"/>
  <c r="K40" i="25"/>
  <c r="J61" i="25"/>
  <c r="I61" i="40"/>
  <c r="K65" i="40"/>
  <c r="H37" i="34"/>
  <c r="J61" i="30"/>
  <c r="N11" i="30"/>
  <c r="J52" i="32"/>
  <c r="I50" i="25"/>
  <c r="N62" i="30"/>
  <c r="J47" i="28"/>
  <c r="G45" i="39"/>
  <c r="L30" i="38"/>
  <c r="L64" i="28"/>
  <c r="K47" i="25"/>
  <c r="G70" i="40"/>
  <c r="J42" i="24"/>
  <c r="G41" i="24"/>
  <c r="H65" i="28"/>
  <c r="N13" i="36"/>
  <c r="I54" i="40"/>
  <c r="H63" i="40"/>
  <c r="N28" i="34"/>
  <c r="I29" i="25"/>
  <c r="I39" i="40"/>
  <c r="G25" i="25"/>
  <c r="H41" i="28"/>
  <c r="H56" i="28"/>
  <c r="I34" i="32"/>
  <c r="N10" i="30"/>
  <c r="G36" i="28"/>
  <c r="G33" i="28"/>
  <c r="G59" i="36"/>
  <c r="I34" i="25"/>
  <c r="J58" i="25"/>
  <c r="N51" i="24"/>
  <c r="H35" i="32"/>
  <c r="G35" i="32"/>
  <c r="J58" i="30"/>
  <c r="I42" i="36"/>
  <c r="N33" i="24"/>
  <c r="G60" i="30"/>
  <c r="L57" i="25"/>
  <c r="H60" i="28"/>
  <c r="L58" i="36"/>
  <c r="L39" i="24"/>
  <c r="K37" i="24"/>
  <c r="K53" i="38"/>
  <c r="L65" i="28"/>
  <c r="J28" i="32"/>
  <c r="I28" i="32"/>
  <c r="K39" i="32"/>
  <c r="J27" i="34"/>
  <c r="L61" i="25"/>
  <c r="I47" i="40"/>
  <c r="N46" i="28"/>
  <c r="N8" i="25"/>
  <c r="H34" i="32"/>
  <c r="L34" i="28"/>
  <c r="I66" i="39"/>
  <c r="I27" i="30"/>
  <c r="G36" i="38"/>
  <c r="N41" i="30"/>
  <c r="K35" i="28"/>
  <c r="G38" i="38"/>
  <c r="I48" i="32"/>
  <c r="N31" i="38"/>
  <c r="G58" i="36"/>
  <c r="J42" i="28"/>
  <c r="H66" i="28"/>
  <c r="G53" i="32"/>
  <c r="J50" i="25"/>
  <c r="N29" i="28"/>
  <c r="I52" i="28"/>
  <c r="G62" i="28"/>
  <c r="N48" i="34"/>
  <c r="G32" i="32"/>
  <c r="K29" i="28"/>
  <c r="K36" i="38"/>
  <c r="I56" i="36"/>
  <c r="K33" i="30"/>
  <c r="I60" i="32"/>
  <c r="J46" i="24"/>
  <c r="N52" i="24"/>
  <c r="I70" i="40"/>
  <c r="J47" i="34"/>
  <c r="K42" i="30"/>
  <c r="K64" i="28"/>
  <c r="G62" i="30"/>
  <c r="L49" i="38"/>
  <c r="J42" i="34"/>
  <c r="N62" i="32"/>
  <c r="J43" i="25"/>
  <c r="K54" i="28"/>
  <c r="G32" i="24"/>
  <c r="H52" i="30"/>
  <c r="H55" i="28"/>
  <c r="K60" i="28"/>
  <c r="H50" i="24"/>
  <c r="G29" i="36"/>
  <c r="J46" i="32"/>
  <c r="G69" i="40"/>
  <c r="H48" i="30"/>
  <c r="G53" i="30"/>
  <c r="I66" i="28"/>
  <c r="I62" i="32"/>
  <c r="K41" i="38"/>
  <c r="L36" i="28"/>
  <c r="J47" i="25"/>
  <c r="I64" i="28"/>
  <c r="H53" i="30"/>
  <c r="L28" i="30"/>
  <c r="J57" i="25"/>
  <c r="G42" i="30"/>
  <c r="I53" i="32"/>
  <c r="J31" i="36"/>
  <c r="G26" i="38"/>
  <c r="L54" i="36"/>
  <c r="I63" i="28"/>
  <c r="J46" i="30"/>
  <c r="I32" i="34"/>
  <c r="L42" i="28"/>
  <c r="J39" i="24"/>
  <c r="L50" i="38"/>
  <c r="K28" i="25"/>
  <c r="H52" i="24"/>
  <c r="G27" i="28"/>
  <c r="G22" i="40"/>
  <c r="N38" i="24"/>
  <c r="L50" i="25"/>
  <c r="N46" i="24"/>
  <c r="H50" i="38"/>
  <c r="L42" i="32"/>
  <c r="I58" i="25"/>
  <c r="G59" i="30"/>
  <c r="L27" i="32"/>
  <c r="H42" i="30"/>
  <c r="J29" i="28"/>
  <c r="K48" i="38"/>
  <c r="K42" i="38"/>
  <c r="K37" i="34"/>
  <c r="N31" i="25"/>
  <c r="H68" i="32"/>
  <c r="H45" i="38"/>
  <c r="J21" i="39"/>
  <c r="H57" i="36"/>
  <c r="J90" i="39"/>
  <c r="L58" i="30"/>
  <c r="J31" i="25"/>
  <c r="L53" i="28"/>
  <c r="J33" i="32"/>
  <c r="H41" i="24"/>
  <c r="L53" i="40"/>
  <c r="G35" i="30"/>
  <c r="H31" i="38"/>
  <c r="L63" i="36"/>
  <c r="H33" i="30"/>
  <c r="N47" i="34"/>
  <c r="H46" i="32"/>
  <c r="K28" i="34"/>
  <c r="J32" i="32"/>
  <c r="L59" i="25"/>
  <c r="G59" i="32"/>
  <c r="G38" i="36"/>
  <c r="G27" i="30"/>
  <c r="G35" i="24"/>
  <c r="H35" i="34"/>
  <c r="K14" i="39"/>
  <c r="J53" i="36"/>
  <c r="L36" i="38"/>
  <c r="G38" i="30"/>
  <c r="L45" i="25"/>
  <c r="N9" i="40"/>
  <c r="I37" i="25"/>
  <c r="L37" i="30"/>
  <c r="H27" i="40"/>
  <c r="J30" i="34"/>
  <c r="G31" i="28"/>
  <c r="L39" i="40"/>
  <c r="I50" i="34"/>
  <c r="J29" i="25"/>
  <c r="G39" i="38"/>
  <c r="L34" i="32"/>
  <c r="J27" i="30"/>
  <c r="J55" i="28"/>
  <c r="J66" i="32"/>
  <c r="J43" i="38"/>
  <c r="G25" i="36"/>
  <c r="I48" i="28"/>
  <c r="G62" i="40"/>
  <c r="G61" i="32"/>
  <c r="N10" i="38"/>
  <c r="G54" i="38"/>
  <c r="G57" i="28"/>
  <c r="I33" i="36"/>
  <c r="G39" i="40"/>
  <c r="I27" i="24"/>
  <c r="I46" i="32"/>
  <c r="J105" i="39"/>
  <c r="G49" i="38"/>
  <c r="G54" i="32"/>
  <c r="H35" i="38"/>
  <c r="G32" i="28"/>
  <c r="G46" i="24"/>
  <c r="G50" i="38"/>
  <c r="J34" i="32"/>
  <c r="L47" i="28"/>
  <c r="J47" i="40"/>
  <c r="J48" i="32"/>
  <c r="I35" i="32"/>
  <c r="L30" i="28"/>
  <c r="N51" i="25"/>
  <c r="G28" i="40"/>
  <c r="G30" i="34"/>
  <c r="H54" i="36"/>
  <c r="N12" i="30"/>
  <c r="I44" i="40"/>
  <c r="J36" i="34"/>
  <c r="I60" i="28"/>
  <c r="H60" i="40"/>
  <c r="L30" i="25"/>
  <c r="H64" i="28"/>
  <c r="L54" i="28"/>
  <c r="K42" i="32"/>
  <c r="L47" i="36"/>
  <c r="J53" i="32"/>
  <c r="K15" i="39"/>
  <c r="H45" i="39"/>
  <c r="G28" i="24"/>
  <c r="H42" i="24"/>
  <c r="N50" i="25"/>
  <c r="G33" i="24"/>
  <c r="L55" i="36"/>
  <c r="K53" i="32"/>
  <c r="K27" i="28"/>
  <c r="H59" i="38"/>
  <c r="H28" i="28"/>
  <c r="L33" i="32"/>
  <c r="L39" i="25"/>
  <c r="J41" i="38"/>
  <c r="L63" i="28"/>
  <c r="L27" i="25"/>
  <c r="G59" i="40"/>
  <c r="G29" i="25"/>
  <c r="J54" i="30"/>
  <c r="I64" i="36"/>
  <c r="G46" i="30"/>
  <c r="J56" i="28"/>
  <c r="K59" i="30"/>
  <c r="J65" i="40"/>
  <c r="K46" i="30"/>
  <c r="H53" i="25"/>
  <c r="G35" i="28"/>
  <c r="J89" i="39"/>
  <c r="N46" i="30"/>
  <c r="K51" i="25"/>
  <c r="I48" i="38"/>
  <c r="G42" i="40"/>
  <c r="H40" i="40"/>
  <c r="I63" i="25"/>
  <c r="I60" i="40"/>
  <c r="I65" i="40"/>
  <c r="I41" i="28"/>
  <c r="L58" i="25"/>
  <c r="I36" i="34"/>
  <c r="L35" i="38"/>
  <c r="I28" i="25"/>
  <c r="H51" i="25"/>
  <c r="J41" i="28"/>
  <c r="I52" i="24"/>
  <c r="H62" i="32"/>
  <c r="N39" i="25"/>
  <c r="I28" i="30"/>
  <c r="L46" i="25"/>
  <c r="K36" i="30"/>
  <c r="H61" i="32"/>
  <c r="I57" i="25"/>
  <c r="K34" i="30"/>
  <c r="G66" i="28"/>
  <c r="J45" i="25"/>
  <c r="N64" i="28"/>
  <c r="H37" i="24"/>
  <c r="H38" i="24"/>
  <c r="G100" i="39"/>
  <c r="G29" i="34"/>
  <c r="L35" i="34"/>
  <c r="K84" i="39"/>
  <c r="N36" i="38"/>
  <c r="N50" i="38"/>
  <c r="I13" i="39"/>
  <c r="G15" i="39"/>
  <c r="I15" i="39"/>
  <c r="H112" i="39"/>
  <c r="I45" i="39"/>
  <c r="N37" i="38"/>
  <c r="H13" i="39"/>
  <c r="M32" i="38"/>
  <c r="H33" i="39"/>
  <c r="K114" i="39"/>
  <c r="N53" i="38"/>
  <c r="H17" i="39"/>
  <c r="K99" i="39"/>
  <c r="I84" i="39"/>
  <c r="I96" i="39"/>
  <c r="H61" i="39"/>
  <c r="G78" i="39"/>
  <c r="K97" i="39"/>
  <c r="G112" i="39"/>
  <c r="G48" i="39"/>
  <c r="G28" i="39"/>
  <c r="K112" i="39"/>
  <c r="H80" i="39"/>
  <c r="D73" i="39"/>
  <c r="E72" i="39"/>
  <c r="O30" i="67" l="1"/>
  <c r="O20" i="22"/>
  <c r="W40" i="22"/>
  <c r="O20" i="28"/>
  <c r="O20" i="34"/>
  <c r="O20" i="25"/>
  <c r="O20" i="24"/>
  <c r="O20" i="38"/>
  <c r="O20" i="32"/>
  <c r="O20" i="30"/>
  <c r="X44" i="40"/>
  <c r="S80" i="22"/>
  <c r="O21" i="22"/>
  <c r="W84" i="22"/>
  <c r="S84" i="22"/>
  <c r="S82" i="22"/>
  <c r="W82" i="22"/>
  <c r="S81" i="22"/>
  <c r="W81" i="22"/>
  <c r="W80" i="22"/>
  <c r="W79" i="22"/>
  <c r="S79" i="22"/>
  <c r="W34" i="36"/>
  <c r="W57" i="36"/>
  <c r="W39" i="36"/>
  <c r="W28" i="36"/>
  <c r="W43" i="36"/>
  <c r="W58" i="36"/>
  <c r="W71" i="36"/>
  <c r="W54" i="36"/>
  <c r="W33" i="36"/>
  <c r="W31" i="36"/>
  <c r="W46" i="36"/>
  <c r="W56" i="36"/>
  <c r="W69" i="36"/>
  <c r="W55" i="36"/>
  <c r="W36" i="36"/>
  <c r="W32" i="36"/>
  <c r="W62" i="36"/>
  <c r="W59" i="36"/>
  <c r="W68" i="36"/>
  <c r="W47" i="36"/>
  <c r="W49" i="36"/>
  <c r="W27" i="36"/>
  <c r="W42" i="36"/>
  <c r="W70" i="36"/>
  <c r="W53" i="36"/>
  <c r="W64" i="36"/>
  <c r="W63" i="36"/>
  <c r="W40" i="36"/>
  <c r="W65" i="36"/>
  <c r="W50" i="36"/>
  <c r="W72" i="36"/>
  <c r="W41" i="36"/>
  <c r="S28" i="36"/>
  <c r="S27" i="36"/>
  <c r="S62" i="36"/>
  <c r="S63" i="36"/>
  <c r="S64" i="36"/>
  <c r="S65" i="36"/>
  <c r="S39" i="36"/>
  <c r="S41" i="36"/>
  <c r="S43" i="36"/>
  <c r="S40" i="36"/>
  <c r="S42" i="36"/>
  <c r="S34" i="36"/>
  <c r="S36" i="36"/>
  <c r="S33" i="36"/>
  <c r="S31" i="36"/>
  <c r="S32" i="36"/>
  <c r="S47" i="36"/>
  <c r="S46" i="36"/>
  <c r="S49" i="36"/>
  <c r="S50" i="36"/>
  <c r="S56" i="36"/>
  <c r="S57" i="36"/>
  <c r="S58" i="36"/>
  <c r="S55" i="36"/>
  <c r="S54" i="36"/>
  <c r="S59" i="36"/>
  <c r="S53" i="36"/>
  <c r="S70" i="36"/>
  <c r="S69" i="36"/>
  <c r="S72" i="36"/>
  <c r="S71" i="36"/>
  <c r="S68" i="36"/>
  <c r="S59" i="38"/>
  <c r="W59" i="38"/>
  <c r="W49" i="38"/>
  <c r="S49" i="38"/>
  <c r="S45" i="38"/>
  <c r="W45" i="38"/>
  <c r="S35" i="38"/>
  <c r="W35" i="38"/>
  <c r="S30" i="38"/>
  <c r="W32" i="38"/>
  <c r="S32" i="38"/>
  <c r="W30" i="38"/>
  <c r="S29" i="38"/>
  <c r="W29" i="38"/>
  <c r="W75" i="22"/>
  <c r="W76" i="22"/>
  <c r="W73" i="22"/>
  <c r="W74" i="22"/>
  <c r="W69" i="22"/>
  <c r="S72" i="22"/>
  <c r="S70" i="22" s="1"/>
  <c r="W72" i="22"/>
  <c r="W67" i="22"/>
  <c r="W68" i="22"/>
  <c r="W65" i="22"/>
  <c r="W66" i="22"/>
  <c r="W61" i="22"/>
  <c r="W62" i="22"/>
  <c r="W59" i="22"/>
  <c r="W60" i="22"/>
  <c r="W55" i="22"/>
  <c r="W58" i="22"/>
  <c r="W53" i="22"/>
  <c r="W54" i="22"/>
  <c r="W51" i="22"/>
  <c r="W52" i="22"/>
  <c r="W47" i="22"/>
  <c r="W50" i="22"/>
  <c r="W42" i="22"/>
  <c r="W46" i="22"/>
  <c r="W39" i="22"/>
  <c r="W41" i="22"/>
  <c r="W37" i="22"/>
  <c r="W38" i="22"/>
  <c r="W33" i="22"/>
  <c r="W36" i="22"/>
  <c r="W31" i="22"/>
  <c r="W32" i="22"/>
  <c r="W29" i="22"/>
  <c r="W30" i="22"/>
  <c r="W27" i="22"/>
  <c r="W28" i="22"/>
  <c r="S46" i="28"/>
  <c r="W46" i="28"/>
  <c r="W50" i="25"/>
  <c r="S50" i="25"/>
  <c r="S31" i="38"/>
  <c r="W31" i="38"/>
  <c r="S62" i="30"/>
  <c r="W62" i="30"/>
  <c r="S63" i="25"/>
  <c r="W63" i="25"/>
  <c r="S37" i="34"/>
  <c r="W37" i="34"/>
  <c r="S28" i="32"/>
  <c r="W28" i="32"/>
  <c r="W32" i="24"/>
  <c r="S32" i="24"/>
  <c r="W34" i="30"/>
  <c r="S34" i="30"/>
  <c r="S63" i="32"/>
  <c r="W63" i="32"/>
  <c r="S32" i="34"/>
  <c r="W32" i="34"/>
  <c r="W46" i="32"/>
  <c r="S46" i="32"/>
  <c r="S56" i="28"/>
  <c r="W56" i="28"/>
  <c r="W34" i="32"/>
  <c r="S34" i="32"/>
  <c r="S85" i="22"/>
  <c r="W85" i="22"/>
  <c r="S40" i="25"/>
  <c r="W40" i="25"/>
  <c r="S27" i="30"/>
  <c r="W27" i="30"/>
  <c r="W55" i="32"/>
  <c r="S55" i="32"/>
  <c r="W59" i="30"/>
  <c r="S59" i="30"/>
  <c r="W41" i="32"/>
  <c r="S41" i="32"/>
  <c r="W32" i="32"/>
  <c r="S32" i="32"/>
  <c r="S38" i="30"/>
  <c r="W38" i="30"/>
  <c r="S29" i="24"/>
  <c r="W29" i="24"/>
  <c r="S48" i="38"/>
  <c r="W48" i="38"/>
  <c r="S43" i="32"/>
  <c r="W43" i="32"/>
  <c r="S62" i="25"/>
  <c r="W62" i="25"/>
  <c r="S36" i="34"/>
  <c r="W36" i="34"/>
  <c r="W54" i="32"/>
  <c r="S54" i="32"/>
  <c r="S39" i="25"/>
  <c r="W39" i="25"/>
  <c r="W52" i="24"/>
  <c r="S52" i="24"/>
  <c r="W39" i="32"/>
  <c r="S39" i="32"/>
  <c r="S35" i="34"/>
  <c r="W35" i="34"/>
  <c r="S57" i="28"/>
  <c r="W57" i="28"/>
  <c r="W35" i="28"/>
  <c r="S35" i="28"/>
  <c r="S57" i="25"/>
  <c r="W57" i="25"/>
  <c r="S57" i="38"/>
  <c r="W57" i="38"/>
  <c r="S41" i="38"/>
  <c r="W41" i="38"/>
  <c r="W38" i="24"/>
  <c r="S38" i="24"/>
  <c r="W51" i="24"/>
  <c r="S51" i="24"/>
  <c r="S27" i="34"/>
  <c r="W27" i="34"/>
  <c r="W29" i="30"/>
  <c r="S29" i="30"/>
  <c r="S43" i="28"/>
  <c r="W43" i="28"/>
  <c r="W39" i="28"/>
  <c r="S39" i="28"/>
  <c r="S39" i="24"/>
  <c r="W39" i="24"/>
  <c r="S55" i="30"/>
  <c r="W55" i="30"/>
  <c r="S42" i="34"/>
  <c r="W42" i="34"/>
  <c r="S53" i="32"/>
  <c r="W53" i="32"/>
  <c r="S60" i="28"/>
  <c r="W60" i="28"/>
  <c r="S35" i="32"/>
  <c r="W35" i="32"/>
  <c r="S28" i="24"/>
  <c r="W28" i="24"/>
  <c r="S60" i="30"/>
  <c r="W60" i="30"/>
  <c r="W40" i="32"/>
  <c r="S40" i="32"/>
  <c r="S42" i="24"/>
  <c r="W42" i="24"/>
  <c r="W46" i="25"/>
  <c r="S46" i="25"/>
  <c r="S40" i="38"/>
  <c r="W40" i="38"/>
  <c r="S50" i="38"/>
  <c r="W50" i="38"/>
  <c r="S41" i="30"/>
  <c r="W41" i="30"/>
  <c r="W40" i="28"/>
  <c r="S40" i="28"/>
  <c r="W47" i="25"/>
  <c r="S47" i="25"/>
  <c r="W35" i="30"/>
  <c r="S35" i="30"/>
  <c r="S66" i="32"/>
  <c r="W66" i="32"/>
  <c r="S54" i="30"/>
  <c r="W54" i="30"/>
  <c r="S43" i="24"/>
  <c r="W43" i="24"/>
  <c r="S54" i="28"/>
  <c r="W54" i="28"/>
  <c r="W29" i="34"/>
  <c r="S29" i="34"/>
  <c r="W30" i="34"/>
  <c r="S30" i="34"/>
  <c r="S42" i="28"/>
  <c r="W42" i="28"/>
  <c r="S53" i="28"/>
  <c r="W53" i="28"/>
  <c r="S34" i="25"/>
  <c r="W34" i="25"/>
  <c r="W28" i="30"/>
  <c r="S28" i="30"/>
  <c r="S43" i="25"/>
  <c r="W43" i="25"/>
  <c r="S55" i="38"/>
  <c r="W55" i="38"/>
  <c r="S43" i="38"/>
  <c r="W43" i="38"/>
  <c r="W53" i="38"/>
  <c r="S53" i="38"/>
  <c r="S37" i="25"/>
  <c r="W37" i="25"/>
  <c r="W47" i="24"/>
  <c r="S47" i="24"/>
  <c r="W44" i="25"/>
  <c r="S44" i="25"/>
  <c r="S41" i="28"/>
  <c r="W41" i="28"/>
  <c r="S60" i="32"/>
  <c r="W60" i="32"/>
  <c r="W58" i="30"/>
  <c r="S58" i="30"/>
  <c r="S27" i="25"/>
  <c r="W27" i="25"/>
  <c r="S59" i="25"/>
  <c r="W59" i="25"/>
  <c r="W33" i="32"/>
  <c r="S33" i="32"/>
  <c r="S47" i="32"/>
  <c r="W47" i="32"/>
  <c r="W67" i="32"/>
  <c r="S67" i="32"/>
  <c r="S36" i="30"/>
  <c r="W36" i="30"/>
  <c r="W49" i="30"/>
  <c r="S49" i="30"/>
  <c r="W50" i="24"/>
  <c r="S50" i="24"/>
  <c r="W28" i="25"/>
  <c r="S28" i="25"/>
  <c r="W27" i="28"/>
  <c r="S27" i="28"/>
  <c r="W36" i="38"/>
  <c r="S36" i="38"/>
  <c r="W34" i="28"/>
  <c r="S34" i="28"/>
  <c r="S59" i="32"/>
  <c r="W59" i="32"/>
  <c r="S62" i="32"/>
  <c r="W62" i="32"/>
  <c r="W28" i="34"/>
  <c r="S28" i="34"/>
  <c r="S34" i="24"/>
  <c r="W34" i="24"/>
  <c r="W33" i="30"/>
  <c r="S33" i="30"/>
  <c r="S55" i="28"/>
  <c r="W55" i="28"/>
  <c r="W40" i="34"/>
  <c r="S40" i="34"/>
  <c r="S47" i="28"/>
  <c r="W47" i="28"/>
  <c r="W29" i="25"/>
  <c r="S29" i="25"/>
  <c r="W36" i="28"/>
  <c r="S36" i="28"/>
  <c r="S56" i="38"/>
  <c r="W56" i="38"/>
  <c r="W36" i="32"/>
  <c r="S36" i="32"/>
  <c r="S49" i="28"/>
  <c r="W49" i="28"/>
  <c r="S37" i="24"/>
  <c r="W37" i="24"/>
  <c r="W52" i="25"/>
  <c r="S52" i="25"/>
  <c r="W64" i="28"/>
  <c r="S64" i="28"/>
  <c r="W31" i="34"/>
  <c r="S31" i="34"/>
  <c r="S29" i="28"/>
  <c r="W29" i="28"/>
  <c r="W47" i="30"/>
  <c r="S47" i="30"/>
  <c r="W46" i="30"/>
  <c r="S46" i="30"/>
  <c r="S61" i="28"/>
  <c r="W61" i="28"/>
  <c r="S68" i="32"/>
  <c r="W68" i="32"/>
  <c r="W42" i="32"/>
  <c r="S42" i="32"/>
  <c r="W30" i="25"/>
  <c r="S30" i="25"/>
  <c r="W30" i="28"/>
  <c r="S30" i="28"/>
  <c r="S28" i="38"/>
  <c r="W28" i="38"/>
  <c r="W33" i="28"/>
  <c r="S33" i="28"/>
  <c r="W33" i="24"/>
  <c r="S33" i="24"/>
  <c r="S38" i="25"/>
  <c r="W38" i="25"/>
  <c r="S41" i="34"/>
  <c r="W41" i="34"/>
  <c r="S48" i="30"/>
  <c r="W48" i="30"/>
  <c r="W53" i="25"/>
  <c r="S53" i="25"/>
  <c r="S27" i="32"/>
  <c r="W27" i="32"/>
  <c r="W35" i="25"/>
  <c r="S35" i="25"/>
  <c r="S31" i="25"/>
  <c r="W31" i="25"/>
  <c r="W30" i="30"/>
  <c r="S30" i="30"/>
  <c r="S40" i="24"/>
  <c r="W40" i="24"/>
  <c r="S41" i="24"/>
  <c r="W41" i="24"/>
  <c r="W37" i="38"/>
  <c r="S37" i="38"/>
  <c r="W45" i="25"/>
  <c r="S45" i="25"/>
  <c r="S65" i="28"/>
  <c r="W65" i="28"/>
  <c r="S45" i="30"/>
  <c r="W45" i="30"/>
  <c r="S58" i="25"/>
  <c r="W58" i="25"/>
  <c r="S48" i="32"/>
  <c r="W48" i="32"/>
  <c r="W48" i="28"/>
  <c r="S48" i="28"/>
  <c r="S53" i="30"/>
  <c r="W53" i="30"/>
  <c r="S37" i="30"/>
  <c r="W37" i="30"/>
  <c r="W66" i="28"/>
  <c r="S66" i="28"/>
  <c r="S49" i="32"/>
  <c r="W49" i="32"/>
  <c r="S42" i="30"/>
  <c r="W42" i="30"/>
  <c r="S36" i="25"/>
  <c r="W36" i="25"/>
  <c r="S63" i="28"/>
  <c r="W63" i="28"/>
  <c r="S60" i="25"/>
  <c r="W60" i="25"/>
  <c r="S27" i="38"/>
  <c r="W27" i="38"/>
  <c r="W44" i="38"/>
  <c r="S44" i="38"/>
  <c r="S46" i="24"/>
  <c r="W46" i="24"/>
  <c r="S51" i="25"/>
  <c r="W51" i="25"/>
  <c r="S61" i="30"/>
  <c r="W61" i="30"/>
  <c r="S62" i="28"/>
  <c r="W62" i="28"/>
  <c r="S61" i="25"/>
  <c r="W61" i="25"/>
  <c r="W54" i="25"/>
  <c r="S54" i="25"/>
  <c r="W52" i="28"/>
  <c r="S52" i="28"/>
  <c r="S27" i="24"/>
  <c r="W27" i="24"/>
  <c r="S61" i="32"/>
  <c r="W61" i="32"/>
  <c r="S52" i="32"/>
  <c r="W52" i="32"/>
  <c r="W56" i="32"/>
  <c r="S56" i="32"/>
  <c r="W31" i="32"/>
  <c r="S31" i="32"/>
  <c r="W28" i="28"/>
  <c r="S28" i="28"/>
  <c r="S42" i="38"/>
  <c r="W42" i="38"/>
  <c r="S58" i="38"/>
  <c r="W58" i="38"/>
  <c r="S28" i="40"/>
  <c r="S34" i="40"/>
  <c r="S27" i="40"/>
  <c r="X28" i="40"/>
  <c r="X34" i="40"/>
  <c r="X27" i="40"/>
  <c r="S48" i="34"/>
  <c r="W48" i="34"/>
  <c r="S47" i="34"/>
  <c r="W47" i="34"/>
  <c r="S45" i="34"/>
  <c r="W45" i="34"/>
  <c r="S60" i="34"/>
  <c r="W60" i="34"/>
  <c r="W50" i="34"/>
  <c r="S50" i="34"/>
  <c r="W54" i="34"/>
  <c r="S54" i="34"/>
  <c r="S58" i="34"/>
  <c r="W58" i="34"/>
  <c r="S61" i="34"/>
  <c r="W61" i="34"/>
  <c r="S62" i="34"/>
  <c r="W62" i="34"/>
  <c r="W49" i="34"/>
  <c r="S49" i="34"/>
  <c r="W63" i="34"/>
  <c r="S63" i="34"/>
  <c r="W53" i="34"/>
  <c r="S53" i="34"/>
  <c r="W55" i="34"/>
  <c r="S55" i="34"/>
  <c r="S46" i="34"/>
  <c r="W46" i="34"/>
  <c r="S59" i="34"/>
  <c r="W59" i="34"/>
  <c r="M48" i="38"/>
  <c r="M43" i="38"/>
  <c r="M40" i="38"/>
  <c r="M28" i="38"/>
  <c r="O21" i="32"/>
  <c r="O21" i="30"/>
  <c r="O21" i="24"/>
  <c r="O21" i="25"/>
  <c r="O21" i="40"/>
  <c r="O21" i="34"/>
  <c r="O21" i="28"/>
  <c r="O21" i="38"/>
  <c r="O21" i="36"/>
  <c r="M69" i="36"/>
  <c r="M68" i="36"/>
  <c r="M70" i="36"/>
  <c r="M34" i="40"/>
  <c r="W34" i="40" s="1"/>
  <c r="M71" i="36"/>
  <c r="M72" i="36"/>
  <c r="M58" i="38"/>
  <c r="M85" i="22"/>
  <c r="M33" i="24"/>
  <c r="M27" i="34"/>
  <c r="M31" i="40"/>
  <c r="W31" i="40" s="1"/>
  <c r="M34" i="28"/>
  <c r="M59" i="36"/>
  <c r="M53" i="32"/>
  <c r="M64" i="40"/>
  <c r="W64" i="40" s="1"/>
  <c r="M35" i="25"/>
  <c r="M49" i="28"/>
  <c r="M56" i="32"/>
  <c r="M54" i="34"/>
  <c r="M42" i="38"/>
  <c r="M44" i="38"/>
  <c r="M37" i="25"/>
  <c r="M27" i="30"/>
  <c r="M31" i="38"/>
  <c r="M64" i="36"/>
  <c r="M47" i="25"/>
  <c r="M59" i="25"/>
  <c r="M43" i="28"/>
  <c r="M39" i="28"/>
  <c r="M47" i="30"/>
  <c r="M60" i="40"/>
  <c r="W60" i="40" s="1"/>
  <c r="M59" i="32"/>
  <c r="M47" i="28"/>
  <c r="M41" i="36"/>
  <c r="M42" i="34"/>
  <c r="M60" i="28"/>
  <c r="M48" i="30"/>
  <c r="M27" i="24"/>
  <c r="M62" i="34"/>
  <c r="M59" i="34"/>
  <c r="M37" i="30"/>
  <c r="M55" i="32"/>
  <c r="M42" i="30"/>
  <c r="M44" i="25"/>
  <c r="M28" i="30"/>
  <c r="M41" i="38"/>
  <c r="M53" i="34"/>
  <c r="M60" i="30"/>
  <c r="M29" i="40"/>
  <c r="W29" i="40" s="1"/>
  <c r="M33" i="36"/>
  <c r="M30" i="40"/>
  <c r="W30" i="40" s="1"/>
  <c r="M34" i="30"/>
  <c r="M63" i="32"/>
  <c r="M27" i="32"/>
  <c r="M37" i="40"/>
  <c r="W37" i="40" s="1"/>
  <c r="M49" i="34"/>
  <c r="M28" i="25"/>
  <c r="M31" i="32"/>
  <c r="M37" i="34"/>
  <c r="M29" i="25"/>
  <c r="M61" i="40"/>
  <c r="W61" i="40" s="1"/>
  <c r="M61" i="30"/>
  <c r="M46" i="36"/>
  <c r="M39" i="36"/>
  <c r="M61" i="34"/>
  <c r="M65" i="28"/>
  <c r="M54" i="30"/>
  <c r="M43" i="24"/>
  <c r="M40" i="24"/>
  <c r="M56" i="36"/>
  <c r="M30" i="34"/>
  <c r="M49" i="32"/>
  <c r="M41" i="28"/>
  <c r="M42" i="24"/>
  <c r="M55" i="38"/>
  <c r="M32" i="40"/>
  <c r="W32" i="40" s="1"/>
  <c r="M27" i="25"/>
  <c r="M34" i="36"/>
  <c r="M38" i="24"/>
  <c r="M29" i="28"/>
  <c r="M50" i="38"/>
  <c r="M31" i="25"/>
  <c r="M50" i="36"/>
  <c r="M62" i="28"/>
  <c r="M29" i="30"/>
  <c r="M43" i="32"/>
  <c r="M39" i="32"/>
  <c r="M30" i="30"/>
  <c r="M55" i="34"/>
  <c r="M61" i="28"/>
  <c r="M28" i="32"/>
  <c r="M40" i="25"/>
  <c r="M42" i="28"/>
  <c r="M68" i="40"/>
  <c r="W68" i="40" s="1"/>
  <c r="M62" i="36"/>
  <c r="M63" i="34"/>
  <c r="M61" i="32"/>
  <c r="M52" i="32"/>
  <c r="M37" i="24"/>
  <c r="M60" i="34"/>
  <c r="M29" i="24"/>
  <c r="M58" i="25"/>
  <c r="M29" i="34"/>
  <c r="M42" i="36"/>
  <c r="M62" i="32"/>
  <c r="M40" i="36"/>
  <c r="M58" i="30"/>
  <c r="M63" i="25"/>
  <c r="M34" i="24"/>
  <c r="M57" i="40"/>
  <c r="W57" i="40" s="1"/>
  <c r="M55" i="40"/>
  <c r="W55" i="40" s="1"/>
  <c r="M35" i="34"/>
  <c r="M45" i="30"/>
  <c r="M58" i="34"/>
  <c r="M41" i="24"/>
  <c r="M56" i="40"/>
  <c r="W56" i="40" s="1"/>
  <c r="M35" i="32"/>
  <c r="M32" i="34"/>
  <c r="M44" i="40"/>
  <c r="W44" i="40" s="1"/>
  <c r="M28" i="24"/>
  <c r="M49" i="40"/>
  <c r="W49" i="40" s="1"/>
  <c r="M56" i="38"/>
  <c r="M69" i="40"/>
  <c r="W69" i="40" s="1"/>
  <c r="M63" i="40"/>
  <c r="W63" i="40" s="1"/>
  <c r="M30" i="28"/>
  <c r="M57" i="25"/>
  <c r="M62" i="30"/>
  <c r="M67" i="32"/>
  <c r="M46" i="24"/>
  <c r="M35" i="36"/>
  <c r="M52" i="24"/>
  <c r="M41" i="30"/>
  <c r="M45" i="25"/>
  <c r="M31" i="34"/>
  <c r="M40" i="40"/>
  <c r="W40" i="40" s="1"/>
  <c r="M66" i="32"/>
  <c r="M40" i="34"/>
  <c r="M31" i="36"/>
  <c r="M54" i="25"/>
  <c r="M47" i="40"/>
  <c r="W47" i="40" s="1"/>
  <c r="M58" i="36"/>
  <c r="M46" i="34"/>
  <c r="M54" i="28"/>
  <c r="M27" i="36"/>
  <c r="M36" i="30"/>
  <c r="M46" i="40"/>
  <c r="W46" i="40" s="1"/>
  <c r="M46" i="32"/>
  <c r="M56" i="28"/>
  <c r="M30" i="25"/>
  <c r="M36" i="32"/>
  <c r="M34" i="32"/>
  <c r="M52" i="30"/>
  <c r="M32" i="32"/>
  <c r="M57" i="38"/>
  <c r="M32" i="24"/>
  <c r="M53" i="38"/>
  <c r="M46" i="30"/>
  <c r="M39" i="25"/>
  <c r="M36" i="38"/>
  <c r="M46" i="28"/>
  <c r="M50" i="40"/>
  <c r="W50" i="40" s="1"/>
  <c r="M55" i="28"/>
  <c r="M33" i="32"/>
  <c r="M28" i="36"/>
  <c r="M57" i="36"/>
  <c r="M36" i="36"/>
  <c r="M41" i="34"/>
  <c r="M53" i="30"/>
  <c r="M50" i="24"/>
  <c r="M42" i="32"/>
  <c r="M47" i="24"/>
  <c r="M53" i="36"/>
  <c r="M41" i="32"/>
  <c r="M63" i="28"/>
  <c r="M46" i="25"/>
  <c r="M65" i="40"/>
  <c r="W65" i="40" s="1"/>
  <c r="M36" i="34"/>
  <c r="M28" i="28"/>
  <c r="M51" i="25"/>
  <c r="M38" i="40"/>
  <c r="W38" i="40" s="1"/>
  <c r="M37" i="38"/>
  <c r="M48" i="34"/>
  <c r="M49" i="36"/>
  <c r="M60" i="32"/>
  <c r="M48" i="36"/>
  <c r="M71" i="40"/>
  <c r="W71" i="40" s="1"/>
  <c r="M45" i="34"/>
  <c r="M55" i="30"/>
  <c r="M47" i="32"/>
  <c r="M52" i="28"/>
  <c r="M27" i="40"/>
  <c r="W27" i="40" s="1"/>
  <c r="M57" i="28"/>
  <c r="M54" i="36"/>
  <c r="M53" i="25"/>
  <c r="M49" i="30"/>
  <c r="M34" i="25"/>
  <c r="M35" i="28"/>
  <c r="M45" i="40"/>
  <c r="W45" i="40" s="1"/>
  <c r="M27" i="28"/>
  <c r="M60" i="25"/>
  <c r="M38" i="25"/>
  <c r="M33" i="28"/>
  <c r="M33" i="40"/>
  <c r="W33" i="40" s="1"/>
  <c r="M47" i="34"/>
  <c r="M64" i="28"/>
  <c r="M39" i="40"/>
  <c r="W39" i="40" s="1"/>
  <c r="M28" i="34"/>
  <c r="M40" i="28"/>
  <c r="M65" i="36"/>
  <c r="M62" i="25"/>
  <c r="M48" i="28"/>
  <c r="M70" i="40"/>
  <c r="W70" i="40" s="1"/>
  <c r="M36" i="28"/>
  <c r="M48" i="40"/>
  <c r="W48" i="40" s="1"/>
  <c r="M40" i="32"/>
  <c r="M59" i="30"/>
  <c r="M36" i="25"/>
  <c r="M43" i="25"/>
  <c r="M52" i="25"/>
  <c r="M38" i="30"/>
  <c r="M27" i="38"/>
  <c r="M43" i="36"/>
  <c r="M50" i="25"/>
  <c r="M54" i="40"/>
  <c r="W54" i="40" s="1"/>
  <c r="M32" i="36"/>
  <c r="M62" i="40"/>
  <c r="W62" i="40" s="1"/>
  <c r="M51" i="24"/>
  <c r="M53" i="40"/>
  <c r="W53" i="40" s="1"/>
  <c r="M55" i="36"/>
  <c r="M63" i="36"/>
  <c r="M35" i="30"/>
  <c r="M33" i="30"/>
  <c r="M50" i="34"/>
  <c r="M61" i="25"/>
  <c r="M47" i="36"/>
  <c r="M39" i="24"/>
  <c r="M68" i="32"/>
  <c r="M48" i="32"/>
  <c r="M53" i="28"/>
  <c r="M66" i="28"/>
  <c r="M54" i="32"/>
  <c r="M41" i="40"/>
  <c r="W41" i="40" s="1"/>
  <c r="M28" i="40"/>
  <c r="W28" i="40" s="1"/>
  <c r="D74" i="39"/>
  <c r="E73" i="39"/>
  <c r="S77" i="22" l="1"/>
  <c r="S44" i="36"/>
  <c r="AA11" i="36" s="1"/>
  <c r="S51" i="38"/>
  <c r="AA12" i="38" s="1"/>
  <c r="S66" i="40"/>
  <c r="S58" i="40"/>
  <c r="S51" i="40"/>
  <c r="S42" i="40"/>
  <c r="S25" i="40"/>
  <c r="S35" i="40"/>
  <c r="AB16" i="40"/>
  <c r="V102" i="67" s="1"/>
  <c r="S56" i="34"/>
  <c r="S51" i="34"/>
  <c r="S43" i="34"/>
  <c r="S38" i="34"/>
  <c r="AA16" i="34"/>
  <c r="V85" i="67" s="1"/>
  <c r="S33" i="34"/>
  <c r="S25" i="34"/>
  <c r="S66" i="36"/>
  <c r="AA14" i="36" s="1"/>
  <c r="S60" i="36"/>
  <c r="AA13" i="36" s="1"/>
  <c r="S51" i="36"/>
  <c r="AA12" i="36" s="1"/>
  <c r="S37" i="36"/>
  <c r="AA10" i="36" s="1"/>
  <c r="S29" i="36"/>
  <c r="S25" i="36"/>
  <c r="AA8" i="36" s="1"/>
  <c r="S46" i="38"/>
  <c r="AA11" i="38" s="1"/>
  <c r="S38" i="38"/>
  <c r="AA10" i="38" s="1"/>
  <c r="S33" i="38"/>
  <c r="AA9" i="38" s="1"/>
  <c r="S25" i="38"/>
  <c r="AA8" i="38" s="1"/>
  <c r="S64" i="32"/>
  <c r="S57" i="32"/>
  <c r="S50" i="32"/>
  <c r="S44" i="32"/>
  <c r="AA17" i="32"/>
  <c r="V70" i="67" s="1"/>
  <c r="S37" i="32"/>
  <c r="S29" i="32"/>
  <c r="S25" i="32"/>
  <c r="S56" i="30"/>
  <c r="S50" i="30"/>
  <c r="S43" i="30"/>
  <c r="S39" i="30"/>
  <c r="S31" i="30"/>
  <c r="S58" i="28"/>
  <c r="AA13" i="28" s="1"/>
  <c r="V52" i="67" s="1"/>
  <c r="S50" i="28"/>
  <c r="AA12" i="28" s="1"/>
  <c r="S44" i="28"/>
  <c r="AA11" i="28" s="1"/>
  <c r="V50" i="67" s="1"/>
  <c r="S37" i="28"/>
  <c r="AA10" i="28" s="1"/>
  <c r="S31" i="28"/>
  <c r="AA9" i="28" s="1"/>
  <c r="AA16" i="28"/>
  <c r="V53" i="67" s="1"/>
  <c r="S25" i="28"/>
  <c r="AA8" i="28" s="1"/>
  <c r="V47" i="67" s="1"/>
  <c r="S55" i="25"/>
  <c r="AA12" i="25" s="1"/>
  <c r="V44" i="67" s="1"/>
  <c r="S48" i="25"/>
  <c r="AA11" i="25" s="1"/>
  <c r="V43" i="67" s="1"/>
  <c r="S41" i="25"/>
  <c r="AA10" i="25" s="1"/>
  <c r="V42" i="67" s="1"/>
  <c r="S32" i="25"/>
  <c r="AA9" i="25" s="1"/>
  <c r="AA15" i="25"/>
  <c r="V45" i="67" s="1"/>
  <c r="S25" i="25"/>
  <c r="AA8" i="25" s="1"/>
  <c r="V40" i="67" s="1"/>
  <c r="S48" i="24"/>
  <c r="AA12" i="24" s="1"/>
  <c r="V37" i="67" s="1"/>
  <c r="S35" i="24"/>
  <c r="AA10" i="24" s="1"/>
  <c r="AA17" i="36"/>
  <c r="V94" i="67" s="1"/>
  <c r="AA15" i="38"/>
  <c r="V77" i="67" s="1"/>
  <c r="AA15" i="24"/>
  <c r="V38" i="67" s="1"/>
  <c r="AA16" i="30"/>
  <c r="V61" i="67" s="1"/>
  <c r="AA17" i="22"/>
  <c r="V31" i="67" s="1"/>
  <c r="S25" i="30"/>
  <c r="S25" i="24"/>
  <c r="AA8" i="24" s="1"/>
  <c r="V33" i="67" s="1"/>
  <c r="S30" i="24"/>
  <c r="AA9" i="24" s="1"/>
  <c r="S44" i="24"/>
  <c r="AA11" i="24" s="1"/>
  <c r="V36" i="67" s="1"/>
  <c r="E74" i="39"/>
  <c r="D75" i="39"/>
  <c r="V87" i="67" l="1"/>
  <c r="V48" i="67"/>
  <c r="V89" i="67"/>
  <c r="V49" i="67"/>
  <c r="V91" i="67"/>
  <c r="V92" i="67"/>
  <c r="V51" i="67"/>
  <c r="V93" i="67"/>
  <c r="V34" i="67"/>
  <c r="V41" i="67"/>
  <c r="V72" i="67"/>
  <c r="V76" i="67"/>
  <c r="V75" i="67"/>
  <c r="V35" i="67"/>
  <c r="V73" i="67"/>
  <c r="V90" i="67"/>
  <c r="V74" i="67"/>
  <c r="H8" i="12"/>
  <c r="H9" i="12"/>
  <c r="H10" i="12"/>
  <c r="H11" i="12"/>
  <c r="H12" i="12"/>
  <c r="H13" i="12"/>
  <c r="H15" i="12"/>
  <c r="H17" i="12"/>
  <c r="H16" i="12"/>
  <c r="H14" i="12"/>
  <c r="AA9" i="36"/>
  <c r="D76" i="39"/>
  <c r="E75" i="39"/>
  <c r="V88" i="67" l="1"/>
  <c r="D77" i="39"/>
  <c r="E76" i="39"/>
  <c r="D78" i="39" l="1"/>
  <c r="E77" i="39"/>
  <c r="D79" i="39" l="1"/>
  <c r="E78" i="39"/>
  <c r="D80" i="39" l="1"/>
  <c r="E79" i="39"/>
  <c r="D81" i="39" l="1"/>
  <c r="E80" i="39"/>
  <c r="D82" i="39" l="1"/>
  <c r="E81" i="39"/>
  <c r="D83" i="39" l="1"/>
  <c r="E82" i="39"/>
  <c r="E83" i="39" l="1"/>
  <c r="D84" i="39"/>
  <c r="E84" i="39" s="1"/>
  <c r="D87" i="39"/>
  <c r="D88" i="39" l="1"/>
  <c r="E87" i="39"/>
  <c r="D89" i="39" l="1"/>
  <c r="E88" i="39"/>
  <c r="D90" i="39" l="1"/>
  <c r="E89" i="39"/>
  <c r="E90" i="39" l="1"/>
  <c r="D91" i="39"/>
  <c r="D92" i="39" l="1"/>
  <c r="E91" i="39"/>
  <c r="D93" i="39" l="1"/>
  <c r="E92" i="39"/>
  <c r="D94" i="39" l="1"/>
  <c r="E93" i="39"/>
  <c r="D95" i="39" l="1"/>
  <c r="E94" i="39"/>
  <c r="D96" i="39" l="1"/>
  <c r="E95" i="39"/>
  <c r="D97" i="39" l="1"/>
  <c r="E96" i="39"/>
  <c r="D98" i="39" l="1"/>
  <c r="E97" i="39"/>
  <c r="D99" i="39" l="1"/>
  <c r="E98" i="39"/>
  <c r="D103" i="39" l="1"/>
  <c r="D100" i="39"/>
  <c r="E100" i="39" s="1"/>
  <c r="E99" i="39"/>
  <c r="E103" i="39" l="1"/>
  <c r="D104" i="39"/>
  <c r="D105" i="39" l="1"/>
  <c r="E104" i="39"/>
  <c r="D106" i="39" l="1"/>
  <c r="E105" i="39"/>
  <c r="D107" i="39" l="1"/>
  <c r="E106" i="39"/>
  <c r="D108" i="39" l="1"/>
  <c r="E107" i="39"/>
  <c r="D109" i="39" l="1"/>
  <c r="E108" i="39"/>
  <c r="D110" i="39" l="1"/>
  <c r="E109" i="39"/>
  <c r="D111" i="39" l="1"/>
  <c r="E110" i="39"/>
  <c r="D112" i="39" l="1"/>
  <c r="E111" i="39"/>
  <c r="D113" i="39" l="1"/>
  <c r="E112" i="39"/>
  <c r="E113" i="39" l="1"/>
  <c r="D114" i="39"/>
  <c r="D115" i="39" l="1"/>
  <c r="E114" i="39"/>
  <c r="D116" i="39" l="1"/>
  <c r="E116" i="39" s="1"/>
  <c r="E115" i="39"/>
  <c r="D28" i="1" l="1"/>
  <c r="D29" i="1" s="1"/>
  <c r="N27" i="1" l="1"/>
  <c r="E28" i="1"/>
  <c r="N28" i="1" s="1"/>
  <c r="M27" i="1" l="1"/>
  <c r="G14" i="1"/>
  <c r="I28" i="1"/>
  <c r="K28" i="1"/>
  <c r="L28" i="1"/>
  <c r="G6" i="1"/>
  <c r="J28" i="1"/>
  <c r="G26" i="1"/>
  <c r="H28" i="1"/>
  <c r="G28" i="1"/>
  <c r="E29" i="1"/>
  <c r="D30" i="1"/>
  <c r="M28" i="1" l="1"/>
  <c r="K29" i="1"/>
  <c r="G7" i="1"/>
  <c r="L29" i="1"/>
  <c r="I29" i="1"/>
  <c r="J29" i="1"/>
  <c r="G15" i="1"/>
  <c r="G29" i="1"/>
  <c r="H29" i="1"/>
  <c r="D31" i="1"/>
  <c r="E30" i="1"/>
  <c r="N29" i="1"/>
  <c r="M29" i="1" l="1"/>
  <c r="G30" i="1"/>
  <c r="I30" i="1"/>
  <c r="H30" i="1"/>
  <c r="L30" i="1"/>
  <c r="G8" i="1"/>
  <c r="G16" i="1"/>
  <c r="J30" i="1"/>
  <c r="K30" i="1"/>
  <c r="N30" i="1"/>
  <c r="E31" i="1"/>
  <c r="D32" i="1"/>
  <c r="M30" i="1" l="1"/>
  <c r="J31" i="1"/>
  <c r="G31" i="1"/>
  <c r="I31" i="1"/>
  <c r="K31" i="1"/>
  <c r="G17" i="1"/>
  <c r="L31" i="1"/>
  <c r="H31" i="1"/>
  <c r="G9" i="1"/>
  <c r="N31" i="1"/>
  <c r="D33" i="1"/>
  <c r="E33" i="1" s="1"/>
  <c r="D34" i="1"/>
  <c r="E32" i="1"/>
  <c r="M31" i="1" l="1"/>
  <c r="L33" i="1"/>
  <c r="G22" i="1"/>
  <c r="H33" i="1"/>
  <c r="I33" i="1"/>
  <c r="G33" i="1"/>
  <c r="J33" i="1"/>
  <c r="G11" i="1"/>
  <c r="K33" i="1"/>
  <c r="G32" i="1"/>
  <c r="I32" i="1"/>
  <c r="G10" i="1"/>
  <c r="G21" i="1"/>
  <c r="H32" i="1"/>
  <c r="K32" i="1"/>
  <c r="L32" i="1"/>
  <c r="J32" i="1"/>
  <c r="N33" i="1"/>
  <c r="N32" i="1"/>
  <c r="S29" i="1" s="1"/>
  <c r="D35" i="1"/>
  <c r="D36" i="1" s="1"/>
  <c r="S32" i="1" l="1"/>
  <c r="S30" i="1"/>
  <c r="S28" i="1"/>
  <c r="M33" i="1"/>
  <c r="S33" i="1"/>
  <c r="S27" i="1"/>
  <c r="S31" i="1"/>
  <c r="M32" i="1"/>
  <c r="E36" i="1"/>
  <c r="D37" i="1"/>
  <c r="I36" i="1" l="1"/>
  <c r="J36" i="1"/>
  <c r="H34" i="1"/>
  <c r="G34" i="1"/>
  <c r="K36" i="1"/>
  <c r="H36" i="1"/>
  <c r="L36" i="1"/>
  <c r="D38" i="1"/>
  <c r="E37" i="1"/>
  <c r="N36" i="1"/>
  <c r="M36" i="1" l="1"/>
  <c r="G35" i="1"/>
  <c r="J37" i="1"/>
  <c r="I37" i="1"/>
  <c r="K37" i="1"/>
  <c r="H37" i="1"/>
  <c r="L37" i="1"/>
  <c r="N37" i="1"/>
  <c r="E38" i="1"/>
  <c r="D39" i="1"/>
  <c r="M37" i="1" l="1"/>
  <c r="J38" i="1"/>
  <c r="I38" i="1"/>
  <c r="H38" i="1"/>
  <c r="K38" i="1"/>
  <c r="L38" i="1"/>
  <c r="E39" i="1"/>
  <c r="D40" i="1"/>
  <c r="N38" i="1"/>
  <c r="M38" i="1" l="1"/>
  <c r="J39" i="1"/>
  <c r="I39" i="1"/>
  <c r="L39" i="1"/>
  <c r="K39" i="1"/>
  <c r="H39" i="1"/>
  <c r="E40" i="1"/>
  <c r="D41" i="1"/>
  <c r="N39" i="1"/>
  <c r="M39" i="1" l="1"/>
  <c r="I40" i="1"/>
  <c r="K40" i="1"/>
  <c r="H40" i="1"/>
  <c r="L40" i="1"/>
  <c r="J40" i="1"/>
  <c r="D43" i="1"/>
  <c r="D42" i="1"/>
  <c r="E42" i="1" s="1"/>
  <c r="E41" i="1"/>
  <c r="N40" i="1"/>
  <c r="M40" i="1" l="1"/>
  <c r="J42" i="1"/>
  <c r="K42" i="1"/>
  <c r="I42" i="1"/>
  <c r="H42" i="1"/>
  <c r="L42" i="1"/>
  <c r="K41" i="1"/>
  <c r="I41" i="1"/>
  <c r="L41" i="1"/>
  <c r="J41" i="1"/>
  <c r="H41" i="1"/>
  <c r="N41" i="1"/>
  <c r="N42" i="1"/>
  <c r="D44" i="1"/>
  <c r="D45" i="1" s="1"/>
  <c r="S39" i="1" l="1"/>
  <c r="S40" i="1"/>
  <c r="M41" i="1"/>
  <c r="S41" i="1"/>
  <c r="S36" i="1"/>
  <c r="S38" i="1"/>
  <c r="S37" i="1"/>
  <c r="M42" i="1"/>
  <c r="S42" i="1"/>
  <c r="E45" i="1"/>
  <c r="D46" i="1"/>
  <c r="L45" i="1" l="1"/>
  <c r="J45" i="1"/>
  <c r="I45" i="1"/>
  <c r="G43" i="1"/>
  <c r="H45" i="1"/>
  <c r="K45" i="1"/>
  <c r="E46" i="1"/>
  <c r="D47" i="1"/>
  <c r="N45" i="1"/>
  <c r="M45" i="1" l="1"/>
  <c r="I46" i="1"/>
  <c r="H46" i="1"/>
  <c r="K46" i="1"/>
  <c r="J46" i="1"/>
  <c r="G44" i="1"/>
  <c r="L46" i="1"/>
  <c r="D49" i="1"/>
  <c r="D48" i="1"/>
  <c r="E48" i="1" s="1"/>
  <c r="E47" i="1"/>
  <c r="N46" i="1"/>
  <c r="M46" i="1" l="1"/>
  <c r="I47" i="1"/>
  <c r="J47" i="1"/>
  <c r="L47" i="1"/>
  <c r="H47" i="1"/>
  <c r="K47" i="1"/>
  <c r="K48" i="1"/>
  <c r="L48" i="1"/>
  <c r="J48" i="1"/>
  <c r="I48" i="1"/>
  <c r="H48" i="1"/>
  <c r="N47" i="1"/>
  <c r="N48" i="1"/>
  <c r="D50" i="1"/>
  <c r="S45" i="1" l="1"/>
  <c r="S46" i="1"/>
  <c r="M48" i="1"/>
  <c r="S48" i="1"/>
  <c r="M47" i="1"/>
  <c r="S47" i="1"/>
  <c r="D51" i="1"/>
  <c r="E51" i="1" l="1"/>
  <c r="N51" i="1" s="1"/>
  <c r="D52" i="1"/>
  <c r="E52" i="1" s="1"/>
  <c r="D53" i="1"/>
  <c r="K52" i="1" l="1"/>
  <c r="L52" i="1"/>
  <c r="G50" i="1"/>
  <c r="H52" i="1"/>
  <c r="J52" i="1"/>
  <c r="I52" i="1"/>
  <c r="I51" i="1"/>
  <c r="K51" i="1"/>
  <c r="H51" i="1"/>
  <c r="J51" i="1"/>
  <c r="G49" i="1"/>
  <c r="L51" i="1"/>
  <c r="M51" i="1"/>
  <c r="D54" i="1"/>
  <c r="E53" i="1"/>
  <c r="N52" i="1"/>
  <c r="J53" i="1" l="1"/>
  <c r="I53" i="1"/>
  <c r="L53" i="1"/>
  <c r="H53" i="1"/>
  <c r="K53" i="1"/>
  <c r="M52" i="1"/>
  <c r="N53" i="1"/>
  <c r="D55" i="1"/>
  <c r="E54" i="1"/>
  <c r="I54" i="1" l="1"/>
  <c r="K54" i="1"/>
  <c r="J54" i="1"/>
  <c r="H54" i="1"/>
  <c r="L54" i="1"/>
  <c r="M53" i="1"/>
  <c r="N54" i="1"/>
  <c r="D57" i="1"/>
  <c r="D56" i="1"/>
  <c r="E56" i="1" s="1"/>
  <c r="E55" i="1"/>
  <c r="N55" i="1" l="1"/>
  <c r="I55" i="1"/>
  <c r="J55" i="1"/>
  <c r="K55" i="1"/>
  <c r="H55" i="1"/>
  <c r="L55" i="1"/>
  <c r="N56" i="1"/>
  <c r="J56" i="1"/>
  <c r="K56" i="1"/>
  <c r="L56" i="1"/>
  <c r="H56" i="1"/>
  <c r="I56" i="1"/>
  <c r="M54" i="1"/>
  <c r="D58" i="1"/>
  <c r="D59" i="1" s="1"/>
  <c r="S53" i="1" l="1"/>
  <c r="S54" i="1"/>
  <c r="S52" i="1"/>
  <c r="S56" i="1"/>
  <c r="S55" i="1"/>
  <c r="M55" i="1"/>
  <c r="M56" i="1"/>
  <c r="D60" i="1"/>
  <c r="E59" i="1"/>
  <c r="I59" i="1" l="1"/>
  <c r="K59" i="1"/>
  <c r="J59" i="1"/>
  <c r="L59" i="1"/>
  <c r="G57" i="1"/>
  <c r="H59" i="1"/>
  <c r="N59" i="1"/>
  <c r="E60" i="1"/>
  <c r="D61" i="1"/>
  <c r="I60" i="1" l="1"/>
  <c r="J60" i="1"/>
  <c r="L60" i="1"/>
  <c r="G58" i="1"/>
  <c r="K60" i="1"/>
  <c r="H60" i="1"/>
  <c r="M59" i="1"/>
  <c r="D62" i="1"/>
  <c r="E61" i="1"/>
  <c r="N60" i="1"/>
  <c r="L61" i="1" l="1"/>
  <c r="H61" i="1"/>
  <c r="I61" i="1"/>
  <c r="J61" i="1"/>
  <c r="K61" i="1"/>
  <c r="M60" i="1"/>
  <c r="N61" i="1"/>
  <c r="E62" i="1"/>
  <c r="D63" i="1"/>
  <c r="L62" i="1" l="1"/>
  <c r="J62" i="1"/>
  <c r="K62" i="1"/>
  <c r="I62" i="1"/>
  <c r="H62" i="1"/>
  <c r="E63" i="1"/>
  <c r="N63" i="1" s="1"/>
  <c r="M61" i="1"/>
  <c r="N62" i="1"/>
  <c r="W53" i="1" l="1"/>
  <c r="W39" i="1"/>
  <c r="W29" i="1"/>
  <c r="O20" i="1"/>
  <c r="S61" i="1"/>
  <c r="W52" i="1"/>
  <c r="W40" i="1"/>
  <c r="W61" i="1"/>
  <c r="S59" i="1"/>
  <c r="W60" i="1"/>
  <c r="S60" i="1"/>
  <c r="W59" i="1"/>
  <c r="W54" i="1"/>
  <c r="W56" i="1"/>
  <c r="W55" i="1"/>
  <c r="W48" i="1"/>
  <c r="S51" i="1"/>
  <c r="S49" i="1" s="1"/>
  <c r="AA11" i="1" s="1"/>
  <c r="V11" i="67" s="1"/>
  <c r="W51" i="1"/>
  <c r="W47" i="1"/>
  <c r="W45" i="1"/>
  <c r="W46" i="1"/>
  <c r="S62" i="1"/>
  <c r="W62" i="1"/>
  <c r="S63" i="1"/>
  <c r="W63" i="1"/>
  <c r="W27" i="1"/>
  <c r="W28" i="1"/>
  <c r="W31" i="1"/>
  <c r="W33" i="1"/>
  <c r="W30" i="1"/>
  <c r="W37" i="1"/>
  <c r="W32" i="1"/>
  <c r="W36" i="1"/>
  <c r="W38" i="1"/>
  <c r="W41" i="1"/>
  <c r="W42" i="1"/>
  <c r="I63" i="1"/>
  <c r="J63" i="1"/>
  <c r="K63" i="1"/>
  <c r="L63" i="1"/>
  <c r="H63" i="1"/>
  <c r="S43" i="1"/>
  <c r="AA10" i="1" s="1"/>
  <c r="V10" i="67" s="1"/>
  <c r="S34" i="1"/>
  <c r="AA9" i="1" s="1"/>
  <c r="S25" i="1"/>
  <c r="AA8" i="1" s="1"/>
  <c r="V8" i="67" s="1"/>
  <c r="M62" i="1"/>
  <c r="M63" i="1"/>
  <c r="O21" i="1"/>
  <c r="V9" i="67" l="1"/>
  <c r="AA15" i="1"/>
  <c r="V13" i="67" s="1"/>
  <c r="S57" i="1"/>
  <c r="AA12" i="1" s="1"/>
  <c r="V12" i="67" s="1"/>
  <c r="H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tc={5DCC42A8-99DD-44BF-87FD-3C19142D14A3}</author>
  </authors>
  <commentList>
    <comment ref="J105" authorId="0" shapeId="0" xr:uid="{5DCC42A8-99DD-44BF-87FD-3C19142D14A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Erreur en page 47 : pas écrit dans le résumé</t>
      </text>
    </comment>
  </commentList>
</comments>
</file>

<file path=xl/sharedStrings.xml><?xml version="1.0" encoding="utf-8"?>
<sst xmlns="http://schemas.openxmlformats.org/spreadsheetml/2006/main" count="6447" uniqueCount="1128">
  <si>
    <t>Synthèse d'évaluation</t>
  </si>
  <si>
    <t>ENJEUX POUR L’ENTREPRISE</t>
  </si>
  <si>
    <t>Bonne pratique</t>
  </si>
  <si>
    <t>C1</t>
  </si>
  <si>
    <t>C2</t>
  </si>
  <si>
    <t>C3</t>
  </si>
  <si>
    <t>C4</t>
  </si>
  <si>
    <t>C5</t>
  </si>
  <si>
    <t>C6</t>
  </si>
  <si>
    <t>C7</t>
  </si>
  <si>
    <t>Evaluation BP</t>
  </si>
  <si>
    <t xml:space="preserve">Commentaire(s) </t>
  </si>
  <si>
    <t xml:space="preserve">Evaluation maturité </t>
  </si>
  <si>
    <t>% de complétude</t>
  </si>
  <si>
    <t>Légende</t>
  </si>
  <si>
    <t>Exigences non respectées</t>
  </si>
  <si>
    <t>N/A</t>
  </si>
  <si>
    <t>Exigences partiellement respectées</t>
  </si>
  <si>
    <t>Exigences respectées</t>
  </si>
  <si>
    <t>NE : Non évalué</t>
  </si>
  <si>
    <t>MENACES POUR L’ENTREPRISE</t>
  </si>
  <si>
    <t>Niveau de maturité</t>
  </si>
  <si>
    <t>N1</t>
  </si>
  <si>
    <t>N2</t>
  </si>
  <si>
    <t>N3</t>
  </si>
  <si>
    <t>N4</t>
  </si>
  <si>
    <t>N5</t>
  </si>
  <si>
    <t>Critère 1</t>
  </si>
  <si>
    <t>Critère 2</t>
  </si>
  <si>
    <t>La DSI a mis en place un dispositif de veille technologique.</t>
  </si>
  <si>
    <t>Critère 3</t>
  </si>
  <si>
    <t>Les résultats de la veille sont partagés avec les responsables impliqués dans l’élaboration de la stratégie de l’organisation.</t>
  </si>
  <si>
    <t>Critère 4</t>
  </si>
  <si>
    <t>Critère 5</t>
  </si>
  <si>
    <t>Critère 6</t>
  </si>
  <si>
    <t>Le volet numérique est cohérent et intégré au plan stratégique de l’organisation au même titre que ceux des autres fonctions de l’organisation.</t>
  </si>
  <si>
    <t>Critère 7</t>
  </si>
  <si>
    <t>Les sujets de transformation numérique bénéficient d’un sponsoring au plus haut niveau de l’organisation.</t>
  </si>
  <si>
    <t xml:space="preserve">Le volet numérique du plan stratégique intègre les cibles métiers et technologiques ainsi que la planification des ressources nécessaires à leur atteinte. </t>
  </si>
  <si>
    <t>Le volet numérique du plan stratégique de l'organisation précise les cibles métiers couvertes (processus, cartographie fonctionnelle) et les principaux impacts (organisation, compétences, technologies).</t>
  </si>
  <si>
    <t xml:space="preserve">La DSI détaille le volet numérique en termes d'applications, de projets à lancer et de technologies à développer. </t>
  </si>
  <si>
    <t>Le numérique figure dans les chapitres métiers du plan stratégique même s'il ne fait pas l’objet d’une approche globale ou d’un chapitre dédié</t>
  </si>
  <si>
    <t>Le volet numérique décrit les paliers d’évolution nécessaires pour atteindre les cibles définies, au regard des enjeux métiers et des contraintes d'exécution (calendrier et étapes de mise en œuvre).</t>
  </si>
  <si>
    <t>Le volet numérique précise les ressources requises (métiers et DSI, internes et externes, financières, compétences, humaines, technologies, etc.), nécessaires à l’atteinte de la cible.</t>
  </si>
  <si>
    <t xml:space="preserve">Les investissements découlant du volet numérique du plan stratégique de l’organisation sont mis en regard des bénéfices attendus par les métiers. </t>
  </si>
  <si>
    <t>Le volet numérique prend en compte les enjeux éthiques et de responsabilité sociétale et environnementale (RSE) définis par la stratégie de l’organisation. Les enjeux éthiques englobent l’éthique de conception, l’éthique des usages et l’éthique sociétale.</t>
  </si>
  <si>
    <t xml:space="preserve">L'organisation a défini clairement les objectifs attendus de la communication du volet numérique de son plan stratégique : partage, adhésion, mobilisation, transparence etc. </t>
  </si>
  <si>
    <t>La DSI a défini : les cibles visées par la communication (direction générale, directions métiers, responsables de la DSI, principaux acteurs impliqués dans le SI, collaborateurs de l’organisation, parties prenantes externes)ainsi que les moyens de communication (contenu, forme, média, etc.) permettant d’atteindre les cibles identifiées.</t>
  </si>
  <si>
    <t>La DSI met en œuvre et anime la communication définie selon les modalités les plus pertinentes.</t>
  </si>
  <si>
    <t>La DSI évalue l’efficacité de cette communication à l’aide d’indicateurs, d’enquêtes, de feedbacks et de sondages, afin de mesurer l’atteinte de objectifs initiaux.</t>
  </si>
  <si>
    <t xml:space="preserve">Des indicateurs financiers et non financiers sont définis afin de mesurer la contribution du numérique à la stratégie de l’organisation. </t>
  </si>
  <si>
    <t xml:space="preserve">La DSI a défini et fait valider des d’indicateurs de différentes natures, couvrant  l’ensemble des enjeux du volet numérique du plan stratégique. </t>
  </si>
  <si>
    <t>La DSI a défini ses propres indicateurs lui permettant de vérifier que les évolutions du SI contribuent à la stratégie de l'organisation.</t>
  </si>
  <si>
    <t>La DSI fait valider par la direction générale les indicateurs permettant de vérifier que les évolutions du SI contribuent à la stratégie de l'organisation.</t>
  </si>
  <si>
    <t>La DSI mesure chacun de ces indicateurs conformément à un mode opératoire formalisé (objectif, source, fréquence, calcul, etc.).</t>
  </si>
  <si>
    <t>La DSI analyse les résultats et les écarts par rapport aux objectifs afin de mettre en œuvre des actions préventives ou correctives dans une démarche d’amélioration continue.</t>
  </si>
  <si>
    <t>La DSI met à disposition de la direction générale un tableau de bord synthétisant les résultats de ces indicateurs et les actions correctives engagées ; la direction générale suit de façon régulière ces indicateurs, au même titre que ceux des autres fonctions stratégiques (telles que les finances, les RH, etc.).</t>
  </si>
  <si>
    <t>La direction générale de l’organisation assure le pilotage stratégique du numérique.</t>
  </si>
  <si>
    <t xml:space="preserve">Le rôle de l'instance de pilotage stratégique est défini et communiqué. Cette instance peut notamment valider le volet numérique du plan stratégique, rendre des arbitrages nécessaires et suivre la mise en œuvre de la stratégie. </t>
  </si>
  <si>
    <t>L’instance de pilotage stratégique regroupe les directeurs métiers, le DSI et un représentant de la direction général., Elle se réunit régulièrement, ses décisions sont communiquées et leur application est suivie</t>
  </si>
  <si>
    <t>L’instance de pilotage stratégique est articulée avec les instances de pilotage opérationnel organisées avec les directions métiers.</t>
  </si>
  <si>
    <t xml:space="preserve">La direction générale réévalue périodiquement le mode de fonctionnement et la performance de cette instance, et en adapte le cas échéant la composition ou le mandat en particulier lors d’évènements majeurs impactant la stratégie.  </t>
  </si>
  <si>
    <t>BP</t>
  </si>
  <si>
    <t>inclus</t>
  </si>
  <si>
    <t>hors programme</t>
  </si>
  <si>
    <t>Vecteur 1</t>
  </si>
  <si>
    <t>Vecteur 2</t>
  </si>
  <si>
    <t>Vecteur 3</t>
  </si>
  <si>
    <t>Vecteur 4</t>
  </si>
  <si>
    <t>Vecteur 5</t>
  </si>
  <si>
    <t>Vecteur 6</t>
  </si>
  <si>
    <t>Vecteur 7</t>
  </si>
  <si>
    <t>Vecteur 8</t>
  </si>
  <si>
    <t>Vecteur 9</t>
  </si>
  <si>
    <t>Vecteur 10</t>
  </si>
  <si>
    <t>Vecteur 11</t>
  </si>
  <si>
    <t>Vecteur 12</t>
  </si>
  <si>
    <t>NE</t>
  </si>
  <si>
    <t>Faible</t>
  </si>
  <si>
    <t>Insuffisant</t>
  </si>
  <si>
    <t>Satisfaisant</t>
  </si>
  <si>
    <t>Bon</t>
  </si>
  <si>
    <t>Evaluation</t>
  </si>
  <si>
    <t>Niv. de maturité</t>
  </si>
  <si>
    <t>Commentaire(s) de l'auditeur :</t>
  </si>
  <si>
    <t>Informations complémentaires pour l'auditeur :</t>
  </si>
  <si>
    <t>Libellé du document de référence :</t>
  </si>
  <si>
    <t>Fichier joint :</t>
  </si>
  <si>
    <t>•	 La DSI oriente les métiers et s'assure de la prise en compte des possibilités offertes par le numérique et des contraintes associées. 
• 	La DSI participe pleinement à l’élaboration du plan stratégique de l’organisation. Elle intervient dans la prise de décision sur les programmes stratégiques de l'organisation concernant la faisabilité technique, en donnant des ordres de grandeur en termes de délais et de coûts.</t>
  </si>
  <si>
    <t>• 	La DSI assure une veille technologique et numérique pour détecter les innovations et les risques afférents, elle travaille en collaboration avec les métiers afin de repérer les nouvelles opportunités d’évolution pour les processus et les produits et de créer de la valeur.</t>
  </si>
  <si>
    <t>• Ce volet numérique est élaboré conjointement avec les métiers, pour la dimension processus et la dimension produit, dans le cadre du processus de planification à moyen terme de l’organisation.
• La DSI propose des politiques architecturales et technologiques qui constituent des pré-requis pour les différents objectifs du plan stratégique de l’organisation. Les caractéristiques particulières de l’organisation (nouvelles offres de service, nouveaux marchés, croissance externe, interne ou internationale, acquisition ou recentrage, etc.) sont intégrées pour déterminer les axes majeurs de la stratégie numérique.
• Toutes les entités (Lignes de Services et/ou Géographiques) associent pleinement les responsables SI (centraux ou délocalisés) à leur processus d’élaboration de la stratégie.</t>
  </si>
  <si>
    <t>• Le volet numérique est intégré au plan stratégique de l’organisation dont la vocation est de coordonner les plans des différentes fonctions et d’allouer à chacune d’elles les ressources nécessaires.
• Les affectations budgétaires du plan numérique sont cohérentes avec la contribution attendue du SI au plan stratégique de l’organisation.</t>
  </si>
  <si>
    <r>
      <t>Preuve(s)</t>
    </r>
    <r>
      <rPr>
        <b/>
        <sz val="10"/>
        <rFont val="Aptos"/>
        <family val="2"/>
      </rPr>
      <t xml:space="preserve"> :</t>
    </r>
  </si>
  <si>
    <t>Vecteur</t>
  </si>
  <si>
    <t>Organisation</t>
  </si>
  <si>
    <t>RSE</t>
  </si>
  <si>
    <t>Architecture</t>
  </si>
  <si>
    <t>Portefeuille de projets</t>
  </si>
  <si>
    <t>Projets</t>
  </si>
  <si>
    <t>Fiche d'identité de la mission</t>
  </si>
  <si>
    <t>Nom de la société</t>
  </si>
  <si>
    <t>Secteur d'activité</t>
  </si>
  <si>
    <t>Evaluateur</t>
  </si>
  <si>
    <t>Questionnaire rempli le</t>
  </si>
  <si>
    <t>Personne(s) rencontrée(s)</t>
  </si>
  <si>
    <t>N° BP</t>
  </si>
  <si>
    <t>N° critère</t>
  </si>
  <si>
    <t>Description</t>
  </si>
  <si>
    <t>Communication</t>
  </si>
  <si>
    <t>N° Vecteur</t>
  </si>
  <si>
    <t>Indicateurs</t>
  </si>
  <si>
    <t>Pilotage</t>
  </si>
  <si>
    <t>Contenu Stratégique</t>
  </si>
  <si>
    <t>Enjeux</t>
  </si>
  <si>
    <t>Menace</t>
  </si>
  <si>
    <t>Anticiper les évolutions des technologies et des nouveaux usages au service de la performance et de la croissance.</t>
  </si>
  <si>
    <t>Assurer l'acculturation autour de l’innovation technologique et des usages au sein de l’organisation et auprès des instances décisionnelles.</t>
  </si>
  <si>
    <t>Intégrer les dimensions de responsabilité et d’éthique dans le processus d'innovation.</t>
  </si>
  <si>
    <t>Dégradation de l’image de l’organisation.</t>
  </si>
  <si>
    <t>Dépendance vis-à-vis de certains acteurs technologiques et perte de contrôle sur le SI (données, compétences, etc.).</t>
  </si>
  <si>
    <t>Innovation</t>
  </si>
  <si>
    <t>Favoriser et sécuriser la stratégie de l’organisation grâce aux possibilités offertes par le numérique.</t>
  </si>
  <si>
    <t>Aligner la stratégie de l’organisation avec les opportunités offertes par le numérique en identifiant et en priorisant les initiatives de transformation technologique permettant l’évolution des processus, services et produits.</t>
  </si>
  <si>
    <t>Assurer la cohérence entre les évolutions numériques et les enjeux stratégiques de l’organisation, en garantissant pérennité, robustesse et adaptabilité sur plusieurs horizons de temps.</t>
  </si>
  <si>
    <t>Perte de compétitivité due à une faible exploitation des opportunités technologiques.</t>
  </si>
  <si>
    <t>Perte de compétitivité due à une intégration insuffisante ou inadaptée des projets de transformation numérique.</t>
  </si>
  <si>
    <t>Désalignement des investissements numériques avec la stratégie de l’organisation.</t>
  </si>
  <si>
    <t>Mauvaise anticipation des vulnérabilités numériques de l’organisation.</t>
  </si>
  <si>
    <t>Vision Globale</t>
  </si>
  <si>
    <t xml:space="preserve">Gouvernance et cadre de référence </t>
  </si>
  <si>
    <t>Veille technologique</t>
  </si>
  <si>
    <t>Agilité de l'organisation</t>
  </si>
  <si>
    <t>Performance</t>
  </si>
  <si>
    <t>Une vision globale de l’innovation portée par la direction générale est diffusée au sein de l’organisation.</t>
  </si>
  <si>
    <t>Les efforts d'innovation sont encadrés par une politique d'innovation et une gouvernance adaptées.</t>
  </si>
  <si>
    <t>La veille est organisée pour éclairer les efforts d’innovation et la stratégie de l’organisation.</t>
  </si>
  <si>
    <t xml:space="preserve">L’organisation est structurée de façon à prendre en compte et à traiter les initiatives d’innovation de manière agile.  </t>
  </si>
  <si>
    <t>La performance du processus d'innovation fait l’objet d’un suivi dans une logique d'amélioration continue.</t>
  </si>
  <si>
    <t>L’innovation fait l’objet d’une communication clairement définie.</t>
  </si>
  <si>
    <t>La direction générale définit et communique sa vision de l’innovation, incluant son appétence face aux risques induits, au sein de l’organisation (y compris si nécessaire auprès des instances de gouvernance).</t>
  </si>
  <si>
    <t>La direction générale s’inscrit comme sponsor et garant de la culture d’innovation.</t>
  </si>
  <si>
    <t xml:space="preserve">L'organisation met en place un dispositif favorisant et encadrant les initiatives individuelles. </t>
  </si>
  <si>
    <t>Les activités de veille et d’innovation sont structurées au niveau de l’organisation.</t>
  </si>
  <si>
    <t>La politique d'innovation définit clairement les rôles et responsabilités.</t>
  </si>
  <si>
    <t xml:space="preserve">Une instance d’inspection est chargée de superviser et d'évaluer les risques, impacts et bénéfices des initiatives innovantes. Elle s'assure que ces initiatives sont conduites de façon responsable vis-à-vis de la direction et des guidelines technologiques d’organisation en architecture, sécurité et standards. </t>
  </si>
  <si>
    <t>L’analyse de l’efficacité du dispositif de veille et de mise en œuvre des innovations est en place.</t>
  </si>
  <si>
    <t>Il existe au sein de l’organisation  un réseau de veille numérique qui associe la DSI à d'autres fonctions métiers, pour suivre les tendances sur les plans technologiques, réglementaires, environnementaux, etc.</t>
  </si>
  <si>
    <t>Des actions sont organisées afin d’encourager les travaux en équipes mixtes métiers/filière SI : atelier d'idéation, travail collaboratif, démarche apprenante (test and learn). Les axes de veille sont définis et partagés avec les métiers et les actions sont communiquées et promues auprès des collaborateurs.</t>
  </si>
  <si>
    <t>Un espace innovation (par exemple un temps spécialement dédié) est accordé aux collaborateurs de façon exclusive pour les sujets d’innovation.</t>
  </si>
  <si>
    <t xml:space="preserve">La DSI a élargi son périmètre de veille à son écosystème, via la participation à des réseaux externes à l'organisation. </t>
  </si>
  <si>
    <t>L’organisation est en capacité de mobiliser les ressources nécessaires (financières, humaines et technologiques) afin de compléter les initiatives dans un délai adéquat.</t>
  </si>
  <si>
    <t>L’organisation implémente et maintient un processus d’innovation à l'état de l'art.</t>
  </si>
  <si>
    <t>Les processus juridiques, achats et RH sont anticipés afin de minimiser les temps d’exécution des initiatives d’innovation.</t>
  </si>
  <si>
    <t>L’innovation est prise en compte dans la gestion des ressources humaines et notamment à travers le plan de développement des compétences.</t>
  </si>
  <si>
    <t>L’organisation met en place et organise des partenariats avec son écosystème : établissements d’enseignement supérieur, incubateurs, pôles de compétitivité, associations, clubs, etc.</t>
  </si>
  <si>
    <t>Des critères d’évaluation de l’efficacité du processus d'innovation sont définis, en lien avec les besoins de performance de l’organisation.</t>
  </si>
  <si>
    <t>Une part significative du portefeuille des projets informatiques est porteuse d’innovation et cette part est régulièrement évaluée.</t>
  </si>
  <si>
    <t>Les différents critères d’évaluation font l’objet d’une revue par la direction générale.</t>
  </si>
  <si>
    <t>Les résultats de ces  évaluations donnent lieu à une évolution régulière du processus d’innovation visant à l'amélioration continue.</t>
  </si>
  <si>
    <t>Les enjeux et la population cible de la communication sur l'innovation sont explicitement définis. </t>
  </si>
  <si>
    <t>La communication de l’innovation est structurée selon un plan de communication interne et externe. Les actions sont relayées et les acteurs mis en avant. Cette communication est effectuée au niveau des services et des directions.</t>
  </si>
  <si>
    <t>Les progrès et résultats du processus d’innovation sont communiqués à l’organisation.</t>
  </si>
  <si>
    <t>L’impact de la communication sur la culture d’innovation de l’organisation est mesuré régulièrement.</t>
  </si>
  <si>
    <t>Lien avec le vecteur</t>
  </si>
  <si>
    <t xml:space="preserve"> </t>
  </si>
  <si>
    <t>Cadres standardisé de gestion des risques numériques</t>
  </si>
  <si>
    <t>Prendre en compte les risques numériques et la conformité dans les enjeux stratégiques, les processus métiers et les produits et services de l'organisation.</t>
  </si>
  <si>
    <t>Revue de performance des contrôles</t>
  </si>
  <si>
    <t>Gestion des risques cyber</t>
  </si>
  <si>
    <t xml:space="preserve">Protection  des infrastructures </t>
  </si>
  <si>
    <t>Résilience et continuité d'activité</t>
  </si>
  <si>
    <t>Protection des données</t>
  </si>
  <si>
    <t xml:space="preserve">L’organisation considère la gestion des risques numériques comme une composante essentielle de sa gouvernance et l’intègre dans sa communication. </t>
  </si>
  <si>
    <t>Le management a mis en place un dispositif de gestion des risques numériques et de contrôle interne couvrant l'ensemble des processus. Ce dispositif, documenté, repose sur une politique et une organisation dédiées à la gestion des risques, intégrant l’ensemble des processus critiques de l’organisation et s’articulant avec les métiers ainsi que la fonction informatique.</t>
  </si>
  <si>
    <t>La DSI met en œuvre une démarche d’identification des principaux risques numériques associant les acteurs métiers et prenant en compte les intérêts et les contraintes des parties prenantes (internes et externes). Elle évalue aussi les risques liés aux opérations numériques (projet, changement, exploitation, incident, sécurité, gestion des données, etc.).</t>
  </si>
  <si>
    <t>L’organisation met en œuvre des outils de pilotage et de suivi des risques (incluant des indicateurs spécifiques pertinents) qui aident à la prise décision concernant les options de traitement et leur priorisation.</t>
  </si>
  <si>
    <t>La feuille de route numérique intègre les priorités du plan de réduction des risques.</t>
  </si>
  <si>
    <t>La revue des risques numériques est réalisée régulièrement et en liaison avec la revue des risques de l'organisation.</t>
  </si>
  <si>
    <t xml:space="preserve">La DSI et les métiers établissent une cartographie de la contribution du numérique à la chaîne de valeur de l'organisation (processus et produits). </t>
  </si>
  <si>
    <t xml:space="preserve">Le périmètre d’analyse des risques SI recouvre le périmètre des processus et des produits de l'organisation, que ceux-ci soient opérés en interne, par des partenaires externes ou par délégation, en prenant en compte le risque d'interdépendance. </t>
  </si>
  <si>
    <t>Les ressources informatiques supportant les processus et produits de l'organisation sont inventoriées. Chaque risque est évalué en termes de fréquence et d’impact, puis est comparé au seuil de tolérance au risque du processus métier supporté.</t>
  </si>
  <si>
    <t xml:space="preserve">La DSI a créé un référentiel de contrôle adapté à l'organisation et mis en place les dispositifs de réduction des risques. Ce référentiel prend en compte la maturité et l'appétence au risque de l'organisation. </t>
  </si>
  <si>
    <t>La DSI lance des projets visant à réduire les risques numériques. Ces projets peuvent être proposés pour intégration à la feuille de route numérique avec les autres projets, l'arbitrage étant réalisé avec les métiers.</t>
  </si>
  <si>
    <t>Les contrôles IT font l'objet d'une revue régulière qui peut donner lieu à la mise en place de nouveaux contrôles ou d'ajustements. La DSI s'assure à cette occasion que les tests de leur efficacité sont réalisés et communiqués.</t>
  </si>
  <si>
    <t xml:space="preserve">La DSI procède à une identification et à une évaluation des risques numériques conjointement avec l'ensemble des directions concernées en prenant en compte les enjeux majeurs pour l’organisation. </t>
  </si>
  <si>
    <t>L’organisation réalise et communique régulièrement une évaluation de l’efficacité des contrôles SI, en regard des enjeux stratégiques, financiers, commerciaux, réglementaires, industriels ou d’innovation.</t>
  </si>
  <si>
    <t>La DSI a défini et a mis en œuvre des dispositifs de protection de l'organisation contre les cyberattaques (rançongiciels, fuite de données, etc.)</t>
  </si>
  <si>
    <t>La DSI a défini et mis en œuvre une stratégie relative à la protection des infrastructures numériques et elle en contrôle la bonne exécution.</t>
  </si>
  <si>
    <t xml:space="preserve">Les données de l'organisation sont protégées avec un niveau de sécurité adapté et leur qualité permet d'alimenter sans risque les systèmes numériques. </t>
  </si>
  <si>
    <t>Lien avec le vecteur Données &amp; IA</t>
  </si>
  <si>
    <t>L’organisation a défini une liste des « données clés » avec la DSI et les métiers. </t>
  </si>
  <si>
    <t>La DSI met en place des mesures pour protéger les données en termes de CIA (Confidentialité, Intégrité, Authenticité) dans tous les environnements qu'elle gère.</t>
  </si>
  <si>
    <t>Les mesures de protection des données comprennent des contrôles embarqués dans les applications (ou applications controls).</t>
  </si>
  <si>
    <t>En tant que propriétaire des données, le métier reste responsable des informations qu’il traite et il partage avec la DSI la responsabilité des contrôles, qu’ils soient manuels ou automatisés. </t>
  </si>
  <si>
    <t>Un dispositif de gouvernance et de mise en qualité des données supervise les risques liés à leurs  usages, notamment ceux engendrés par l'IA (hallucination, biais, décisions induites). Des dispositifs de suivi de la qualité des données sont utilisés.</t>
  </si>
  <si>
    <t>Assurer la résilience de l'organisation et l'exécution de sa stratégie en maîtrisant les risques numériques.</t>
  </si>
  <si>
    <t>Protéger l'organisation contre les impacts d'une cyberattaque par la mise en place d'un traitement holistique du risque cyber (prévention, détection, réaction, assurance...).</t>
  </si>
  <si>
    <t>Maîtriser les risques de dépendances technologiques de l'organisation dans un contexte géopolitique.</t>
  </si>
  <si>
    <t>Rassurer les parties prenantes par une professionnalisation de la gestion des risques numériques. </t>
  </si>
  <si>
    <t>Garantir la conformité de l'organisation aux exigences applicables (réglementaires, contractuelles, et celles issues des  parties prenantes).</t>
  </si>
  <si>
    <t>Manque de fiabilité, de conformité, d’intégrité, de disponibilité et de confidentialité des informations critiques ou sensibles de l’organisation (données financières, commerciales, personnelles, stratégiques, ou liées à son savoir-faire).</t>
  </si>
  <si>
    <t>Manque de capacité de l’organisation à faire face aux risques numériques sur les projets, les applications majeures, les infrastructures clés et les données critiques.</t>
  </si>
  <si>
    <t>Difficulté à gérer la complexité croissante des technologies utilisées dans l'organisation.</t>
  </si>
  <si>
    <t>Incapacité à maîtriser les risques liés à la dépendance technologique ou à une utilisation non maîtrisée des technologies.</t>
  </si>
  <si>
    <t>Augmentation des occurrences d’attaques sophistiquées accroissant l'exposition au risque global.</t>
  </si>
  <si>
    <t xml:space="preserve">Perte financière liée à une interruption d'activité, à une perte de confiance des clients, à un changement de modèle économique d'un fournisseur ou d’un prestataire, ou à une non-conformité (coût de reconstruction, augmentation des primes d'assurance, changement de fournisseur ou de technologie). </t>
  </si>
  <si>
    <t>Un plan de continuité informatique est prévu ; il intègre le plan de reprise après sinistre (PRAS) et un plan de continuité des opérations informatiques. </t>
  </si>
  <si>
    <t>Le plan de gestion de crise est formalisé et maintenu en condition opérationnelle. Il doit être associé au plan de continuité d’activité et au plan de reprise d’activité (PCA/PRA). Les conditions de déclenchement et de sortie du plan de gestion de crise sont définies et validées en fonction du type d’événements ou d’incidents. Des indicateurs précis doivent être (si possible) associés à ces conditions.</t>
  </si>
  <si>
    <t>Les scénarios de gestion de crise sont définis, validés et régulièrement testés. </t>
  </si>
  <si>
    <t>Les tests de ces scénarios ainsi que les incidents majeurs donnent lieu à des retours d'expérience, à des bilans et à des plans d'amélioration partagés et communiqués.</t>
  </si>
  <si>
    <t>La composante numérique du plan de continuité d'activité est définie, mise en œuvre et testée régulièrement.</t>
  </si>
  <si>
    <t xml:space="preserve">La DSI définit et met en œuvre une politique de sauvegarde qui couvre l'ensemble des données de l'organisation, qu'elles soient hébergées en interne, ou en externe par un prestataire. </t>
  </si>
  <si>
    <t>Un plan de reprise d'activité informatique est défini, mis en œuvre et testé.</t>
  </si>
  <si>
    <t>Un processus de gestion de l'obsolescence permet de piloter les risques d'obsolescence des différents composants du SI. </t>
  </si>
  <si>
    <t>L'organisation a mis en place un processus de gestion des vulnérabilités permettant de détecter et de traiter les vulnérabilités.</t>
  </si>
  <si>
    <t xml:space="preserve">La DSI effectue un suivi de la mise en œuvre des contrôles clés et évalue leur efficacité. Cette évaluation documentée comprend les contrôles récurrents de surveillance, définis avec les métiers. </t>
  </si>
  <si>
    <t xml:space="preserve">Les plans de remédiation associés aux risques numériques sont établis en liaison avec les évaluations des risques et des enjeux métiers, suivis par la filière risque ou à défaut par la DSI, et pilotés en coordination avec les métiers. </t>
  </si>
  <si>
    <t>Une fonction RSSI est identifiée dans l'organisation et positionnée dans une logique d'indépendance de la fonction.</t>
  </si>
  <si>
    <t>Une PSSI (politique de sécurité des SI ), décrivant les grandes orientations et la vision stratégique de la direction de l'organisation vis-à-vis de la sécurité des SI, est élaborée par le RSSI et déclinée dans un corpus documentaire. </t>
  </si>
  <si>
    <t>La DSI met en place un dispositif de prévention, protection, détection et réaction contre les risques cyber (organisation, socle documentaire, processus et outils) en réponse à son évaluation de la menace. Les tierces parties sont intégrées dans ce dispositif.</t>
  </si>
  <si>
    <t>Le dispositif est évalué et maintenu régulièrement à l'état de l'art en réponse à l'évolution de la menace. </t>
  </si>
  <si>
    <t>Le dispositif est testé et certifié par des tiers indépendants.</t>
  </si>
  <si>
    <t>Des campagnes de formation et de sensibilisation à la sécurité des systèmes d'information sont réalisées régulièrement et leur efficacité est mesurée et rapportée. Des actions de remédiation peuvent être menées suite à ces campagnes.</t>
  </si>
  <si>
    <t>Assurer la conformité en matière de RSE et anticiper les évolutions réglementaires et légales.</t>
  </si>
  <si>
    <t>Accompagner l'organisation sur le numérique responsable et promouvoir les apports du numérique pour la réduction de son empreinte environnementale.</t>
  </si>
  <si>
    <t>Améliorer l'attractivité et la valeur de l'entreprise.</t>
  </si>
  <si>
    <t>Maîtriser le cycle de vie des produits et des services numériques dans un contexte responsable.</t>
  </si>
  <si>
    <t>Sanction pour défaut de conformité aux réglementations en vigueur en matière de RSE. </t>
  </si>
  <si>
    <t>Perte d'attractivité pour les parties prenantes (clients, actionnaires...) et fuite des talents.</t>
  </si>
  <si>
    <t>Perte de compétitivité et exclusion de certains marchés.</t>
  </si>
  <si>
    <t>Atteinte à la marque de l’entreprise.</t>
  </si>
  <si>
    <t>Exclusion d’une partie de la population en cas de défaut d’accessibilité. </t>
  </si>
  <si>
    <t>Manque de résilience et d'anticipation face aux possibles crises géopolitiques, climatiques, économiques...</t>
  </si>
  <si>
    <t>La stratégie numérique intègre la politique RSE de l'organisation et la met en œuvre.</t>
  </si>
  <si>
    <t>L'organisation a mis en place une instance dédiée, chargée du pilotage du numérique responsable et des initiatives liées à la conformité.</t>
  </si>
  <si>
    <t>Les décideurs et les métiers sont sensibilisés au numérique responsable.</t>
  </si>
  <si>
    <t>Une communication sur l'accessibilité numérique et sur les sujets de conformité aux réglementations RSE est mise en place au sein de l'organisation.</t>
  </si>
  <si>
    <t>Les personnes clés au sein de la filière numérique sont formées.</t>
  </si>
  <si>
    <t>La contribution RSE est maîtrisée de bout en bout, tout au long du cycle de vie du produit ou du service.</t>
  </si>
  <si>
    <t>Les critères de conception des produits et services numériques sont définis en alignement avec les enjeux RSE de l'organisation.</t>
  </si>
  <si>
    <t>La dimension de responsabilité est incluse dans la conception des solutions.</t>
  </si>
  <si>
    <t>La DSI met en place des actions dédiées à l'accessibilité numérique en lien avec la stratégie RSE globale de l'organisation.</t>
  </si>
  <si>
    <t>La DSI accompagne les métiers dans l'élaboration de solutions IT for green.</t>
  </si>
  <si>
    <t>Des outils sont mis en place pour implémenter le reporting extra-financier (CSRD) et pour mener les actions de transition environnementale et de réduction de l’empreinte environnementale. </t>
  </si>
  <si>
    <t>Un contrôle de la conception responsable (écoconception, accessibilité) et des actions d'amélioration continue est mis en œuvre.</t>
  </si>
  <si>
    <t>Les fournisseurs sont challengés sur la dimension RSE de leurs produits, services ou solutions.</t>
  </si>
  <si>
    <t>La contribution de l'IT aux enjeux RSE de l'entreprise est mesurée, pilotée et communiquée.</t>
  </si>
  <si>
    <t>La DSI utilise une méthode partagée et reconnue pour mesurer les gains de l'IT for Green.</t>
  </si>
  <si>
    <t>Une démarche de labellisation est mise en œuvre par l'organisation.</t>
  </si>
  <si>
    <t>Lien avec le vecteur Budget &amp; Performance</t>
  </si>
  <si>
    <t>Gouvernance</t>
  </si>
  <si>
    <t>Sensibilisation</t>
  </si>
  <si>
    <t>Soutenir les enjeux de responsabilité sociétale de l'organisation et incarner ses valeurs éthiques et sociétales.</t>
  </si>
  <si>
    <t>Eco conception et cycle de vie</t>
  </si>
  <si>
    <t>Politique d'achats</t>
  </si>
  <si>
    <t>Contribution à la RSE globale</t>
  </si>
  <si>
    <t>La filière numérique mesure et pilote sa contribution à la RSE de l'organisation.</t>
  </si>
  <si>
    <t>La DSI mène une politique d'achats responsable</t>
  </si>
  <si>
    <t>Les enjeux RSE sont intégrés dès la conception des services et des produits numériques et tout au long de leur cycle de vie.</t>
  </si>
  <si>
    <t>L’organisation  met en œuvre un programme structuré de sensibilisation et de formation à la RSE et au numérique responsable, soutenu par des référents identifiés. Elle en mesure l’impact par des actions régulières.</t>
  </si>
  <si>
    <t xml:space="preserve">Une gouvernance RSE incluant les sujets numériques est mise en place au niveau de l'organisation. </t>
  </si>
  <si>
    <t>Connaître, gérer, valoriser, protéger les données de l'organisation, et tirer profit de l'IA et des data sciences.</t>
  </si>
  <si>
    <t>Gouverner les données comme un actif stratégique de l’organisation.</t>
  </si>
  <si>
    <t>Exploiter les données pour développer de nouveaux produits et services et renforcer la différenciation concurrentielle. </t>
  </si>
  <si>
    <t>Permettre une prise de décision éclairée et proactive, et améliorer l’efficacité des processus.</t>
  </si>
  <si>
    <t>Instaurer et maintenir la confiance dans l’utilisation des données (internes et externes).</t>
  </si>
  <si>
    <t>Perte de compétitivité, affaiblissement de la réputation ou de l’image.</t>
  </si>
  <si>
    <t>Perturbation ou blocage de l’activité de l’organisation.</t>
  </si>
  <si>
    <t>Perte financière ou diminution du chiffre d’affaires.</t>
  </si>
  <si>
    <t>Divulgation non souhaitée d’informations sensibles (intelligence économique, données personnelles, sécurité, etc.).</t>
  </si>
  <si>
    <t>Dévalorisation du patrimoine immatériel de l’organisation.</t>
  </si>
  <si>
    <t>Permettre la réalisation des enjeux stratégiques en matière de performance, de croissance, d’adaptabilité, d'autonomie, de résilience et d'interopérabilité avec l'écosystème.</t>
  </si>
  <si>
    <t>Définir la trajectoire et les principales étapes pour atteindre la cible SI du plan stratégique. </t>
  </si>
  <si>
    <t>Fournir un cadre d’architecture au portefeuille de projets pour s'assurer qu'ils contribuent à l'atteinte de la cible SI.</t>
  </si>
  <si>
    <t>Réduire les coûts du SI et accroître son adaptabilité en le rationalisant, en le simplifiant, en favorisant la réutilisation de fonctionnalités et en tirant parti des opportunités de services externalisés.</t>
  </si>
  <si>
    <t>Optimiser l'empreinte environnementale du SI en appliquant des principes d'éco-conception.</t>
  </si>
  <si>
    <t>Maîtriser le patrimoine applicatif et technique sur le temps long en prenant en compte sa complexité, l'alignement avec les standards, la réduction de la dette technique, la gestion de l'obsolescence et l'autonomie stratégique.</t>
  </si>
  <si>
    <t>Mauvaise identification ou planification des moyens, entraînant un défaut d’alignement avec la cible stratégique.</t>
  </si>
  <si>
    <t>Non-exploitation des innovations, des offres de produits et services, et des opportunités technologiques.</t>
  </si>
  <si>
    <t>Surcoûts et limitation de la capacité d’évolution du SI, liés à un manque de rationalisation, à un défaut d’interopérabilité ou à une complexité croissante.</t>
  </si>
  <si>
    <t>Exposition accrue aux incidents de sécurité et aux non-conformités réglementaires (CNIL, RGPD, traçabilité, etc.).</t>
  </si>
  <si>
    <t>Perte de connaissance et de maîtrise du patrimoine applicatif et technique.</t>
  </si>
  <si>
    <t>Frein à l’adaptabilité et à la croissance de l’organisation.</t>
  </si>
  <si>
    <t>Mettre l'architecture du SI au service des enjeux stratégiques.</t>
  </si>
  <si>
    <t>Prioriser et piloter les projets numériques en cohérence avec les objectifs stratégiques de l'organisation en optimisant l'allocation des ressources</t>
  </si>
  <si>
    <t>Lancement en retard ou dans de mauvaises conditions d’un projet incontournable pour l'organisation (stratégique ou réglementaire).</t>
  </si>
  <si>
    <t>Gaspillage des ressources de l’organisation sur des projets peu contributifs, ou mal cadrés, voire concurrents.</t>
  </si>
  <si>
    <t>Garantir le bon déroulement du projet par rapport aux objectifs du business case (étude d’opportunité), en termes de coûts, délais, fonctionnalités, bénéfices, et appropriation par les utilisateurs.</t>
  </si>
  <si>
    <t>Dégradation de la performance et des résultats de l'organisation.</t>
  </si>
  <si>
    <t>Réussir le projet en garantissant l’engagement de l'ensemble des parties prenantes dans le pilotage et la conduite du projet, et en intégrant les besoins en compétences métiers à acquérir ou faire évoluer (conduite du changement).</t>
  </si>
  <si>
    <t>Perte de compétitivité de l'organisation.</t>
  </si>
  <si>
    <t>S'adapter aux évolutions de l'environnement de l'organisation (maîtrise des dépendances et priorisations stratégiques).</t>
  </si>
  <si>
    <t>Désorganisation des fonctions métier conduisant à une dégradation de la qualité de service.</t>
  </si>
  <si>
    <t>Maîtriser la réalisation des projets et des solutions. </t>
  </si>
  <si>
    <t>Perte de contrôle ou dépendance vis-à-vis de ses fournisseurs, induites par une atteinte à l'accessibilité ou à la disponibilité des systèmes et des données, pouvant générer un risque pour l’activité de l’organisation.</t>
  </si>
  <si>
    <t>Garantir le niveau de qualité et la maîtrise des coûts des services externalisés.</t>
  </si>
  <si>
    <t>Augmentation de la surface d'exposition aux risques Cyber et aux risques de fuite de données personnelles ou stratégiques.</t>
  </si>
  <si>
    <t>Gagner en flexibilité d’ajustement de ses capacités (compétences et ressources) aux variations de charges liées à l'activité ou aux projets, en s’appuyant sur l’écosystème de prestataires et de fournisseurs.</t>
  </si>
  <si>
    <t>Risques juridiques, réglementaires et financiers liés aux contrats de services et d'externalisation.</t>
  </si>
  <si>
    <t>Impacts sociaux dans l’entreprise liés à une mauvaise gestion des actions d’externalisation.</t>
  </si>
  <si>
    <t>Dégradation de l'image de l'entreprise ou du niveau de services de la DSI auprès des métiers et des utilisateurs, voire des clients.</t>
  </si>
  <si>
    <t>Stratégie et gouvernance</t>
  </si>
  <si>
    <t>Processus</t>
  </si>
  <si>
    <t>Valorisation</t>
  </si>
  <si>
    <t>Sécurisation</t>
  </si>
  <si>
    <t>Intelligence artificielle</t>
  </si>
  <si>
    <t>Cartographie</t>
  </si>
  <si>
    <t>Feuille de route SI</t>
  </si>
  <si>
    <t>Modularité et ouverture de l'architecture</t>
  </si>
  <si>
    <t>Communication vers le métier</t>
  </si>
  <si>
    <t>Règles et Principes</t>
  </si>
  <si>
    <t>Gouvernance et architecture</t>
  </si>
  <si>
    <t>Référentiel de projets</t>
  </si>
  <si>
    <t>Business Case</t>
  </si>
  <si>
    <t>Suivi et recadrage des projets lancés</t>
  </si>
  <si>
    <t>Bilan de projet métier</t>
  </si>
  <si>
    <t>Objectifs métier du projet</t>
  </si>
  <si>
    <t>Gouvernance du projet</t>
  </si>
  <si>
    <t>Méthode de projet</t>
  </si>
  <si>
    <t>Conformité, contrôle interne et sécurité</t>
  </si>
  <si>
    <t>Pilotage du projet</t>
  </si>
  <si>
    <t>Etude d'opportunité</t>
  </si>
  <si>
    <t>Sélection et contractualisation</t>
  </si>
  <si>
    <t xml:space="preserve">Conduite du changement </t>
  </si>
  <si>
    <t>Pilotage des services externalisés et des prestations</t>
  </si>
  <si>
    <t>Clôture et réversibilité</t>
  </si>
  <si>
    <t>Gestion des fournisseurs de matériels et logiciels</t>
  </si>
  <si>
    <t>Une stratégie de Make or Buy et la gouvernance associée ont été définies</t>
  </si>
  <si>
    <t>Pour chacune des activités candidates à l'externalisation, une étude d'opportunité et de faisabilité est réalisée.</t>
  </si>
  <si>
    <t>Pour tous les achats numériques (services externalisés, prestation de services, achats de logiciels ou de matériels), un processus de sélection et de contractualisation des prestataires est mis en place.</t>
  </si>
  <si>
    <t>Pour chacune des activités SI à externaliser, il existe une démarche de transition et de conduite du changement.</t>
  </si>
  <si>
    <t>Le pilotage opérationnel des services IT externalisés et des prestations est structuré pour garantir la performance et l'amélioration des services fournis.</t>
  </si>
  <si>
    <t>La clôture et la gestion de la réversibilité des services externalisés ont été définies en fonction des enjeux métiers.</t>
  </si>
  <si>
    <t>La gestion des fournisseurs de matériels et de logiciels est organisée et suivie.</t>
  </si>
  <si>
    <t>Les objectifs métier du projet sont explicites et partagés par toutes les parties prenantes.</t>
  </si>
  <si>
    <t>Le mode de gouvernance de projet est clair, partagé et reconnu.</t>
  </si>
  <si>
    <t>L’équipe projet fait le choix d’une méthode de travail cohérente avec les objectifs du projet.</t>
  </si>
  <si>
    <t>La sécurité, la conformité et le contrôle interne, comme l’implication indispensable des utilisateurs finaux, sont intégrés dès la conception des produits ou solutions SI. </t>
  </si>
  <si>
    <t>Le pilotage du projet/produit est réalisé à l'aide d'indicateurs pertinents permettant de suivre l'avancement à chaque étape. Des dispositifs d'alerte ou d'arbitrage sont en place pour traiter les éventuelles dérives au bon niveau.</t>
  </si>
  <si>
    <t>Validation(s) du produit ou de la solution</t>
  </si>
  <si>
    <t>Les produits ou solutions développés dans le cadre du projet font l'objet d'un processus de validation formel.</t>
  </si>
  <si>
    <t>L’équipe responsable organise un bilan de projet </t>
  </si>
  <si>
    <t>Il existe un référentiel unique concernant l’ensemble des projets.</t>
  </si>
  <si>
    <t>Afin de faciliter les prises de décision, le référentiel est structuré pour classifier les projets selon leur typologie.</t>
  </si>
  <si>
    <t>Les responsabilités de gestion du portefeuille de projet sont clairement affectées dans l'organisation.</t>
  </si>
  <si>
    <t xml:space="preserve">Le business case présente les bénéfices quantitatifs et qualitatifs attendus par l'organisation en termes d’amélioration des processus et de création de valeur. </t>
  </si>
  <si>
    <t>Le business case évalue la rentabilité des projets en prenant en compte les gains espérés et les coûts prévisionnels globaux.</t>
  </si>
  <si>
    <t>Le business case inclut une analyse des risques (non-atteinte des bénéfices escomptés, dérapage des coûts et des délais, risques à ne pas faire, etc.).</t>
  </si>
  <si>
    <t>Le leadership de l’élaboration des business cases est assuré par les métiers en collaboration avec la DSI.</t>
  </si>
  <si>
    <t>Les métiers, à l'origine des projets, y compris la DSI, sont responsables à la fois de l’atteinte des bénéfices attendus et de la gestion optimale des risques.</t>
  </si>
  <si>
    <t>La DSI vérifie la cohérence du business case avec la feuille de route du numérique.</t>
  </si>
  <si>
    <t>La DSI recense les initiatives qui ont vocation à être industrialisées auprès des acteurs de l’innovation.</t>
  </si>
  <si>
    <t>La gouvernance du portefeuille est adaptée pour gérer ces initiatives d’innovation en fonction de leurs spécificités (notamment les enjeux de time-to-market).</t>
  </si>
  <si>
    <t>Pour prioriser leur lancement, les projets du portefeuille sont évalués en fonction des bénéfices escomptés pour l’entreprise, des risques inhérents, et du cadre budgétaire de l’organisation.</t>
  </si>
  <si>
    <t>La gouvernance numérique de l'organisation prévoit les modalités et les instances de lancement de projet.</t>
  </si>
  <si>
    <t>Les décisions de lancement des projets sont prises lors de sessions ad-hoc réunissant l’instance décisionnaire (par exemple, le comité exécutif) ainsi que les représentants des métiers, de la DSI, des finances, et des RH.</t>
  </si>
  <si>
    <t>Les décisions de lancement des projets s’adaptent en fonction des enjeux stratégiques de l’entreprise et de son environnement concurrentiel (time-to-market).</t>
  </si>
  <si>
    <t>Les décisions de lancement de projet sont alimentées par les bilans de projets passés et l'expérience ainsi capitalisée.</t>
  </si>
  <si>
    <t>L'instance de pilotage du portefeuille (PMO) organise la collecte et la consolidation des informations des projets pour établir un tableau de bord macroscopique de suivi d'avancement. Ce tableau de bord est examiné régulièrement par les organes de pilotage et la direction générale.</t>
  </si>
  <si>
    <t>Sur la base de ce tableau de bord de suivi, les organes de pilotage et la direction générale prennent des décisions d’allocation de ressources, de re-priorisation et, au besoin, d’actualisation des business cases en fonction des objectifs stratégiques de l'organisation et de la priorisation des moyens.</t>
  </si>
  <si>
    <t>L'instance en charge du portefeuille suit les risques et dispose de l’autorité nécessaire pour lancer des audits sur les projets à risque.</t>
  </si>
  <si>
    <t>L'instance en charge du pilotage du portefeuille dispose d'un outil de gestion de portefeuille de projets incluant les objectifs métier, le budget et le suivi opérationnel des projets.</t>
  </si>
  <si>
    <t>Pour les projets fortement contributifs à la création de valeur ou coûteux, les bénéfices métiers atteints sont analysés pour vérifier qu’ils sont en ligne avec les objectifs et exigences du business case initial.</t>
  </si>
  <si>
    <t>Les analyses sont réalisées avec toutes les parties prenantes du métier et de la direction du projet SI (équipe projet, utilisateurs finaux, clients, etc.).</t>
  </si>
  <si>
    <t>Les analyses et retours d’expérience concernant le déroulement du projet sont formalisés et partagés.</t>
  </si>
  <si>
    <t>Un processus formalisé, assorti de responsabilités clairement définies, encadre l’établissement et la mise en œuvre des plans d’action issus des bilans de projet, afin de sécuriser la concrétisation des bénéfices attendus.</t>
  </si>
  <si>
    <t>Un bilan annuel de l'ensemble des projets du portefeuille est réalisé, il permet de capitaliser et de mettre en œuvre une amélioration continue.</t>
  </si>
  <si>
    <t>Lien avec le vecteur Projets</t>
  </si>
  <si>
    <t>Lien avec le vecteur Innovation</t>
  </si>
  <si>
    <t>Tous les projets sont répertoriés dans un référentiel unique pouvant être structuré en programmes afin de faciliter leur gestion  globale.</t>
  </si>
  <si>
    <t>Les métiers élaborent un business case avec l’aide de la DSI, pour chaque projet ayant un volet numérique significatif.</t>
  </si>
  <si>
    <t>Le portefeuille de projets intègre les projets d’industrialisation des initiatives d’innovation (PoC, MVP, Labs et autres travaux de R&amp;D).</t>
  </si>
  <si>
    <t>Un processus de gestion des priorités de lancement (inter-projets) basé sur les business case est mis en place et implique les directions métiers au niveau du Comité de direction pour les projets clés.</t>
  </si>
  <si>
    <t>Un processus de management de projets, impliquant les directions métiers, permet de suivre, recadrer, revoir la priorité ou arrêter les projets en cours, sur la base d’un reporting fiable et exhaustif, le cas échéant en actualisant les business cases.</t>
  </si>
  <si>
    <t>La direction générale fait effectuer des bilans de projet métier, une fois le fonctionnement nominal atteint, afin d’en tirer les enseignements nécessaires et d’optimiser le processus de décision et de pilotage des projets.</t>
  </si>
  <si>
    <t>Les enjeux ou objectifs clés des métiers assignés à l’équipe projet sont clairement identifiés. Ils sont explicités par le management aux différentes parties prenantes lors de la phase de lancement puis périodiquement actualisés.</t>
  </si>
  <si>
    <t>L’équipe projet est mobilisée sur les objectifs du métier.</t>
  </si>
  <si>
    <t>L’entité responsable du projet est unique et légitime.</t>
  </si>
  <si>
    <t>Le sponsor est désigné et connu de tous. Sa disponibilité réelle lui permet de tenir son rôle.</t>
  </si>
  <si>
    <t>Une instance de pilotage, présidée par le sponsor et animée par le responsable de l’équipe projet, ainsi  qu’une instance opérationnelle, présidée par le responsable de l’équipe projet, sont constituées et se réunissent régulièrement.</t>
  </si>
  <si>
    <t>Le mode de pilotage du projet est complètement défini. Il intègre les comités complémentaires au comité de pilotage et au comité du projet. Ces comités additionnels sont connus (objectifs, fréquence, tableaux de bord et indicateurs, etc.).</t>
  </si>
  <si>
    <t>Les enjeux et les risques, opérationnels, financiers et humains, du projet sont identifiés et connus de tous. La criticité de ces risques est régulièrement évaluée, suivie et communiquée à toutes les parties prenantes, et un plan d'action est mis en œuvre pour les mitiger.</t>
  </si>
  <si>
    <t>La DSI a défini et documenté les méthodes de conduite de projet préconisées.  </t>
  </si>
  <si>
    <t>L’équipe projet choisit, en accord avec la DSI, une méthode de conduite de projet adaptée et en assume les impacts sur son mode de fonctionnement.</t>
  </si>
  <si>
    <t>Le choix de la méthode de gestion de projet tient compte des contraintes liées au portefeuille de projets (synchronisation, dépendances).</t>
  </si>
  <si>
    <t>Les acteurs du projet sont mobilisés de façon adaptée en fonction de la méthode de projet retenue (« cycle en V » ou « agile »).</t>
  </si>
  <si>
    <t xml:space="preserve">Le volet « accompagnement au changement » est prévu dès l’amont du projet. Il est dimensionné et déployé tout au long de son déroulement afin d'assurer l'atteinte de ses objectifs. </t>
  </si>
  <si>
    <t>Les exigences (internes/externes) de conformité, de contrôle interne, de sécurité et de protection des données sont prises en compte dès la conception des projets.</t>
  </si>
  <si>
    <t>Les équipes chargées de la conformité, du contrôle interne, de la sécurité et de la protection des données sont associées aux équipes projet ou aux instances de pilotage.</t>
  </si>
  <si>
    <t>Les exigences en matière de conformité, contrôle interne, sécurité et protection des données sont déclinées et testées. Leur implémentation est validée par les clients métiers et les équipes en charge de ces domaines.</t>
  </si>
  <si>
    <t>Une phase préalable de planification est réalisée par l'équipe projet. Elle permet de s'assurer de la cohérence entre les travaux à réaliser, les délais et les ressources disponibles.</t>
  </si>
  <si>
    <t>Des indicateurs pertinents sont définis qui permettent de suivre l’avancement du projet, la consommation des ressources et d’anticiper les difficultés. Ces indicateurs sont mesurés régulièrement.</t>
  </si>
  <si>
    <t>Ces indicateurs sont partagés et servent de critères de pilotage et de décision dans les comités mis en place.</t>
  </si>
  <si>
    <t>L’instance de suivi opérationnel du projet examine régulièrement les indicateurs de risque et de dérive et décide des arbitrages. Si nécessaire, elle remonte les alertes jusqu’aux instances d'arbitrage adéquates (instance de pilotage, comité de direction).</t>
  </si>
  <si>
    <t>L'instance de pilotage valide l'atteinte des objectifs à chacune des étapes ou itérations clés du projet/produit.</t>
  </si>
  <si>
    <t>Les activités et les responsabilités liées à la validation de la solution sont définies dans la méthode projet et mises en œuvre tout au long du projet.</t>
  </si>
  <si>
    <t>La méthode employée dans les phases de test et de validation est définie et appliquée.</t>
  </si>
  <si>
    <t>Le « reste à faire » (fonctionnalités, exigences, anomalies, etc.) fait l'objet d'un suivi jusqu'à sa résolution ou sa clôture.</t>
  </si>
  <si>
    <t>La solution ou le produit fait l'objet d'une validation par les instances de gouvernance ad-hoc prévues par la politique IT (DPO, RSSI, Architecte IT, ESG).</t>
  </si>
  <si>
    <t>À l’issue d’une période préalablement définie, un bilan du business case du projet est réalisé avec les parties prenantes, y compris les acteurs externes.</t>
  </si>
  <si>
    <t xml:space="preserve">Lien avec le vecteur Portefeuille de projets. </t>
  </si>
  <si>
    <t>Lien avec vecteur Portefeuille de projets. </t>
  </si>
  <si>
    <t>L'organisation dispose d'une stratégie claire pour la gestion des données et d'un cadre de gouvernance associé visant à traiter les données comme un actif majeur. Cette stratégie inclut l'usage de l'IA.</t>
  </si>
  <si>
    <t>L'organisation dispose d'un processus de gestion de la donnée.</t>
  </si>
  <si>
    <t xml:space="preserve">L'organisation met en place les dispositifs nécessaires pour atteindre les objectifs stratégiques liés aux données, en s’appuyant sur la cartographie réalisée. </t>
  </si>
  <si>
    <t>L’organisation a mis en place un dispositif pour protéger ses données.</t>
  </si>
  <si>
    <t>L'organisation maîtrise l'exploitation de ses données par l'IA pour atteindre ses objectifs stratégiques.</t>
  </si>
  <si>
    <t>Lien avec le vecteur Risques &amp; Conformité.</t>
  </si>
  <si>
    <t xml:space="preserve">Lien avec le vecteur Stratégies </t>
  </si>
  <si>
    <t>L'organisation documente une politique de gouvernance des données intégrant les exigences réglementaires et contractuelles applicables. </t>
  </si>
  <si>
    <t>L’organisation a mis en place une stratégie cohérente pour l'utilisation et la valorisation des données en prenant en compte les opportunités offertes par les nouvelles technologies ainsi que les contraintes techniques, juridiques et réglementaires.</t>
  </si>
  <si>
    <t>La direction générale est responsable de l'exécution de la stratégie « données » de l'organisation. </t>
  </si>
  <si>
    <t>Un bilan évaluant le respect de la politique de gouvernance des données est présenté à la direction générale permettant d'identifier les axes de progression.</t>
  </si>
  <si>
    <t>L'organisation établit et maintient un référentiel des données cartographiées incluant les applications associées, les droits d'accès, la durée de conservation, le niveau de sécurité requis, etc.</t>
  </si>
  <si>
    <t>Un dispositif conforme à la politique de gouvernance des données est mis en place pour l'utilisation et la mise à jour du référentiel et du dictionnaire de données, impliquant l'ensemble des parties concernées (métiers, fonctions). Ce dispositif couvre l'ensemble du cycle de vie des données.</t>
  </si>
  <si>
    <t>Le processus de gestion de la donnée est animé par une personne ou une instance désignée qui rend compte à la direction générale. </t>
  </si>
  <si>
    <t>Un plan de sensibilisation et de communication est déployé au sein de l'organisation. </t>
  </si>
  <si>
    <t>Un point de contrôle est mis en place pour vérifier que les référentiels et dictionnaires de données sont bien utilisés dans les nouveaux projets et tout au long du cycle de vie des applications.</t>
  </si>
  <si>
    <t>L’organisation met en œuvre des processus de vérification, soutenus par des indicateurs de qualité des données.</t>
  </si>
  <si>
    <t>Le dispositif est audité régulièrement et évolue en intégrant les préconisations issues de ces audits.</t>
  </si>
  <si>
    <t>L'organisation a mis en place des initiatives, des méthodes et des outils pour valoriser ses données. Celles-ci sont utilisées pour anticiper et réaliser des projections.</t>
  </si>
  <si>
    <t>Les différentes directions de l'organisation sont activement impliquées dans les initiatives et outils et se les sont appropriés.</t>
  </si>
  <si>
    <t>L'efficacité de ces initiatives et outils est mesurée périodiquement y compris la manière dont l'IA est utilisée.</t>
  </si>
  <si>
    <t>Les organisations qui ont l'obligation de mettre à disposition certaines données en open data (conformité à la loi Lemaire), ont identifié les impacts de cette démarche sur la valorisation de leurs données.</t>
  </si>
  <si>
    <t>Une cartographie des risques est élaborée en fonction de la criticité des données.</t>
  </si>
  <si>
    <t>Des dispositifs de couverture des risques sont mis en place en fonction de la criticité et de l'évaluation des menaces sur les données. </t>
  </si>
  <si>
    <t>L'organisation sensibilise ses collaborateurs, y compris la direction générale, à la protection des données et aux dispositifs de couverture de risques.</t>
  </si>
  <si>
    <t>L'organisation prend en compte les aspects de sécurité et de conformité des données, quelle que soit leur localisation, et en particulier lorsqu'elle utilise le cloud (sauvegarde, propriété des données, contractualisation, type de cloud, criticité des données, réversibilité, audit, localisation des données, etc.). </t>
  </si>
  <si>
    <t>L'organisation a défini une politique concernant l’utilisation de l’IA (générative et agentique). Cette politique établit les principes d’usage des outils, des données et des contextes. Elle intègre des dimensions d’éthique et de conformité.</t>
  </si>
  <si>
    <t>Cette politique est partagée avec les métiers et utilisée pour la sensibilisation des utilisateurs à l’usage de l’IA.</t>
  </si>
  <si>
    <t>La politique est régulièrement mise à jour, en s’appuyant sur la veille règlementaire et technologique de l'organisation. </t>
  </si>
  <si>
    <t>Des critères spécifiques à l’IA sont intégrés dans les processus de décision relatifs aux investissements.</t>
  </si>
  <si>
    <t>Des actions de promotion de l’IA sont menées auprès des collaborateurs, avec des retours d’expérience (REX) et des sessions de partage pour promouvoir les bons usages.</t>
  </si>
  <si>
    <t>Les compétences en IA sont valorisées et gérées au sein de l'organisation à travers des plans de formation spécifiques.</t>
  </si>
  <si>
    <t>Une feuille de route pour le passage à l'échelle de l'IA a été élaborée et déployée.</t>
  </si>
  <si>
    <t xml:space="preserve">Le volet numérique du plan stratégique de l’organisation se décline dans une feuille de route (ou schéma directeur SI), co-construite avec les métiers, qui s’appuie sur la cartographie, le schéma d’urbanisation s'il existe, ou à défaut, sur le patrimoine applicatif et sur l’organisation des données. </t>
  </si>
  <si>
    <t>Lien avec le vecteur Stratégies.</t>
  </si>
  <si>
    <t>La feuille de route du SI décline une architecture modulaire permettant la coexistence de systèmes d’information aux exigences hétérogènes et l’intégration de solutions diversifiées.</t>
  </si>
  <si>
    <t>Les enjeux d’architecture sont explicités et partagés au moyen d’un vocabulaire accessible et de schémas explicatifs. Les métiers sont impliqués et responsabilisés dans leurs choix d’investissements, sur la base d’une identification claire des impacts sur leurs processus.</t>
  </si>
  <si>
    <t xml:space="preserve">Les règles et principes d’architecture sont édictés avec des modalités d’application adaptées aux enjeux et aux risques. Elles constituent un référentiel sur lequel s’appuient les équipes de projets, les responsables applicatifs et les métiers. </t>
  </si>
  <si>
    <t>Une organisation est mise en place pour assurer l’application du cadre de référence et piloter son évolution afin de répondre aux besoins de l'organisation et de prendre en compte les évolutions technologiques et méthodologiques (nouvelles pratiques).</t>
  </si>
  <si>
    <t>Lien vers le vecteur Portefeuille de projets.</t>
  </si>
  <si>
    <t xml:space="preserve">La DSI établit et maintient des cartographies applicatives (catalogue d’applications et services), techniques (infrastructures et composants techniques) et de données, couvrant l’ensemble du SI. Elles sont maintenues à jour lors de toute évolution du SI. </t>
  </si>
  <si>
    <t>Les cartographies mettent en évidence les liens entre les différents composants recensés : rattachement des données aux applications, flux entre applications, rattachement des applications aux composants techniques utilisés, liens entre composants techniques. </t>
  </si>
  <si>
    <t xml:space="preserve">Les cartographies sont mises en cohérence avec les processus et les capacités métiers au travers d’outils qui permettent de faire facilement le lien entre les utilisateurs, les processus et les composants du SI, et de classifier ces derniers selon leur criticité pour les métiers. </t>
  </si>
  <si>
    <t>Un processus d'élaboration, de maintenance et de communication des cartographies, impliquant l'ensemble des parties prenantes, est formalisé et mis en place. Les rôles et responsabilités sont définis et connus. Un suivi des activités est effectué.</t>
  </si>
  <si>
    <t>La feuille de route SI décrit la cible du SI et les grandes étapes pour atteindre les objectifs du volet numérique du plan stratégique de l’organisation. Elle est connue des responsables SI et des métiers. </t>
  </si>
  <si>
    <t>Les cartographies décrivent le positionnement actuel et cible des composants des cartographies ainsi que leurs trajectoires.</t>
  </si>
  <si>
    <t>La feuille de route SI détaille les projets d’alignement du SI avec le plan stratégique de l’organisation en précisant les feuilles de route des composants présentant un écart par rapport à la cible.</t>
  </si>
  <si>
    <t>La feuille de route SI est mise à jour au moins une fois par an pour tenir compte des évolutions technologiques, stratégiques et réglementaires.</t>
  </si>
  <si>
    <t>La cartographie délimite les périmètres et les interactions entre les différents composants du SI (internes et externes). </t>
  </si>
  <si>
    <t>Les standards d'intégration et d'observabilité des composants externes sont définis et documentés. </t>
  </si>
  <si>
    <t>Les dépendances techniques et d’exploitation (y compris la maintenance) et celles liées à la chaîne de support sont identifiées, documentées et prises en compte sur les plans technique et contractuel.</t>
  </si>
  <si>
    <t>L’analyse de conformité avec le référentiel d’architecture, des solutions informatiques existantes et des projets, est partagée avec les métiers et  les impacts des écarts sont explicités.</t>
  </si>
  <si>
    <t>Les orientations d’architecture SI sont intégrées dans le volet numérique du plan stratégique communiqué aux métiers.</t>
  </si>
  <si>
    <t>Les métiers sont sensibilisés aux enjeux de l’architecture : explication des contraintes, des risques et facteurs clés de succès dans la mise en œuvre des différentes technologies, et impacts (à court et long terme) de la non-application des principes et des règles.</t>
  </si>
  <si>
    <t>La DSI a documenté et actualisé un référentiel de politiques, principes, normes, standards techniques, procédures et règles de mise en œuvre et d’utilisation, associés à des services, tirant parti des innovations technologiques et tenant compte des contraintes du patrimoine SI existant.</t>
  </si>
  <si>
    <t>Les services préalablement développés qui ont été identifiés comme étant réutilisables sont dûment répertoriés afin que les nouveaux projets puissent facilement les intégrer dans leurs développements.</t>
  </si>
  <si>
    <t>Ce référentiel est connu, accepté et appliqué par l'ensemble des parties prenantes (les différentes composantes de la DSI et les métiers impliqués dans les projets).</t>
  </si>
  <si>
    <t>Ce référentiel est régulièrement mis à jour, et ses évolutions communiquées à l’ensemble des parties prenantes, y compris les impacts des évolutions sur le patrimoine SI.</t>
  </si>
  <si>
    <t>L’application et l’évolution du référentiel d’architecture sont supervisées et contrôlées par la DSI ou par l'autorité architecturale. La conformité au référentiel d’architecture est un indicateur du tableau de bord du SI.</t>
  </si>
  <si>
    <t>La gouvernance du SI permet de contrôler l’application des règles et principes d'architecture à toutes les étapes du cycle de vie des solutions numériques. Elle s'appuie sur un ou plusieurs comités d'architecture (ou Design Authority) qui veillent à la bonne application des règles et principes d'architecture dans les évolutions du SI.</t>
  </si>
  <si>
    <t>Une organisation et une gouvernance ont été mises en place pour instruire et approuver les évolutions du référentiel d’architecture, en prenant notamment en compte les retours d’expérience et les nouveaux besoins de l'organisation ainsi que les évolutions technologiques et méthodologiques.</t>
  </si>
  <si>
    <t>Des critères compréhensibles et acceptés par toutes les parties prenantes (métiers et IT) sont définis pour adapter le niveau d’accompagnement et de contrôle de chaque projet par l’architecture. </t>
  </si>
  <si>
    <t>Le processus de pilotage du portefeuille de projets contrôle l’application continue du cadre de référence de l’architecture. </t>
  </si>
  <si>
    <t>Une base de données de gestion de configuration (CMDB) permet l'identification de l’obsolescence des composants SI. </t>
  </si>
  <si>
    <t>Un processus de gestion de l’obsolescence du SI permet de s'assurer que tous les composants du SI respectent les règles de gestion associées définies par l'architecture. Il définit également les plans de remédiation à mettre en œuvre en cas d'écart.</t>
  </si>
  <si>
    <t>Il existe une analyse des forces/faiblesses de l'existant concernant l’activité à externaliser.</t>
  </si>
  <si>
    <t>Il existe, pour l’activité à externaliser, des études de marché et d'identification des prestataires potentiels.</t>
  </si>
  <si>
    <t>L’impact de l’externalisation sur les ressources humaines du périmètre concerné est pris en compte.</t>
  </si>
  <si>
    <t>Il existe une analyse de risques concernant l'activité à externaliser.</t>
  </si>
  <si>
    <t>La décision d'externaliser une activité propre à la DSI est prise par les instances de gouvernance du numérique de l'entreprise.</t>
  </si>
  <si>
    <t>Pour les achats à effectuer, les biens et services concernés ont été clairement définis dans un cahier des charges (expression de besoin et exigences de résultat).</t>
  </si>
  <si>
    <t>Des critères objectifs d'évaluation des offres et des fournisseurs sont définis parallèlement à l'élaboration du cahier des charges.</t>
  </si>
  <si>
    <t>Les engagements de sécurité, continuité, conformité, réversibilité et RSE sont inclus dans le contrat avec le fournisseur.</t>
  </si>
  <si>
    <t>Le contrat comprend les éléments permettant de mesurer la qualité et la performance de l'achat réalisé.</t>
  </si>
  <si>
    <t>L'élaboration du contrat et la capacité de le faire évoluer durant son exécution sont le fruit de la collaboration entre toutes les parties prenantes (directions métiers, DSI, fonction achats et fonction juridique).</t>
  </si>
  <si>
    <t>Un planning de transition et de conduite du changement est défini comprenant les principales étapes à suivre.</t>
  </si>
  <si>
    <t>Un dispositif de gouvernance est en place pour piloter l'exécution du processus de transition.</t>
  </si>
  <si>
    <t>Le plan de transfert de l'activité à un prestataire a été défini et inclut les éventuels impacts RH qui auront été anticipés avant l'émission de l'appel d'offres.</t>
  </si>
  <si>
    <t>Les modalités de transfert de données au prestataire sont définies dans un PV de transfert qui matérialise la transaction.</t>
  </si>
  <si>
    <t>Les modalités de transfert de connaissances et compétences sont définies et leur mise en œuvre est pilotée.</t>
  </si>
  <si>
    <t>Des indicateurs (KPI et SLA) ont été définis et mis en place pour mesurer la valeur apportée à l'organisation lors d'une externalisation de services.</t>
  </si>
  <si>
    <t>Un suivi des services externalisés et des prestations est organisé et adapté à la nature du service.</t>
  </si>
  <si>
    <t>La gestion des incidents et des problèmes est structurée pour assurer une résolution efficace et pérenne.</t>
  </si>
  <si>
    <t>Une revue périodique (au moins annuelle) des contrats est effectuée avec toutes les parties prenantes (directions métiers, DSI, Direction des achats).</t>
  </si>
  <si>
    <t>Le dispositif prévoit un mode de prévention et de traitement des conflits potentiels.</t>
  </si>
  <si>
    <t>L’analyse de la valeur du service est effectuée (par rapport aux objectifs initiaux).</t>
  </si>
  <si>
    <t>Pour les contrats de type "as a service" où le paiement se fait à l'usage, un pilotage adapté est mis en place afin de s'assurer que l'évolution des consommations et des coûts reste maîtrisée.</t>
  </si>
  <si>
    <t>La gestion de la connaissance a été organisée pour permettre l’exécution et la réversibilité.</t>
  </si>
  <si>
    <t>Le contrat inclut une clause décrivant les modalités détaillées de clôture et de réversibilité du service.</t>
  </si>
  <si>
    <t>Les modalités de clôture et de réversibilité sont revues régulièrement.</t>
  </si>
  <si>
    <t>Dans le cadre des projets, les choix des fournisseurs de matériels et logiciels suivent les recommandations en matière d'urbanisme, d'architecture technique de l'organisation et de RSE.</t>
  </si>
  <si>
    <t>Il existe une gestion du parc matériel.</t>
  </si>
  <si>
    <t>Il existe une gestion des actifs logiciels.</t>
  </si>
  <si>
    <t>La gestion des versions (versioning) et l'anticipation de l’obsolescence des matériels et logiciels sont organisées.</t>
  </si>
  <si>
    <t>Concaténé</t>
  </si>
  <si>
    <t>Concat</t>
  </si>
  <si>
    <t>Détail bonne pratique</t>
  </si>
  <si>
    <t>Bonne pratique n°1</t>
  </si>
  <si>
    <t>Bonne pratique n°2</t>
  </si>
  <si>
    <t>Bonne pratique n°3</t>
  </si>
  <si>
    <t>Bonne pratique n°4</t>
  </si>
  <si>
    <t>Bonne pratique n°5</t>
  </si>
  <si>
    <t>Fiche évaluation Vecteur 1</t>
  </si>
  <si>
    <t>Note examinateur</t>
  </si>
  <si>
    <t>Non évalué</t>
  </si>
  <si>
    <t>BP+Critère</t>
  </si>
  <si>
    <t>Rendre attractifs les métiers du numérique de l’entreprise pour attirer de nouveaux talents.</t>
  </si>
  <si>
    <t>Répondre aux besoins de l'organisation en investissant sur les compétences nécessaires à la réalisation des projets futurs, et à la continuité des systèmes existants, conformément à la stratégie IT.</t>
  </si>
  <si>
    <t xml:space="preserve">Ressources humaines </t>
  </si>
  <si>
    <t>Acquérir, organiser et manager les talents et les compétences.</t>
  </si>
  <si>
    <t>Plan RH cohérent avec la stratégie numérique</t>
  </si>
  <si>
    <t>La gestion des ressources humaines du numérique permet de garantir le fonctionnement des systèmes actuels et d’anticiper les besoins futurs de l’organisation.</t>
  </si>
  <si>
    <t>Un plan RH de moyen terme de la DSI est formalisé, aligné sur le plan SI et en cohérence avec la stratégie et la politique RH de l’entreprise.</t>
  </si>
  <si>
    <t>Un plan de résorption des écarts entre les besoins et la situation actuelle est réalisé, formalisé et mis en œuvre (formation, recrutement, partenariats fournisseurs et startups). La synthèse en est présentée au comité de direction de la DSI et partagée avec la DRH.</t>
  </si>
  <si>
    <t>Des bilans évaluent régulièrement l’adéquation entre les ressources SI allouées et les besoins identifiés, et des mesures correctives de la trajectoire sont élaborées par la DSI aidée de la DRH.</t>
  </si>
  <si>
    <t>En liaison avec sa démarche d’innovation et en anticipation des besoins futurs de l'organisation, la DSI réalise une veille sur les moyens d'acquérir les compétences requises.</t>
  </si>
  <si>
    <t>La gestion RH de la DSI est alignée avec la politique RH ainsi qu'avec la stratégie RSE de l'organisation (féminisation, inclusion et diversité, etc.).</t>
  </si>
  <si>
    <t>Un plan de transfert des compétences rares ou en voie de disparition est formalisé.</t>
  </si>
  <si>
    <t>Référentiel</t>
  </si>
  <si>
    <t>Un référentiel des compétences requises est formalisé.</t>
  </si>
  <si>
    <t>Un référentiel répertoriant les profils métiers du numérique est établi en cohérence avec les référentiels de la profession et est partagé avec les parties prenantes. Il identifie et décrit des passerelles potentielles entre les catégories d’emplois.</t>
  </si>
  <si>
    <t>Il existe une cartographie des métiers SI et numériques qui répertorie les compétences nécessaires et identifie les postes critiques ou clés .</t>
  </si>
  <si>
    <t>Des fiches de postes rattachées aux emplois du référentiel sont formalisées..</t>
  </si>
  <si>
    <t>Gestion des emplois et parcours professionnels (GEPP / Strategic Workforce Planning)</t>
  </si>
  <si>
    <t>Un plan d’adéquation des compétences aux besoins actuels et futurs de l'organisation est formalisé et mis en place, et il s'intègre dans le processus RH de l'organisation.</t>
  </si>
  <si>
    <t>Évaluation</t>
  </si>
  <si>
    <t>L’évaluation des compétences et des performances est réalisée.</t>
  </si>
  <si>
    <t>La DSI met en œuvre un « référentiel des compétences nécessaires » et une grille d'évaluation associée.</t>
  </si>
  <si>
    <t>La DSI applique les processus et utilise les outils d’évaluation RH de l’organisation, dans le respect des contraintes réglementaires (sécurité, RGPD, directive européenne sur la transparence des salaires et des promotions, etc.).</t>
  </si>
  <si>
    <t>Des objectifs professionnels sont définis et mesurés pour chaque collaborateur en cohérence avec la politique RH.</t>
  </si>
  <si>
    <t>La DSI a développé des parcours de carrière internes et favorise également la mobilité au sein de l'organisation (identification des passerelles avec les autres métiers). Cette réflexion peut s'inscrire dans une démarche de type Gestion des Emplois et des Parcours Professionnels (GEPP).</t>
  </si>
  <si>
    <t>Recrutement</t>
  </si>
  <si>
    <t>Développement des compétences</t>
  </si>
  <si>
    <t>Un plan de recrutement est défini et mis en œuvre pour répondre aux besoins en ressources de la DSI.</t>
  </si>
  <si>
    <t>Une stratégie de développement des compétences numériques est définie</t>
  </si>
  <si>
    <t>La réalisation du plan de recrutement fait l’objet d’un suivi régulier conjoint par les directions SI et RH.</t>
  </si>
  <si>
    <t>Le DSI et les différents niveaux d'encadrement, en lien avec la DRH, veillent à ce que le plan de formation soit en adéquation avec le plan de résorption des écarts.</t>
  </si>
  <si>
    <t>Une offre de développement des compétences (formation, mentorat, accompagnement) est publiée et rendue visible à l’ensemble des collaborateurs de la fonction numérique.</t>
  </si>
  <si>
    <t>Conformément à la politique RH de l'organisation, les managers font un point régulier avec leurs collaborateurs sur leur montée en compétences.</t>
  </si>
  <si>
    <t>Perte de compétences rares ou essentielles due à une mauvaise maîtrise de la pyramide des âges.</t>
  </si>
  <si>
    <t>Turnover non maîtrisé.</t>
  </si>
  <si>
    <t>Faire collaborer des personnes de générations et de compétences différentes pour garantir le fonctionnement et l’évolution du SI.</t>
  </si>
  <si>
    <t>Perte d’attractivité entraînant des difficultés de recrutement et un déficit de compétences.</t>
  </si>
  <si>
    <t>Optimiser la stratégie d'externalisation pour équilibrer les ressources internes et externes.</t>
  </si>
  <si>
    <t>Piloter les relations avec les fournisseurs de services et de solutions numériques</t>
  </si>
  <si>
    <t xml:space="preserve"> Lien avec le vecteur Ressources Humaines.</t>
  </si>
  <si>
    <t xml:space="preserve"> Lien avec le vecteur Services.</t>
  </si>
  <si>
    <t>Informations complémentaires pour l'auditeur</t>
  </si>
  <si>
    <t>BP n°1</t>
  </si>
  <si>
    <t xml:space="preserve">Niveau de maturité du vecteur </t>
  </si>
  <si>
    <t>Explorer et promouvoir les nouvelles technologies et usages numériques</t>
  </si>
  <si>
    <t>Lien avec le vecteur Portefeuille de projets</t>
  </si>
  <si>
    <t>Lien avec le vecteur Ressources humaines.</t>
  </si>
  <si>
    <t>Vecteur 13</t>
  </si>
  <si>
    <t>Bonne pratique n°6</t>
  </si>
  <si>
    <t>Bonne pratique n°7</t>
  </si>
  <si>
    <t>Fiche évaluation Vecteur 2</t>
  </si>
  <si>
    <t>Fiche évaluation Vecteur 3</t>
  </si>
  <si>
    <t>Fiche évaluation Vecteur 4</t>
  </si>
  <si>
    <t>Critères</t>
  </si>
  <si>
    <t>Fiche évaluation Vecteur 5</t>
  </si>
  <si>
    <t>Fiche évaluation Vecteur 6</t>
  </si>
  <si>
    <t>Fiche évaluation Vecteur 7</t>
  </si>
  <si>
    <t>Fiche évaluation Vecteur 8</t>
  </si>
  <si>
    <t>Fiche évaluation Vecteur 9</t>
  </si>
  <si>
    <t>Fiche évaluation Vecteur 10</t>
  </si>
  <si>
    <t>Fiche évaluation Vecteur 11</t>
  </si>
  <si>
    <t>Fiche évaluation Vecteur 12</t>
  </si>
  <si>
    <t>Services</t>
  </si>
  <si>
    <t>Proposer des services conformes aux attentes des clients</t>
  </si>
  <si>
    <t xml:space="preserve">Répondre aux besoins des métiers en prenant en compte l'ensemble des défis et des contraintes de l'entreprise (réglementaires, budgétaires, RSE, etc.). </t>
  </si>
  <si>
    <t>Anticiper l’évolution des besoins et des usages des clients ou des utilisateurs et proposer une offre de services adaptée.</t>
  </si>
  <si>
    <t xml:space="preserve">Perte de compétitivité ou exposition accrue à des risques (cybersécurité, conformité, coûts), résultant de besoins métiers non satisfaits ou d’une mauvaise affectation des ressources (sous ou sur-allocation). </t>
  </si>
  <si>
    <t>Dégradation du fonctionnement des processus métiers notamment en termes de disponibilité, d’intégrité et de confidentialité.</t>
  </si>
  <si>
    <t>Exposition à des risques de pérennité, de cybersécurité, de conformité, et de coûts IT, liée à l’introduction par les utilisateurs de services non qualifiés par la DSI (shadow IT).</t>
  </si>
  <si>
    <t>Offre de service SI</t>
  </si>
  <si>
    <t xml:space="preserve">L'offre de services numériques proposée est claire et connue. </t>
  </si>
  <si>
    <t>Demande client</t>
  </si>
  <si>
    <t>Contrats de services</t>
  </si>
  <si>
    <t>Activité de production</t>
  </si>
  <si>
    <t>Amélioration continue de services</t>
  </si>
  <si>
    <t>La DSI a mis en place un processus d’amélioration continue basé sur la qualité perçue par l’utilisateur.</t>
  </si>
  <si>
    <t>La DSI pilote ses activités de production et de support à l’aide d’un tableau de bord.</t>
  </si>
  <si>
    <t>La DSI a mis en place des contrats de services.</t>
  </si>
  <si>
    <t>La DSI a mis en place un processus de gestion structuré de la demande client pour les services existants (Run).</t>
  </si>
  <si>
    <t>La DSI rencontre régulièrement ses clients pour identifier et actualiser leurs besoins et attentes.</t>
  </si>
  <si>
    <t>Des indicateurs de suivi sont définis, ils font l’objet d’un reporting et d’échanges réguliers et formalisés avec les métiers, leur offrant une vision claire des services qui leur sont délivrés.</t>
  </si>
  <si>
    <t>La DSI réalise des benchmarks lui permettant de comparer son offre de services à celle d’autres entreprises du même secteur d’activité et de taille comparable, voire même à l’offre de prestataires externes.</t>
  </si>
  <si>
    <t>La DSI a élaboré son offre de services techniques.</t>
  </si>
  <si>
    <t xml:space="preserve">L'offre de services a été définie avec les clients de la DSI en associant les utilisateurs finaux à son élaboration. </t>
  </si>
  <si>
    <t xml:space="preserve">L'offre de services présente les services, leurs conditions d’utilisation, les processus d'affectation ainsi que les unités d'œuvre permettant de les quantifier. </t>
  </si>
  <si>
    <t xml:space="preserve">L'offre de services fait l’objet d’une actualisation régulière, basée sur les besoins de l'entreprise identifiés par un travail de veille, avec une attention particulière portée à la gestion de l’obsolescence. </t>
  </si>
  <si>
    <t>Les coûts de chaque service ainsi que leur décomposition sont connus et suivis, et leur évolution est régulièrement communiquée aux clients.</t>
  </si>
  <si>
    <t>La DSI est capable de relier les services délivrés avec les processus ou usages métiers auxquels ils se rattachent.</t>
  </si>
  <si>
    <t>Les engagements de niveau de service ou Service level agreement (SLA) sont partagés avec les clients.</t>
  </si>
  <si>
    <t>Les niveaux de service convenus avec les clients de la DSI et avec les métiers sont déclinés dans les contrats de sous-traitance.</t>
  </si>
  <si>
    <t>Le contrat fait figurer l’objectif et les attentes du client ainsi que les devoirs et obligations de chaque partie prenante.</t>
  </si>
  <si>
    <t xml:space="preserve">Le contrat est régulièrement actualisé, tant en termes de type de services que de structure de coûts. </t>
  </si>
  <si>
    <t>Les services délivrés à une fonction de l’entreprise ou à un processus particulier sont regroupés dans un contrat de services passé entre la DSI et l’entité concernée.</t>
  </si>
  <si>
    <t>La DSI a mis en place des ressources et des outils pour gérer et superviser la production, les changements, les configurations, les incidents et les problèmes, les données, les environnements, etc.</t>
  </si>
  <si>
    <t xml:space="preserve">La DSI communique efficacement avec ses clients en cas d’incident. </t>
  </si>
  <si>
    <t>La DSI maîtrise les changements programmés et les interruptions prévisibles de services.</t>
  </si>
  <si>
    <t>La DSI a mis en place des outils de mesure du bon fonctionnement et de la performance de ses services, avec un processus de collecte des réclamations et incidents relatifs aux services délivrés aux clients.</t>
  </si>
  <si>
    <t>La DSI a mis en place un processus d’amélioration continue basé sur la qualité de service mesurée et perçue.</t>
  </si>
  <si>
    <t>Les réclamations ou incidents remontés et les écarts constatés par rapport aux engagements font l’objet d’analyses régulières et de dispositifs de résolution réduisant leurs occurrences futures.</t>
  </si>
  <si>
    <t>Un tableau de bord de suivi de la qualité de services est établi à partir des indicateurs mentionnés au contrat de services (performance, résolutions d’incidents, etc.).</t>
  </si>
  <si>
    <t>Les indicateurs de mesure de la qualité et les enquêtes de satisfaction participent à l’évolution des contrats de services.</t>
  </si>
  <si>
    <t>La DSI valorise la mise en œuvre d’approches innovantes dans la délivrance de ses services.</t>
  </si>
  <si>
    <t>Conformité</t>
  </si>
  <si>
    <t>La DSI assure la conformité aux réglementations numériques et contribue au dispositif de gestion de la conformité réglementaire, contractuelle ainsi que la conformité aux référentiels internes de l’organisation.</t>
  </si>
  <si>
    <t>Lien avec le vecteur Prestataires &amp; Fournisseurs.</t>
  </si>
  <si>
    <t>La DSI identifie les écarts de conformité, elle les corrige et documente ses actions.</t>
  </si>
  <si>
    <t>• La veille est pilotée par un responsable identifié au sein de l’organisation, et s’effectue à travers un processus
documenté et contrôlé.
• Un processus d’amélioration continue permet de faire évoluer le dispositif.
• Parmi les réglementations concernées figurent les textes suivants : RGPD, CSRD, REEN, NIS, DORA, AI Act.
• Le processus prévoit notamment l’identification des sources et le maintien à jour du répertoire associé.
• Les sources peuvent être alimentées par des alertes automatiques, des scans de site,...
• Des mécanismes de remontées d’informations en interne peuvent être identifiés.</t>
  </si>
  <si>
    <t>• Ce plan est mis en oeuvre, évalué et ajusté en fonction des retours d’expérience et des évolutions réglementaires
pour garantir une montée en compétences continue.
• Le plan de formation concerne également les ressources externes (prestataires) intervenant dans l’organisation.
• Les compétences associées à la conformité figurent dans les fiches de poste des rôles concernés.</t>
  </si>
  <si>
    <t>• Pour bâtir cette charte de conformité, la DSI se dote de ressources identifiées, d’un socle documentaire adapté
et d’indicateurs de performance régulièrement suivis garantissant l’effectivité du dispositif.
• Le dispositif de conformité est actualisé en tenant compte des résultats de la veille et des évolutions de
l’environnement réglementaire.</t>
  </si>
  <si>
    <t>• Elle s’inscrit dans le programme de conformité de l’organisation et réalise un bilan annuel pour ajuster son plan
en fonction des évolutions réglementaires et stratégiques.
• Les actions proposées sont évaluées et priorisées en fonction des risques associés.</t>
  </si>
  <si>
    <t>• Le plan est déployé, suivi et réévalué régulièrement, avec une communication des résultats et un pilotage des
actions correctives.
• Il prévoit le cas échéant de faire appel à des ressources externes pour une évaluation indépendante (audit,
benchmark,...).</t>
  </si>
  <si>
    <t>• Les reportings ont pour objectif de comprendre le profil de risques de l’organisation et de prendre les décisions
appropriées
• Un processus de communication de crise, conforme aux réglementations, est appliqué, par exemple, en cas de
fuite de données.</t>
  </si>
  <si>
    <t>En collaboration avec les métiers, la DSI a élaboré le volet numérique du plan stratégique de l’organisation.</t>
  </si>
  <si>
    <t>Difficultés à identifier et à retenir les talents nécessaires pour pouvoir faire face aux évolutions technologiques.</t>
  </si>
  <si>
    <t>La DSI a défini un plan de contrôle de la conformité structuré, basé sur l’analyse des risques numériques et prenant en compte les dysfonctionnements potentiels. Ce plan inclut notamment la gestion des tierces parties (par exemple, les fournisseurs de cloud).</t>
  </si>
  <si>
    <t>La DSI s’insère dans un plan structuré de communication, formation et acculturation, aligné sur les objectifs de conformité.</t>
  </si>
  <si>
    <t>Un dispositif de conformité structuré permet à la DSI de définir ses objectifs et d’évaluer les risques de nonconformité à travers une charte validée par la direction générale.</t>
  </si>
  <si>
    <t>La DSI assure une veille juridique et réglementaire structurée sur son périmètre lui permettant d’identifier les réglementations applicables et leurs évolutions.</t>
  </si>
  <si>
    <t>Piloter la performance économique, opérationnelle et écologique du SI.</t>
  </si>
  <si>
    <t>Sur-qualité des services par rapport au besoin réel.</t>
  </si>
  <si>
    <t>Contribuer à l’atteinte des objectifs de performance de l’entreprise (financiers, opérationnels, réglementaires, et enjeux ESG).</t>
  </si>
  <si>
    <t>Associer les instances internes (direction générale, métiers et DSI) au pilotage de la performance du SI et du numérique.</t>
  </si>
  <si>
    <t>Impliquer les parties prenantes externes dans une démarche de performance partagée et de transparence contractuelle.</t>
  </si>
  <si>
    <t>Donner de la visibilité à la direction générale sur l’efficacité du numérique dans l’entreprise.</t>
  </si>
  <si>
    <t>Sous-estimation de l’impact de la transformation du modèle de sourcing de la DSI (sous-estimation des changements, ex : Move to cloud).</t>
  </si>
  <si>
    <t>Sous-estimation de l’impact des nouvelles technologies, de la menace cyber, de la dette technique…</t>
  </si>
  <si>
    <t>Manque de processus structuré assurant le suivi de la performance opérationnelle et financière du SI.</t>
  </si>
  <si>
    <t>Objectifs de performance</t>
  </si>
  <si>
    <t>Budget</t>
  </si>
  <si>
    <t>Coûts complets des services</t>
  </si>
  <si>
    <t>Pilotage du portefeuille des projets</t>
  </si>
  <si>
    <t>Valeur</t>
  </si>
  <si>
    <t>Bonne pratique n°8</t>
  </si>
  <si>
    <t>Critère 8</t>
  </si>
  <si>
    <t>Maturité vecteur</t>
  </si>
  <si>
    <t>Complétude Vecteur</t>
  </si>
  <si>
    <t>VOLET 1  -  STRATEGIE</t>
  </si>
  <si>
    <t>VOLET 2 - OPERATIONS</t>
  </si>
  <si>
    <t>VOLET 3 - SUPPORT</t>
  </si>
  <si>
    <t>Stratégies</t>
  </si>
  <si>
    <t>Mettre le numérique au service de la réalisation des enjeux stratégiques de l’organisation.</t>
  </si>
  <si>
    <t>La DSI participe à l'élaboration de la stratégie de l'entreprise.</t>
  </si>
  <si>
    <t xml:space="preserve"> Lien avec les vecteurs Innovation, Architecture et Budget &amp; Performance. </t>
  </si>
  <si>
    <t>La DSI décline le plan stratégique de l'organisation sous forme de plan de route numérique.</t>
  </si>
  <si>
    <t xml:space="preserve"> Lien avec les vecteurs Architecture et RSE. </t>
  </si>
  <si>
    <t>• Les paliers correspondent à des « états stables » ou étapes majeures de la transformation, sur lesquels l’organisation peut capitaliser (par exemple : mise en place de nouveaux services).</t>
  </si>
  <si>
    <t>• Le volet numérique définit la stratégie de sourcing lui permettant d’atteindre les objectifs du plan stratégique de l’organisation sur les différents plans (humains, financiers, sécurité, périmètre d’activité, délais de déploiement etc.).
• Les plans d’action issus du volet numérique prévoient la mise à disposition des ressources (côté métiers et côté DSI), qui doivent être intégrées dans le plan stratégique de l’organisation et validées.
Ils précisent si les ressources définies proviennent d’un sourcing interne (développement de compétences) ou s’il est nécessaire de les acquérir à l’extérieur (achats, partenariats, recrutements, etc.).</t>
  </si>
  <si>
    <t>• Il ne s’agit pas ici d’élaborer un business case, mais d’indiquer la finalité et la valeur métier des investissements demandés afin qu’une enveloppe soit inscrite au plan stratégique. Les investissements devront ensuite être autorisés au cas par cas dans le cadre de projets.</t>
  </si>
  <si>
    <t xml:space="preserve"> Lien avec le vecteur Marketing &amp; communication. </t>
  </si>
  <si>
    <t xml:space="preserve">• Il est nécessaire d’élaborer un plan de communication dédié au volet numérique en complément de celui du plan stratégique global de l’organisation. </t>
  </si>
  <si>
    <t>• La DSI communique sur sa contribution aux enjeux des différents métiers. 
• La DSI partage avec les métiers les domaines nécessitant une collaboration renforcée afin d’assurer la réussite du plan numérique (ex. : reprise de données, accompagnement du changement, transitions organisationnelles, etc.).
• Elle a défini, pour chaque cible, ses objectifs de communication et les moyens de mesurer leur atteinte. 
• Elle déploie une communication différenciée et adaptée vers ces différentes cibles (internes et externes).</t>
  </si>
  <si>
    <t>• Cette démarche s’applique aussi bien au sein des équipes internes qu’auprès des métiers.</t>
  </si>
  <si>
    <t xml:space="preserve"> Lien avec le vecteur Budget &amp; Performance</t>
  </si>
  <si>
    <t>L’instance de pilotage stratégique regroupe les directeurs métiers, le DSI et un représentant de la direction générale. Elle se réunit régulièrement, ses décisions sont communiquées et leur application est suivie.</t>
  </si>
  <si>
    <t>• La direction générale a défini et mis en place l’organisation et les instances de gouvernances adéquates pour piloter sa stratégie numérique.
• Le directeur du SI (le DSI ou le responsable SI concerné, selon les organisations) participe systématiquement à cette instance.</t>
  </si>
  <si>
    <t>• L’instance doit être présidée par la direction générale ou, le cas échéant, par la direction de la BU concernée.</t>
  </si>
  <si>
    <t>Offre de services ou produits obsolètes, décalée par rapport à la concurrence.</t>
  </si>
  <si>
    <t>Lien avec les vecteurs Risques &amp; Conformité</t>
  </si>
  <si>
    <t>• Cette structuration peut se décliner de différentes façons, plus ou moins formelles (par exemple, un rapprochement entre la DSI et le marketing stratégique pour détecter les innovations différenciantes par rapport aux concurrents).
• Des « règles du jeu » fixent clairement, et sans formalisme lourd, les objectifs et limites de la veille ainsi que le positionnement par rapport aux PoCs et aux projets.
• La DSI identifie avec les métiers les risques et opportunités des principales évolutions technologiques.</t>
  </si>
  <si>
    <t xml:space="preserve">• Un dispositif permet de collecter les idées novatrices dans l’organisation (les initiatives peuvent prendre la forme de boîtes à idées, plateformes numériques, concours…).
• Ce dispositif s’assure de la mobilisation des bonnes ressources en fonction de l’objectif de l’innovation.
• Le financement de l’effort d’innovation utilise des fonds dédiés, séparés de ceux des projets standards.
• Une approche via des projets pilotes ayant une échelle limitée est adoptée afin de démontrer le potentiel de l’idée innovatrice. Cette approche a pour objectif de préparer leur intégration dans les projets en cours de l'organisation et de s'assurer de leur conformité réglementaire. 
• Quand une idée a démontré son potentiel en mode pilote, elle est sélectionnée et rejoint le portfolio de projets standards. </t>
  </si>
  <si>
    <t>• Elle vérifie notamment  le respect de certaines normes, évalue les risques, les  enjeux et les  impacts.</t>
  </si>
  <si>
    <t>• Cette analyse s'inscrit dans une logique d'amélioration continue</t>
  </si>
  <si>
    <t>• La DSI sélectionne un certain nombre de domaines technologiques, jugés stratégiques en accord avec les métiers, et dans lesquels elle décide d’exercer une activité de veille. 
• La DSI participe aux autres réseaux de veille de l'organisation pour anticiper et intégrer les impacts sur le SI.</t>
  </si>
  <si>
    <t>• L’organisation met en œuvre des techniques et dispositifs de gestion destinés à créer les conditions les plus favorables au développement d'innovations concrètes.
• Elle organise des processus d'idéation de nouveaux usages et des événements de promotion des nouvelles technologies (hackathons,...)
• Des démonstrations technologiques et des actions de communication au sein de l’organisation et à l’extérieur sont réalisées.</t>
  </si>
  <si>
    <t>• L'objectif est de créer les environnements dédiés et propices à l’expression de la créativité et favorisant l’innovation (« bac à sable », Lab d’innovation, salle de coworking…), tout en assurant le respect des bonnes pratiques du SI ainsi que sa sécurité.
• Les collaborateurs ont la possibilité de se consacrer aux activités d’innovation et de développement de projets, sur un pourcentage de leur temps de travail ou un temps dédié dans la semaine. 
• Des « Centres d’Excellence » permettent de centraliser les compétences et l’expérience, de servir de dépôt de bonnes pratiques, d’exécuter des PoCs et pilotes et de former.</t>
  </si>
  <si>
    <t>• Des experts sont sollicités pour témoigner de leur expérience et partager leurs connaissances dans le cadre de manifestations organisées par des organismes reconnus en France et à l’étranger.
• L’organisation participe à l’évolution des normes dans les secteurs techniques stratégiques.
• Les informations issues de ces participations sont mises à disposition des collaborateurs de la DSI ainsi que des interlocuteurs métiers identifiés.</t>
  </si>
  <si>
    <t>• Un suivi du portefeuille d’innovation est réalisé. 
• L’avancement des initiatives et l’utilisation des ressources mobilisées sont documentés. 
• Des dispositifs de re-priorisation existent et permettent la souplesse budgétaire.</t>
  </si>
  <si>
    <t>• Les méthodes agiles permettent à de petites équipes cross-fonctionnelles de travailler en petits incréments afin de construire et tester un produit ou une fonctionnalité sur un proof of concept, suivi éventuellement par un pilote sur petite échelle.</t>
  </si>
  <si>
    <t>• Les critères d’évaluation de l’efficacité du processus d’innovation couvrent à la fois des dimensions quantitatives (coûts, ressources, délais, performance) et qualitatives (pertinence, satisfaction, appropriation). Ils sont définis sur une échelle de temps adaptée au rythme d’adoption des innovations.</t>
  </si>
  <si>
    <t>Lien avec le vecteur Marketing &amp; Communication</t>
  </si>
  <si>
    <t xml:space="preserve">• Cette communication est établie entre les différents acteurs, coordonnée par la direction de la communication de l’organisation.
• Le périmètre de communication prend en compte la stratégie de l'organisation et l'impact de cette communication sur l'image de l'organisation. </t>
  </si>
  <si>
    <t>• L’instance responsable du processus développe et maintient un tableau de bord permettant de suivre les indicateurs clés et de communiquer sur les progrès et performances.</t>
  </si>
  <si>
    <t>Il existe un processus itératif de gestion standardisé et intégré des risques numériques, incluant les pratiques et les procédures pour communiquer, consulter, établir le contexte, identifier, analyser, évaluer, traiter, piloter et réviser les risques. Ce processus est intégré à la gestion des risques de l'organisation.</t>
  </si>
  <si>
    <t>• Les dirigeants communiquent en interne et en externe sur la gestion des risques numériques avec des objectifs clairement définis.
• La gestion des risques numériques fait partie intégrante du bilan annuel d’activité de l’organisation.
• Un programme continu de sensibilisation et de formation est mis en œuvre pour tous les collaborateurs.</t>
  </si>
  <si>
    <t>• L'appétence au risque est le niveau de risque qu'une organisation est prête à prendre : elle représente la position stratégique de l’organisation vis-à-vis du risque.
• La tolérance est le seuil d'acceptation maximal de survenance du risque : il s’agit d’une notion plus opérationnelle qui fixe les seuils à ne pas dépasser par l’organisation.
• Les unités de mesure et de fréquence, clairement définies, sont communes à l'ensemble de l'organisation.
• Le management a défini des seuils de risques résiduels raisonnables pour l'organisation ainsi que l'impact financier maximal acceptable.
• Ce dispositif permet d'identifier les méthodes de transfert ou de réduction du risque.</t>
  </si>
  <si>
    <t xml:space="preserve">• Lors de l’élaboration de la feuille de route, la DSI s’assure que des projets permettant de réduire les principaux risques de l’organisation sont identifiés. Ces risques peuvent concerner plusieurs dimensions :
- Continuité d’activité (disponibilité des services, résilience).
- Protection des données (intégrité, confidentialité, prévention du vol).
- Gestion des projets (sélection inadaptée, non-atteinte des objectifs).
- Capacités technologiques (manque de maîtrise des technologies nécessaires au développement et à la compétitivité de l’organisation).
• Les risques au regard des critères d’intégrité et de confidentialité doivent également être évalués et revus périodiquement. </t>
  </si>
  <si>
    <t>• Cf. Maîtrise du risque numérique - l’atout confiance, ANSSI, 2019</t>
  </si>
  <si>
    <t>• Sont généralement pris en compte : les applications supportant des flux financiers majeurs (systèmes comptables, consolidation &amp; reporting), les systèmes de facturation (gestion des achats, des commandes et des stocks), les applications de gestion des référentiels car considérées comme transverses (clients, contrats, etc.), les applications de gestion des accès, les applications critiques en termes de confidentialité et les applications considérées comme « coeur de métier ».
• Une vigilance particulière est accordée aux traitements de données personnelles.
• Les risques impactant l'écosystème (interdépendances) de l'organisation sont pris en compte.</t>
  </si>
  <si>
    <t>• Les ressources comprennent par exemple les applications, les serveurs, l’infrastructure et les postes clés qui leur sont associés.</t>
  </si>
  <si>
    <t>• Par exemple, un projet de sauvegarde en temps réel de données critiques permet, en favorisant un démarrage très rapide en cas d’incident, de réduire un risque de perte de continuité d’activité. C’est aux métiers, à la direction des risques et à la direction générale de décider si les coûts supplémentaires envisagés sont acceptables par rapport à l’impact de l’interruption d’activité.</t>
  </si>
  <si>
    <t xml:space="preserve">• Des indicateurs permettent de valider l'efficacité des contrôles comme : 
- Le nombre de contrôles clés adapté à l’organisation.
- L’intégration des contrôles au sein des processus. </t>
  </si>
  <si>
    <t xml:space="preserve">• Ces évaluations doivent être fondées sur les référentiels existants auxquels est soumise l'entreprise. 
• Ces évaluations peuvent être menées par des cabinets indépendants et donner lieu à la délivrance de certificats. </t>
  </si>
  <si>
    <t>• La PSSI définit notamment les rôles et responsabilités associés à la fonction RSSI.
• Le PAS (plan d'assurance sécurité) est sa déclinaison vis-à-vis des tierces parties.</t>
  </si>
  <si>
    <t>• Une feuille de route sécurité permet de couvrir toutes les facettes de la menace cyber. 
• La DSI s'assure de la bonne application de ce dispositif chaque fois qu’elle a recours à des services de type cloud.</t>
  </si>
  <si>
    <t>• Modes d’évaluation : audit de sécurité (test de pénétration), tests des sauvegardes, scans de vulnérabilité, etc.</t>
  </si>
  <si>
    <t>• Modes de remédiation : sensibilisation, hackathons, formations spécifiques, rappel du règlement intérieur, charte cybersécurité, sanction disciplinaire le cas échéant.
• Les partenaires externes sont intégrés aux campagnes de formation et aux actions de remédiations.</t>
  </si>
  <si>
    <t xml:space="preserve">• Cette redondance peut passer par l'intégration de solutions hybrides combinant infrastructures locales et services cloud, ou par un recours à différents fournisseurs. 
C'est généralement la première étape dans la conception d'un PRA ou d'un PCA. 
• Remarque générale : l'évaluation de la maturité dépend de la taille et du contexte business de l'organisation. </t>
  </si>
  <si>
    <t>• Cette politique inclut la fréquence des sauvegardes et tient compte des objectifs de RPO (recovery point objective ou Objectif de point de reprise) et RTO (recovery time objective ou Objectif de temps de rétablissement) ainsi que des contraintes réglementaires.
• Elle prévoit des mécanismes de protection des sauvegardes et de toutes leurs copies sur des sites externes.
Des tests de restauration sont effectués à intervalles réguliers pour vérifier l'intégrité des sauvegardes.</t>
  </si>
  <si>
    <t>Enjeux métiers et stratégiques</t>
  </si>
  <si>
    <t xml:space="preserve">L'évaluation des risques numériques réalisée par la DSI prend en compte les changements significatifs impactant l'organisation : modifications d’organisation internes et externes (fusion, nouvelle activité, nouvelle implantation, etc.), évolutions réglementaires et technologiques (IA, informatique quantique, ...), événements survenus ou pouvant survenir (menaces) avec une fréquence et un impact potentiel négatif suffisamment important pour l’organisation, ou comportant des risques humains. </t>
  </si>
  <si>
    <t>• Des réunions périodiques avec les métiers et des échanges réguliers entre les acteurs sont organisés pour prendre en compte les évolutions.
• Les contraintes réglementaires à prendre en compte sont principalement : le Règlement Général de Protection des Données (RGPD), la transposition de la directive NIS 2, l’Archivage fiscal et légal, le SOX s’il y a lieu, la réglementation sectorielle (Bâle 2, Bâle 3, Solvency 3, Santé, Pharmacie, etc.), DORA, l’AI Act, le Cloud Act, etc.
• Des bases d’incidents ont été mises en place pour permettre de tracer et de recenser les incidents majeurs.
• Un dispositif de veille permet d’anticiper les risques émergents (veille sécurité internet, émergence risques métiers, etc.).</t>
  </si>
  <si>
    <t xml:space="preserve">• Pour rappel, les contrôles IT portent d'une part sur les métiers et d'autre part sur les processus IT.
• Les contrôles sont formalisés en appliquant le modèle de documentation des contrôles défini par l'organisation. 
• Les contrôles clés portent sur la procédure de gestion des accès aux SI, les mécanismes de journal des activités sur les SI et la revue de ces journaux, la procédure de gestion des changements, etc. </t>
  </si>
  <si>
    <t>• Les tests sont spécifiés, communiqués auprès des parties prenantes, testés et validés.
• Des audits sont réalisés de manière indépendante notamment sur les projets critiques et les enjeux cyber.</t>
  </si>
  <si>
    <t>Une cartographie recence les application, les données et les flux de données entre applications, les services techniques, les infrastructures, etc. Mettre en relation cette cartographie SI avec les processus métiers de l'organisation et évolue à l’occasion des projets.</t>
  </si>
  <si>
    <t xml:space="preserve">L'équipe projet/produit réunit les compétences nécessaires tant métiers que conduite de projet. Elle dispose également des expertises techniques ou elle s’appuie sur un référent responsable chargé des choix techniques. Elle bénéficie de moyens d'action et de décision réels et d’un budget dédié. </t>
  </si>
  <si>
    <t>• Il prend en compte le cycle de vie des matériels et logiciels et s'appuie sur une feuille de route prévoyant le renouvellement ou la mise à jour des composants avant leur obsolescence.
• Ce processus doit prévoir un dispositif de gestion des exceptions.</t>
  </si>
  <si>
    <t>• Ce processus est lié au processus de gestion des risques, qui permettra de déterminer si une action est à mettre en œuvre ou non.
• Le processus de gestion des vulnérabilités permet de connaître les fragilités du SI, et de mettre en place des actions correctives afin de diminuer l'exposition au risque de cyber attaque.</t>
  </si>
  <si>
    <t>• Les tests incluent les éléments liés à la conformité.</t>
  </si>
  <si>
    <t xml:space="preserve">• La composante numérique du PCA est élaborée sur la base de la cartographie des risques.
• Elle tient compte des risques de non-conformité réglementaire acceptables par l'organisation. </t>
  </si>
  <si>
    <t xml:space="preserve">• La connaissance des données qualifiées de « sensibles » permet à l’organisation d’adapter au mieux ses dispositifs de maîtrise des risques.
• Des outils de cartographie des données ou Master Data Management (MDM) peuvent être utilisés. </t>
  </si>
  <si>
    <t>• Ces mesures de protection incluent, par exemple, la gestion des habilitations pour accéder aux applications et les sauvegardes.</t>
  </si>
  <si>
    <t>• Le périmètre de responsabilité intègre les traitements liés aux données sensibles (mise en place de traces, conservation, revues périodiques des droits d’accès, etc.).</t>
  </si>
  <si>
    <t>• Une démarche de promotion de la sobriété des usages numériques est en œuvre au sein de l'organisation. 
• Des « référents numérique responsable » ont été identifiés dans chaque business unit. Ils jouent le rôle d'ambassadeurs en permettant une sensibilisation sur les sujets RSE au quotidien.
• Des campagnes de sensibilisation régulières sont organisées pour les métiers et les utilisateurs.
• Le travail de sensibilisation mené par les «référents numérique responsable » peut être effectué notamment par le biais d'ateliers dédiés. 
• L'impact de ces ateliers, ou celui des autres types d'actions de sensibilisation et de formations menées, est régulièrement mesuré.
• Au niveau RH, les compétences en matière de numérique responsable sont ajoutées à la liste des skills recherchés dans les candidatures IT.</t>
  </si>
  <si>
    <t>• Les collaborateurs de la filière numérique sont formés au numérique responsable (empreinte environnementale, enjeux d’inclusion et d’accessibilité, enjeux éthiques et d’équité, conformité et écoconception…). 
• Les contributeurs à la conception et au choix des solutions sont formés au numérique responsable.</t>
  </si>
  <si>
    <t>• La performance écologique du SI fait l'objet d'un pilotage dédié, cf. Modèle de pilotage économique et écologique IT, Cigref, 2022
• L'empreinte environnementale des projets et produits, basée sur l'analyse du cycle de vie, est mesurée.
• Les critères RSE sont intégrés dans les décisions d'investissement numérique et  évaluent notamment : 
- les émissions de gaz à effet de serre,
- les consommations de ressources abiotiques (terres rares),
- la consommation d'eau,
- l'énergie primaire mobilisée (rayonnement solaire, vent, charbon, uranium, etc.).
• L’évaluation des critères RSE repose sur une approche multi-étapes et multi-composants : elle se fait sur tout le cycle de vie des équipements numériques (phases de fabrication, distribution, utilisation et fin de vie), et concerne aussi bien les terminaux, les réseaux, que les centres de données, etc.</t>
  </si>
  <si>
    <t>• Les principaux KPI associés à la durabilité ou à l'accessibilité font l'objet d'un pilotage.</t>
  </si>
  <si>
    <t>• La DSI organise auprès des métiers une veille sur l'IT for Green et est impliquée dans l'outillage des solutions de reporting.
• Des initiatives sont développées pour favoriser le recyclage, le réemploi et la réparabilité des équipements.</t>
  </si>
  <si>
    <t>• Les audits fournisseurs intègrent la dimension RSE.
• Les fournisseurs sont sélectionnés et challengés sur leur gestion de la fin de vie des équipements, la réparation, le recyclage, et le réemploi de leurs produits. 
• Ils transmettent des données d’impact environnemental précises, notamment sur les services cloud ou les usages de l’IA.</t>
  </si>
  <si>
    <t>• La contribution de l’IT à la réduction de l’impact RSE est évaluée et communiquée.
• L’impact des services est piloté de manière détaillée.
• La performance écologique du SI est pilotée en suivant un modèle préétabli, par exemple le Modèle du pilotage économique et écologique de l'IT, Cigref, 2022. 
• L’empreinte environnementale est calculée sur la base de l’analyse du cycle de vie (ACV).
• Un éco-score est mis en place sur les projets.</t>
  </si>
  <si>
    <t>• L’organisation et/ou les collaborateurs obtiennent des labels reconnus  tels que le label de l’INR.</t>
  </si>
  <si>
    <t>• Les éléments suivants y figurent : rôles et responsabilités, critères, niveaux de risques acceptables, etc.</t>
  </si>
  <si>
    <t>• Cette stratégie s’applique à tous types de données : stratégiques, commerciales, industrielles personnelles et critiques. 
• L’utilisation des données fait partie intégrante du volet numérique du plan stratégique de l’organisation. 
• L'intelligence artificielle est intégrée dans la stratégie, ainsi que la politique de sécurisation.
• Cf. Gouvernance et Architecture Data &amp; Analytics : Élaborer et mettre en place la stratégie data, Cigref, 2023</t>
  </si>
  <si>
    <t>• Une fréquence annuelle est recommandée.</t>
  </si>
  <si>
    <t>• Le dispositif de gouvernance permet notamment d'identifier les différents rôles clés intervenant dans la gestion des données tels que les propriétaires des données (data owners), les data stewards, le délégué à la protection des données (DPD ou Data Protection Officer), ainsi que la DSI, les administrateurs fonctionnels et techniques, etc.
• Le dispositif comprend, de manière non exhaustive, le référentiel documentaire, la cartographie et la liste des contrôles. La documentation contient a minima, le dictionnaire des données, le dictionnaire des flux, et le data lignage. 
• Le dispositif couvre l’ensemble du cycle de vie de la donnée, de sa collecte à sa destruction.
• Des outils de gouvernance de la donnée peuvent faciliter la mise en place des bonnes pratiques.
• Le dictionnaire de données est partagé et compris par les métiers et la DSI, avec une identification claire des propriétaires des données.</t>
  </si>
  <si>
    <t>• Le titre et les responsabilités peuvent varier en fonction du contexte de l'organisation.</t>
  </si>
  <si>
    <t>• Il peut inclure par exemple, une charte d'utilisation des données. La direction de la communication peut être sollicitée pour assurer la diffusion de la charte.</t>
  </si>
  <si>
    <t>• Chaque nouveau projet doit intégrer l’utilisation du dictionnaire des données et informer les acteurs de gestion concernés, comme le comité projet ou l’urbanisme, par exemple.</t>
  </si>
  <si>
    <t xml:space="preserve">• L'évaluation de la qualité des données fait partie intégrante du dispositif de contrôle interne et de maîtrise des risques. 
• Une comitologie (ensemble de comités) a été instaurée incluant l'ensemble des parties prenantes des référentiels de données et dictionnaires, avec une fréquence régulière et un objectif d’amélioration continue. Les comptes-rendus de ces comités sont systématiquement établis. 
• Les critères de qualité peuvent inclure la traçabilité, l’intégrité, la fraicheur (mise à jour régulière), l’exactitude, le dédoublement,l’exhaustivité, la cohérence, la disponibilité, etc.
• L'organisation peut faire usage de solutions d’IA pour rendre le processus plus efficace. </t>
  </si>
  <si>
    <t>• Les outils et compétences sont utilisés par les métiers dans leur fonctionnement et dans leurs projets, notamment en matière d'innovation.</t>
  </si>
  <si>
    <t>• Par exemple, l'entraînement des moteurs d'IA (RAG,etc) fait l’objet de cette évaluation.</t>
  </si>
  <si>
    <t>• Il existe une analyse d'impact formalisée sur le business de l'organisation.</t>
  </si>
  <si>
    <t>• Une méthodologie de gestion des risques, connue et partagée au sein de l'organisation, est en place.</t>
  </si>
  <si>
    <t>• Un plan d'action ou de remédiation est disponible.
 • Ces dispositifs incluent des solutions techniques adaptées aux risques identifiés</t>
  </si>
  <si>
    <t>• Il existe un plan de communication et de sensibilisation à cette fin.</t>
  </si>
  <si>
    <t>• La description des flux doit préciser le protocole ou la solution technique, les principales données échangées et le sens des échanges.
• La description des liens entre les différents composants recensés doit être régulièrement actualisée pour garder son intérêt. Pour ce faire, on évitera les visions statiques telles que les diapositives difficiles à maintenir et on privilégiera les outils qui gèrent les différentes vues d'architecture de manière dynamique. Par exemple, un modèle dynamique avec centralisation des informations de description des applications et de leurs dépendances dans une même base de données de composants de multiples natures (conçue à partir d'un méta modèle) permettra d’avoir une vision adaptée selon les métiers de la DSI (conception, exploitation, support, etc.).
• Les cartographies applicatives et techniques font le lien avec le référentiel de données. 
• Les cartographies décrivent impérativement les fins de maintenance et de support des composants d'architecture matérielle et logicielle.</t>
  </si>
  <si>
    <t xml:space="preserve">• Certains outils permettent de cartographier des processus et des capacités métiers en y rattachant les composants du SI.
• La description des processus et des capacités métiers doit être aussi indépendante que possible de l'organisation (description des « rôles » plutôt que des « utilisateurs »).
• La description des processus métiers intègre la cartographie des données et des traitements. </t>
  </si>
  <si>
    <t>• En principe, la responsabilité de la gestion des cartographies est dévolue à l’équipe chargée de l’architecture du SI, qui s’assure, au travers de leur mise à jour, de l’alignement du SI avec le référentiel d’architecture.</t>
  </si>
  <si>
    <t>• La feuille de route SI décrit de façon synthétique (en général sous la forme d’un « fond de carte ») le positionnement cible des principaux composants du SI et les trajectoires, selon une structure et un niveau de granularité cohérents.</t>
  </si>
  <si>
    <t>• Il est notamment précisé les évolutions à produire sur les composants nouveaux, adaptés, remplacés ou simplement décommissionnés.</t>
  </si>
  <si>
    <t>• L’impact des écarts sur l’atteinte des objectifs stratégiques est évalué afin de justifier les investissements nécessaires pour atteindre la cible SI.</t>
  </si>
  <si>
    <t>• La feuille de route SI est présentée et validée par la direction générale.</t>
  </si>
  <si>
    <t>• La tendance est à l'évolution vers des applications de type micro-services qui peuvent être fournies par l'organisation et par l'extérieur.</t>
  </si>
  <si>
    <t>• Les principes et les règles, outre l’alignement métier, doivent couvrir la sécurité dès la conception (cybersécurité, protection des données, sécurité de l’information, etc.) pour garantir la robustesse du SI.</t>
  </si>
  <si>
    <t>• Les orientations d’architecture doivent être mises en regard des enjeux stratégiques métiers.</t>
  </si>
  <si>
    <t xml:space="preserve">• La communication sur les enjeux d'architecture est faite avec pédagogie, au travers de cas d'usages concrets liés aux enjeux métier et porteurs d'innovation.
• Les retours d'expérience des projets sont partagés avec les métiers en mettant en exergue les risques, les atouts et les limites des technologies utilisées ou des principes d'architecture appliqués.
• Ceci est possible par exemple à travers des communautés animées régulièrement. </t>
  </si>
  <si>
    <t>• Le référentiel est mis à jour (notamment lorsqu’il est incomplet ou pas applicable) au travers des projets et à partir de la veille technologique (définition du cadre d’application d’une nouvelle technologie, mise à jour liée à l’obsolescence d’une technologie).</t>
  </si>
  <si>
    <t>• Une bonne pratique consiste à créer et maintenir un dictionnaire des services réutilisables et à mettre en place une gouvernance des services permettant de déterminer dès leur conception les exigences de leur réutilisabilité.</t>
  </si>
  <si>
    <t>• Le référentiel doit être maintenu à jour et accessible facilement (Intranet + moteur de recherche) par toutes les parties prenantes des projets.</t>
  </si>
  <si>
    <t>• Les évolutions du référentiel peuvent entraîner des impacts sur le SI existant. L’utilisation des cartographies (cf. bonne pratique 1) doit permettre de mesurer ces impacts et de cibler l’effort d’adaptation ou de migration du parc applicatif sur le futur standard.</t>
  </si>
  <si>
    <t xml:space="preserve">• Un processus régit l’évolution du référentiel et son application : description du cycle de vie, fonctionnement des instances de décision, livrables et procédures de contrôle qualité associés.
Idéalement, le processus de mise à jour du référentiel doit être défini et intégré à la gouvernance de l’architecture et des projets pour faciliter sa mise en œuvre. </t>
  </si>
  <si>
    <t>• Ce contrôle s’effectue dès la définition de la solution (alignement avec le schéma d’urbanisme du SI), aux différentes étapes des projets de mise en place initiale (respect du cadre de référence), pendant la maintenance (gestion de l’obsolescence), et jusqu’au décommissionnement des solutions.
• Le suivi, aux différentes étapes du cycle de vie, permet également de valider ou d’infirmer le référentiel par l’expérience, et de le faire évoluer si nécessaire.</t>
  </si>
  <si>
    <t xml:space="preserve">• Les dispositifs de gouvernance et les moyens mobilisés varient selon la taille, la maturité et le mode de fonctionnement de chaque organisation.
• Il est indispensable de s’assurer que l’évolution du référentiel et son application correspondent à un optimum global transversal qui intègre de multiples facteurs : coût d’application du standard, support des fournisseurs sur les technologies utilisées (au moins pour les applications critiques), capacité à déployer et utiliser les prérequis techniques nécessaires aux projets, intérêt des avancées technologiques apportées par le nouveau standard…
• Les nouvelles pratiques (de type DevOps par exemple) doivent être prises en compte.  </t>
  </si>
  <si>
    <t>• Les principes d’architecture doivent être formalisés à partir des objectifs métiers des projets. Ils sont suivis, au même titre que les objectifs métiers, pendant toute la durée du projet.</t>
  </si>
  <si>
    <t xml:space="preserve">• La gestion de l’obsolescence est un enjeu important pour la pérennité et la maîtrise des coûts du SI, mais difficile à « vendre » aux métiers. 
• La mise en place d’un processus, d’une gouvernance et de moyens dédiés au sein de la DSI est souvent nécessaire pour garantir l’application du cadre de référence relatif à l’obsolescence. </t>
  </si>
  <si>
    <t>• Des objectifs d’alignement du SI avec le cadre de référence de l’architecture sont définis et suivis.</t>
  </si>
  <si>
    <t>• Afin de pouvoir les comparer, les projets sont présentés  au sein de l’entreprise dans un cadre normalisé.
• Tous les projets sont centralisés dans ce référentiel, depuis les idées initiales jusqu’aux projets lancés et en cours de réalisation.</t>
  </si>
  <si>
    <t xml:space="preserve">• Les personnes en charge du pilotage du portefeuille de projet disposent de ressources suffisantes (temps, budget, outil, accès à l'information) pour en permettre la bonne gestion.
• La gestion formelle du portefeuille est généralement assurée par un « Project Management Office » (PMO), qui prépare les décisions des dirigeants.
• Les projets sont évalués à la fois en fonction de leur contribution à la création de valeur et des risques ou difficultés de mise en œuvre inhérents.
• Cette évaluation peut être introduite dans la structuration du référentiel pour classer les projets depuis « valeur forte/risques faibles » jusqu’à « valeur faible/risques forts ». </t>
  </si>
  <si>
    <t>• Pour les projets purement techniques et d’infrastructure, le business case peut être établi par la DSI et validé par l’entité ayant autorité. Pour tous les autres, les métiers sont les pilotes de l'élaboration des business cases.
• Pour les projets présentant des enjeux stratégiques ou organisationnels significatifs, un business case doit également être élaboré, même lorsque les coûts engagés sont limités.</t>
  </si>
  <si>
    <t>• Les business cases comportent l’identification des responsables métiers (y compris des sponsors) qui auront en charge la concrétisation des bénéfices métiers. Pour cela, ils sont associés au déroulement du projet pendant toute sa durée de vie.
• Les responsables métiers concernés prennent, avec le chef de projet métier, toutes dispositions (en termes de personnel, information, formation, organisation, etc.) nécessaires à la concrétisation des bénéfices attendus en matière de création de valeur, et/ou d'alignement stratégique, puis de gestion des risques.</t>
  </si>
  <si>
    <t>• Ces acteurs de l’innovation peuvent être dans la DSI (cellule et communauté d’innovation), dans les directions métiers, dans la direction innovation, etc.
• La DSI travaille avec les porteurs de ces initiatives, parfois appelés « champions numériques ».
• La DSI doit être impliquée en amont de la décision d’industrialisation pour en assurer la faisabilité (choix d’architecture, sécurité, etc.).</t>
  </si>
  <si>
    <t>• Ces initiatives sont passées en revue régulièrement pour décider de les poursuivre, de les réorienter ou de les arrêter.
• La méthode d’analyse s’inspire des méthodes de développement du numérique.
• Le processus de décision est rapide.
• Lorsqu’un projet est jugé porteur, des moyens de développement rapide lui sont alloués et il rejoint le portefeuille de projets numériques de l'entreprise.</t>
  </si>
  <si>
    <t>• Un canevas de décision et d’arbitrage est défini, partagé et préétabli.
• L’évaluation des bénéfices et des risques se fait sur la base du business case.
• Les dépendances avec des projets existants ou sur le point d’être lancés sont identifiées et leurs impacts analysés.</t>
  </si>
  <si>
    <t>• L’autorisation de lancement des projets tient compte des contraintes opérationnelles : ressources humaines disponibles, capacité à faire, ressources financières.
• Les résultats des évaluations, et leurs conséquences en termes de hiérarchisation, sont formalisés et communiqués aux équipes concernées.
• Un processus d’escalade vers la direction générale est mis en place pour un arbitrage final si nécessaire.</t>
  </si>
  <si>
    <t>• Les bilans projets réalisés remontent auprès de la direction générale et de l'instance de pilotage des projets.
• Les résultats de ces bilans sont pris en compte afin d'améliorer en continu la bonne priorisation des projets et la mise à jour des critères de décisions.
• À titre d'exemple, cette analyse doit permettre de mieux appréhender les projets dont le business case est trop optimiste, les projets en dépassement de calendrier et de budget, les projets trop complexes.</t>
  </si>
  <si>
    <t>• Les chefs de projets mettent à jour l’avancement des projets (qualité, coûts, délais, risques, reste-à-faire, approche méthodologique, etc.) dans un outil dédié au suivi des projets pour permettre l’élaboration d’un tableau de bord de synthèse.
• Ces informations sont validées conjointement avec le métier au travers des comités projet.</t>
  </si>
  <si>
    <t>• Les organes de pilotage examinent périodiquement (au moins trimestriellement) le tableau de bord et procèdent aux éventuels arbitrages souhaitables entre les différents projets (e.g. repriorisation, réallocation de ressources, dé-priorisation ou arrêt de projets, révision des business cases, etc.), au vu des priorités stratégiques et de la priorisation des ressources.</t>
  </si>
  <si>
    <t>•  Ces audits sont menés par des entités indépendantes (internes ou externes).</t>
  </si>
  <si>
    <t>• L’outil de gestion de portefeuille permet la consolidation des éléments utilisés dans la gestion opérationnelle des projets.
• Il intègre les éléments clés de pilotage, tels que l’allocation des ressources, les interdépendances avec les autres projets, les indicateurs unifiés, etc.
• Cet outil est mis à la disposition des directions métiers permettant ainsi  un travail collaboratif. Il est adapté au nombre et à la complexité des projets à gérer.</t>
  </si>
  <si>
    <t>• Les bilans de projet doivent notamment permettre d’identifier les domaines dans lesquels les nouveaux systèmes d’information ont apporté des gains de performance ou d’efficacité fonctionnelle ainsi que ceux où ils ont entraîné des ralentissements ou des régressions.
• La direction de projet est représentée dans les discussions relatives aux bilans de projet.</t>
  </si>
  <si>
    <t>• Le recours à une tierce partie (interne ou externe) peut être utile pour apporter une évaluation indépendante du bilan projet.</t>
  </si>
  <si>
    <t xml:space="preserve">• Afin d’exploiter plus facilement les données recueillies lors des bilans de projet, l’utilisation d’un modèle standardisé est recommandée.
• Les bilans de projet métiers viennent alimenter une base de connaissances partagée, mise à disposition de l’ensemble des directions métiers et des acteurs de la DSI.
• Les enseignements tirés des bilans alimentent la définition de plans d’action destinés à améliorer le processus de gestion du portefeuille de projets, ainsi que les pratiques de lancement et de réalisation des projets. </t>
  </si>
  <si>
    <t>• La mise en œuvre des actions décidées s’applique à l'ensemble des sujets identifiés dans les bilans projets (ressources humaines, information, formation, organisation, etc.), voire au lancement d’un autre projet.</t>
  </si>
  <si>
    <t>• L‘entité responsable est la direction, le service ou le département utilisateur final de la solution. Il s’agit dans la plupart des cas d’une entité métier (à l’exception des projets techniques). 
• Dans le cas d’un projet transversal, l’entité leader est l’entité la plus concernée ou la plus légitime, voire la plus motrice.</t>
  </si>
  <si>
    <t>• Chacune des deux instances est constituée de participants représentatifs des différentes activités et sujets traités (métiers, DSI, conduite du changement, gestion des risques numériques etc.). Elles se tiennent à une fréquence régulière et adaptée aux sujets traités. Elles permettent de prendre des décisions et d’orienter le projet. Un compte rendu de décisions est systématiquement et rapidement rédigé à l’issue de chaque instance
• L'instance de pilotage projet fournit un reporting à l'instance de pilotage du portefeuille de projets, sous un format standardisé permettant à celle-ci d’exercer son rôle de gestion consolidée du portefeuille.</t>
  </si>
  <si>
    <t>• Exemples de comités complémentaires : comité métiers, comité d’arbitrage fonctionnel, suivi de lot ou de chantier, comité d’intégration dans le SI, comité de recette des développements réalisés, etc.
• En cas de difficultés rencontrées sur des projets critiques, l’entreprise peut faire appel à des audits indépendants.</t>
  </si>
  <si>
    <t xml:space="preserve">• Les acteurs du projet sont choisis en fonction de la méthode de conduite retenue ( « cycle en V » ou « méthode agile »).
• Selon la taille de l’équipe, une seule et même personne peut cumuler plusieurs compétences : techniques, métiers et/ou méthodologiques.  </t>
  </si>
  <si>
    <t>• Les coûts du projet sont identifiés et évalués de manière exhaustive en prenant  en compte l’ensemble des dépenses qui lui sont imputables.
• Une cartographie des risques est entretenue, elle est communiquée à échéance régulière afin de pouvoir anticiper, réagir et escalader dans un délai raisonnable.</t>
  </si>
  <si>
    <t>• La DSI a documenté les différentes méthodes recommandées pour les projets numériques, décrivant pour chacune la matrice des responsabilités (RACI), les jalons, les moyens de contrôle et les livrables obligatoires.</t>
  </si>
  <si>
    <t>• L’équipe projet organise son fonctionnement (comitologie, livrables, organisation) en accord avec le métier.
• Une méthodologie de type « cycle en V » sera pertinente pour les projets à fort enjeux de conformité nécessitant une validation robuste ainsi qu'une documentation fournie.
• Une méthodologie « agile » sera pertinente pour les projets contraints dans le temps, nécessitant d'arbitrer rapidement sur le périmètre et les fonctionnalités, ainsi que pour la plupart des projets orientés vers la mise en place de services internet.
• Pour être pleinement efficace, la méthode agile doit permettre la livraison, à chaque incrément, d'un produit viable et pouvant être enrichi lors des sprints suivants.</t>
  </si>
  <si>
    <t>• La méthode projet retenue intègre la synchronisation nécessaire avec les autres projets du portefeuille, les liens de dépendance mutuels, ainsi que les dépendances internes au projet, notamment celles liées au chemin critique.</t>
  </si>
  <si>
    <t>• Un plan de charge a été défini en ligne avec le planning du projet (incréments, phases du cycle de vie etc.). Ce plan détaille les besoins et ressources disponibles par type de profil.
• Ce plan de charge est communiqué en amont à l'ensemble des parties prenantes afin de leur permettre d’anticiper et de gérer leur disponibilité.
• Dans certains cas (en projet agile notamment), le processus DevOps permet de rapprocher les équipes de développement et les équipes de production favorisant des cycles de développements plus courts, une augmentation de la fréquence de déploiement et une livraison continue.</t>
  </si>
  <si>
    <t>• Les personnes en charge de ce chantier sont clairement identifiées.
• Les populations impactées sont répertoriées.
• Des représentants de chaque population impactée sont impliqués dès la conception.
• Des actions sont menées auprès de ces populations (formation, revue des fiches de poste, …). Si nécessaire, les équipes RH sont mobilisées.</t>
  </si>
  <si>
    <t>• Les solutions développées répondent aux standards techniques de sécurité et d'exploitation mis en œuvre par l'organisation.
• Les éventuels écarts avec ces standards font l'objet de dérogations à un niveau adapté d'autorité au sein de l'organisation.
• Les opportunités d'automatisation des dispositifs de conformité, de sécurité et de contrôle interne sont considérées dès la phase de conception des solutions.</t>
  </si>
  <si>
    <t>• Une attention particulière est portée au respect des normes d'architecture de l'entreprise.</t>
  </si>
  <si>
    <t>• L'équipe projet décline le planning initial (validé lors de la phase de gestion du portefeuille projet) en planning opérationnel.
• Ce planning opérationnel découpe l'ensemble du projet en différentes phases (en conformité avec la méthode projet choisie).
• Les hypothèses retenues pour l'élaboration de ce planning sont détaillées et réalistes (unités d'œuvre, comparaison avec des projets similaires, etc.)</t>
  </si>
  <si>
    <t>• Ces indicateurs devront permettre d’évaluer l'efficience du projet et l'atteinte de ses objectifs.
- En « cycle en V », il pourra s'agir de suivre les charges, le planning, la production (en unités d'œuvre), la dérive par rapport aux objectifs initiaux (par exemple, le nombre d'exigences ajoutées ou modifiées).
- En mode agile, les indicateurs mesureront notamment la vélocité (Scrum) ou le débit (Kanban) de l'équipe, ainsi que la valeur délivrée au fil des itérations.</t>
  </si>
  <si>
    <t>• Les jalons sont régulièrement positionnés pour valider des options structurantes du projet sur lesquelles il sera difficile de revenir en arrière sans conséquence importante.
• En projet agile, la structure opérationnelle peut valider le choix et la priorisation des User Stories du Backlog à inclure dans le prochain Sprint.</t>
  </si>
  <si>
    <t>• Les acteurs impliqués dans les phases de test disposent des compétences nécessaires pour attester la conformité du produit ou de la solution aux attentes. Les fonctions métiers en particulier participent aux étapes de validation fonctionnelle, avec un niveau de formation adapté.
• Les tâches de validation sont formalisées conformément à la méthode projet. Lorsque nécessaire, une décision d'approbation ou de rejet est rendue par l'instance de pilotage en lien avec le sponsor projet ou sa hiérarchie.</t>
  </si>
  <si>
    <t>• Les besoins non fonctionnels d'une solution ou d’un produit sont formellement spécifiés. Ils couvrent notamment la documentation, la continuité d’activité, la disponibilité, l’ergonomie, la performance, la portabilité, la maintenabilité.
• Leur conformité fait l’objet de tests dédiés, suivis d'une validation formelle.
• Les critères de performance, en particulier, sont évalués dans des conditions proches du réel.</t>
  </si>
  <si>
    <t>• Les fonctionnalités restant à développer, corriger ou valider font l'objet d'un suivi formel, incluant la priorisation, les arbitrages nécessaires et la communication sur les dates cibles de mise en œuvre.
• En méthodologie agile (par exemple Scrum) ce suivi se fait dans le Product Backlog.</t>
  </si>
  <si>
    <t>• La validation de la solution ou du produit, préalablement à sa livraison, intègre les avis des instances compétentes afin de garantir sa conformité aux exigences en matière de cybersécurité, de gouvernance, de protection des données, de conformité réglementaire, de contrôle interne, de cohérence avec l'architecture IT de l'organisation, ainsi qu’aux critères ESG (accessibilité à tous, impacts environnementaux, etc.).
• Les exceptions font l'objet de justifications argumentées.
• Le respect des besoins non fonctionnels fait également l'objet d'une validation formelle.</t>
  </si>
  <si>
    <t>• Le bilan opérationnel doit explorer les processus de fonctionnement de la DSI, son organisation, ses choix technologiques, sa qualité de service.
• Le bilan opérationnel identifie les dysfonctionnements et propose des actions d’amélioration concrètes réalisables par les équipes de la DSI.</t>
  </si>
  <si>
    <t>• Cet objectif du bilan de projet est spécifiquement limité à l’évaluation de l'atteinte des objectifs métier.
• Toutes les parties prenantes intervenues dans la réalisation du projet sont conviées.
• L’équipe projet compare la valorisation les éléments constitutifs de l’étude d’opportunité aux résultats effectivement constatés en fin de projet et valide cette analyse.
• Le bilan de projet met en évidence les écarts, en identifie les causes et propose des plans d’action d’amélioration.
• Le cas échéant, les actions d'amélioration peuvent s'appliquer à d'autres projets en cours ou à venir.</t>
  </si>
  <si>
    <t>•  La fréquence minimale de ces rencontres est d’une fois par an.</t>
  </si>
  <si>
    <t xml:space="preserve">• Dans le cadre de ce plan, les organisations peuvent prévoir de faire appel à de la sous-traitance pour combler les écarts de compétence.
• Le plan de gestion RH inclut par exemple :
- le plan de recrutement
- l'évolution prévisionnelle de la pyramide des âges
- le plan de formation et de développement professionnel
- la gestion de la mobilité interne
- l'identification des compétences en tension   </t>
  </si>
  <si>
    <t>• Il permet à La DSI d’organiser le maintien des compétences sur les technologies en voie d'obsolescence.
• Il permet à la DSI de maîtriser le transfert de compétences critiques.</t>
  </si>
  <si>
    <t>• Chaque collaborateur doit avoir une fiche de poste rattachée au référentiel des métiers numériques de l'organisation.
• Lors des recrutements, les fiches de postes sont diffusées et connues de l’ensemble des collaborateurs de la DSI.</t>
  </si>
  <si>
    <t>• Les besoins découlent du plan stratégique de l’entreprise et de la feuille de route numérique.</t>
  </si>
  <si>
    <t>• Le processus est déroulé une fois par an au minimum (par exemple lors de l’entretien annuel).
• Le processus permet d'évaluer la performance du plan de résorption des écarts.</t>
  </si>
  <si>
    <t xml:space="preserve">• Chaque collaborateur est évalué au moins une fois par an. </t>
  </si>
  <si>
    <t>• Ces objectifs sont mesurables et en lien avec la fiche de poste.
• Ils sont alignés avec les objectifs de la DSI (par exemple, avec les indicateurs de délais de résolution des incidents, etc.).
• Ils sont partagés avec les collaborateurs.
• Les objectifs incluent les compétences à développer (techniques ou managériales).
• Une appréciation des performances par rapport à ces objectifs est faite et partagée avec le collaborateur à l'occasion de l'entretien annuel.</t>
  </si>
  <si>
    <t>• Il existe des parcours experts permettant aux personnes souhaitant se spécialiser sur des technologies d'évoluer sans nécessairement passer par des postes de management.
• Le développement des compétences managériales des collaborateurs fait l'objet d'un suivi particulier.
• La reconnaissance de la Valorisation des Acquis de l’Expérience est encouragée par la DSI.
• Cf. Nomenclature des profils métiers du SI, Cigref, 2025</t>
  </si>
  <si>
    <t>• Le plan de recrutement est construit en tenant  compte de la stratégie de sourcing, des besoins en compétences et des compétences disponibles pour chaque activité.
• La DSI prend en compte les attentes des candidats et la rareté de certains profils de compétences afin de rendre ses postes attractifs et compétitifs (rémunération, télétravail, perspectives d'évolution, localisation géographique, intérêt et sens du poste et de l'organisation, environnement technologique, etc.)
• Chaque poste à pourvoir est présenté de manière à le rendre attractif (description de l’entreprise et de sa stratégie, activités à l’international, domaine de responsabilité du poste, etc.).
• Les postes à pourvoir sont systématiquement publiés en interne et les postulants sont reçus par les recruteurs. Un retour leur est systématiquement transmis.
• Différents canaux externes sont utilisés pour pourvoir les postes ouverts (réseaux sociaux, cooptation, relations écoles et universités, relations écosystèmes, chasseurs de tête, etc.).</t>
  </si>
  <si>
    <t>• En cas de retard par rapport au plan prévu, des actions sont mises en œuvre pour garantir la disponibilité des ressources nécessaires (accélération du  processus de recrutement, appel à de la prestation externe, management de transition)
• L'analyse des délais et de la qualité des recrutements permet d'adapter le plan de recrutement à la situation (anticipation des besoins pour tenir compte d'un allongement des délais, ajustement de l'approche de recrutement, etc.).</t>
  </si>
  <si>
    <t>• Un référent est identifié pour l'accueil et l'intégration de l'arrivant.
• Le processus inclut les formations et transferts de compétences nécessaires à l'exercice du poste et aux exigences de l'organisation.
• Le processus permet de s'assurer d'un temps suffisant en présentiel pour favoriser la bonne intégration.</t>
  </si>
  <si>
    <t>• L’offre de formation doit être actualisée régulièrement (exemples : utilisation de MOOC, partenariats avec des écoles, etc.).</t>
  </si>
  <si>
    <t>• Les compétences sont évaluées.
• La formation et les formateurs sont évalués par les participants
• Les résultats permettent de faire évoluer les contenus ou d’ajuster les formats (par exemple, distanciel/présentiel), pour améliorer notamment la rétention des talents.</t>
  </si>
  <si>
    <t>• Ces entretiens sont organisés au fil de l'avancement des sujets traités par le collaborateur, et au minimum lors d'un entretien annuel.
• Des points d'étapes périodiques sont organisés.</t>
  </si>
  <si>
    <t>Ce bilan porte notamment sur :
• L'évolution des besoins.
• L'évolution des compétences.
• L'évolution de l'adéquation entre compétences et besoins de la DSI.</t>
  </si>
  <si>
    <t>• L'exposition aux risques est connue des métiers.
• Les risques concernant la fiabilité/intégrité du prestataire, la protection des données personnelles, la cybersécurité, la conformité réglementaire, la RSE, la qualité et la sûreté, font l'objet d'une évaluation régulière (certifications, audits indépendants). Le cas échéant, ce suivi est outillé.</t>
  </si>
  <si>
    <t>• Cette analyse prend en compte la documentation, le niveau de compétence, l'obsolescence du système, la dette technique, etc.</t>
  </si>
  <si>
    <t>• Ces études comprennent des benchmarks.</t>
  </si>
  <si>
    <t>• Les ressources clés (y compris les nouvelles compétences) à maintenir au sein de l'organisation sont identifiées (par exemple : contract manager, chef de projet expert dans le pilotage de la sous-traitance, architecte capable d’évaluer les propositions des sous-traitants, …) 
• Les rôles et responsabilités associés aux acteurs en charge du pilotage des services externalisés ont été attribués.
• La gestion des emplois et compétences est bien en place.</t>
  </si>
  <si>
    <t>• Il présente l’objet et les gains/coûts tangibles et intangibles : les incidences quantifiables et non quantifiables financièrement pour l'intégration, l'interopérabilité et la réversibilité des offres, ainsi que les coûts supplémentaires liés au niveau de sécurisation à atteindre, doivent être pris en compte.
• Le business case doit également faire apparaître les gains générés au sein des métiers : éléments de comparaison pertinents (interne/externe) et estimation du ROI.</t>
  </si>
  <si>
    <t>• La DSI et les directions métiers concernées, ainsi que les autres parties prenantes (achats, juridique, RSSI, etc.), contribuent au cahier des charges et le valident formellement avant émission.
• Le cahier des charges et la recherche d'offres sont adaptés en fonction du type de bien ou service (achats de matériels, de logiciels, ou de services y compris cloud, prestations ponctuelles, externalisation d'une activité métier ou SI).</t>
  </si>
  <si>
    <t>• Les critères d'évaluation doivent prendre en compte les différents risques identifiés lors de l'évaluation des risques de dépendance, de perte de contrôle, etc.
• Les critères d'évaluation sont éventuellement communiqués aux prestataires consultés.
• Les critères d'évaluation prennent également en compte les enjeux RSE en alignement avec la politique de l'organisation et les exigences de reporting (par exemple : suivi des consommations lors d'une démarche move to the cloud).</t>
  </si>
  <si>
    <t>• Les éléments contractuels couvrent notamment des aspects tels que la définition d'un accord de niveau de service ou SLA (service level agreement), l’identification des obligations de moyens et de résultats, les modalités de reporting et de gouvernance de la prestation, les exigences de fourniture régulière d'attestations (rapports SOC, anciennement ISAE 3402) ainsi que les clauses d'audit.
• Les accords de niveau de service avec le prestataire ou OLA (Operating level agrement) reflètent les engagements de niveau de service de la DSI vis-à-vis des directions utilisatrices (SLA).
• Les modalités de mesure et de partage des indicateurs de niveau de service sont déterminées dans le contrat de services (fréquence, support, destinataires).</t>
  </si>
  <si>
    <t>• Un contrôle est effectué pour s'assurer que toutes les parties prenantes ont été associées à l'élaboration du contrat.
• Le contrat doit rendre possible l'évolution de la prestation après accord des parties (clause de revoyure).</t>
  </si>
  <si>
    <t>• Les étapes incluent notamment :
- Une étape de préparation.
- Une étape d'exécution.
- Une étape de vérification.
- Une étape de stabilisation.</t>
  </si>
  <si>
    <t>• Un calendrier opérationnel définitif est élaboré avec l'ensemble des parties prenantes.
• Les rôles et responsabilités sont clairement établis.
• La comitologie est définie.
• Cette phase de transition est monitorée avec des KPI et jalons prédéfinis.
• Les risques identifiés font l'objet d'un suivi.</t>
  </si>
  <si>
    <t>• La méthode de transfert est définie, soit « big bang », soit « en sifflet » (montée en compétence progressive), soit par lots.
• Les impacts du transfert sont suivis par la DRH.</t>
  </si>
  <si>
    <t>• Il est notamment indiqué dans le contrat que le fournisseur ne pourra utiliser les données de l'entreprise que dans le cadre de l'exécution du contrat.
• Le PV de transfert inclut les aspects suivants : protection des données personnelles, protection du secret des affaires ou industriel.
• Le PV de transfert prévoit précisément les modalités d'échanges de données, de droit de copie, de sauvegarde, de destruction.</t>
  </si>
  <si>
    <t>• Qualité de service (vélocité, agilité, etc.).
• Économie de moyens.
• Amélioration du bilan et du résultat financier.</t>
  </si>
  <si>
    <t>• Une réception des prestations et services externalisés est mise en place afin de s'assurer de la conformité des livrables/services au contrat. Cette réception peut inclure notamment la vérification de la bonne documentation, de la conformité des profils intervenants au contrat (niveau d'expérience, certification), l'atteinte des niveaux de performance attendus, le respect des délais.
• Les attestations de services (type SOC / ISAE 3402) font l'objet d'une revue, et les non conformités identifiées font l'objet d'une analyse d'impact et d'un suivi avec le prestataire.
• Au besoin, des audits ad-hoc sont réalisés.
• Les points périodiques incluent la surveillance des indicateurs via des tableaux de bord accessibles aux parties prenantes.
• Des comptes rendus systématiques sont effectués après chaque point de gestion des services.
• La périodicité et le niveau de suivi dépendent de la criticité des services fournis.</t>
  </si>
  <si>
    <t>• Un processus est défini pour assurer la détection, la classification et la résolution des incidents.
• Ce processus intègre des jalons de communication adaptés à la criticité des incidents, assurant l’information des parties prenantes.
• Ce processus est conçu de manière à permettre le respect des exigences réglementaires associées (ex : fuite de données personnelles à déclarer dans les 72h dans le cadre du RGPD, incident majeur à notifier aux AES (Autorités Européennes de Surveillance, ACPR en France) dans les 4 heures qui suivent la classification de l'incident et sous 24 heures après sa détection dans le cadre de DORA, etc.).
• Un suivi des tendances des incidents est en place pour identifier et gérer les problèmes récurrents
• Tout événement ou écart pouvant avoir un impact sur le planning ou le montant du contrat doit faire l'objet d'une communication au niveau adapté pour permettre une prise de décision.</t>
  </si>
  <si>
    <t>• Le comité de pilotage de chaque contrat permet de s'assurer périodiquement de l'alignement stratégique et opérationnel des services fournis et il inclut notamment :
- Une évaluation de la qualité des prestations, partagée avec les parties prenantes.
- Une évaluation des risques associés à la prestation et au fournisseur.
- Une évaluation des besoins d'évolution du service.
- Une évaluation de la qualité des livrables.</t>
  </si>
  <si>
    <t>• Un bilan des services externalisés est fait, l’atteinte des résultats évaluée.
• La réalisation des économies attendues est évaluée et la maîtrise des coûts analysée (comparaison avec le business case et le retour sur investissement initialement attendu).
• La décision d'étendre ou de reconduire les services externalisés est instruite et prise avec le métier.</t>
  </si>
  <si>
    <t>• Un processus d'autorisation est en place préalablement à l'activation d'un nouveau service.
• En cas d'écart significatif avec les coûts initialement prévus, une analyse causale est réalisée et des plans d'actions sont mis en place (usage du cloud plus important que prévu, hausse du coût des licences, etc.).</t>
  </si>
  <si>
    <t xml:space="preserve">• Les connaissances relatives à la gestion des services externalisés sont capitalisées et développées pour :
- Piloter les contrats
- Auditer les prestations achetées
- Exercer la réversibilité des prestations   </t>
  </si>
  <si>
    <t>• La capacité à gérer la réversibilité des services d’un partenaire vers un autre fournisseur ou leur réinternalisation doit être vérifiée (si nécessaire par la réalisation de tests).
• La réversibilité doit être définie dans les clauses contractuelles.
• Les modalités de clôture et de réversibilité doivent intégrer :
- Les modalités de restitution des données appartenant à l'entreprise, ainsi que la garantie de leur effacement en fin de contrat.
- La description des formations nécessaires pour que l'entreprise ou le repreneur puissent exploiter les données restituées (y compris la documentation).</t>
  </si>
  <si>
    <t>• Le PCA doit inclure les dépendances en termes de compétences, ainsi que les interdépendances de la prestation avec l'environnement SI de l'entreprise (interfaces, autres applications concernées, etc.).</t>
  </si>
  <si>
    <t>• Les éléments permettant la réversibilité (mécanisme de récupération des données, documentation, procédures opérationnelles, etc.) doivent être mis à jour de manière régulière avec le prestataire.
• Une fois par an, la DSI vérifie que le plan de réversibilité est à jour.
• Des tests de réversibilité et des audits de réversibilité sont programmés et effectués périodiquement (périodicité définie dans le contrat).</t>
  </si>
  <si>
    <t>• Elles sont associées lors des différentes étapes, notamment : choix d'un fournisseur, contractualisation, revue avec le fournisseur, clôture du contrat, etc.</t>
  </si>
  <si>
    <t>• Dans le cadre d’achat de matériels et de logiciels, des points de validation technique doivent être mis en œuvre afin de s’assurer de leur cohérence avec l’existant.</t>
  </si>
  <si>
    <t>• Un processus de veille est en place afin d'identifier les actifs informatiques obsolètes et le plan d'action associé (montée de version / remplacement).
• Un processus de montée de version existe et les fournisseurs sont associés lorsque l'opération est jugée critique.</t>
  </si>
  <si>
    <t xml:space="preserve">• La DSI co-construit le catalogue de services avec ses clients sur la base de son offre de services techniques. </t>
  </si>
  <si>
    <t>• Cette description doit être intelligible et concertée avec le client.</t>
  </si>
  <si>
    <t>• Cette actualisation doit être effectuée en collaboration ou concertation avec le client, au moins une fois par an.</t>
  </si>
  <si>
    <t>• La qualité de cette communication est un élément essentiel dans la relation contractuelle interne.</t>
  </si>
  <si>
    <t>• Les métiers disposent d’une vision de bout en bout et la DSI leur communique les outils ou indicateurs pour qu'ils puissent vérifier que les services délivrés sont conformes aux engagements pris.
• Le tableau de bord associé au contrat permet d’assurer une communication permanente avec le client. Sa fréquence est adaptée au service et doit être régulière pour qu’il soit un véritable outil de pilotage conjoint.
• La sensibilisation des métiers clients aux coûts de services leur permet de mieux comprendre la valeur ajoutée du service.</t>
  </si>
  <si>
    <t>• Dans les faits, cette démarche vise à questionner la capacité de la DSI à maîtriser ses coûts et à les autoévaluer. 
• Cf : Modèle de pilotage économique et écologique de l’IT, Cigref, 2022</t>
  </si>
  <si>
    <t>• Il s’agit de formaliser un accord de collaboration où chacun connaît les enjeux de l’autre et accepte ses contraintes.</t>
  </si>
  <si>
    <t>• La prise en compte des aspects réglementaires est à intégrer également.</t>
  </si>
  <si>
    <t>• La DSI a décrit son organisation et cartographié ses processus internes dans ces domaines. Elle doit pouvoir justifier du pilotage de ses activités au travers de tableaux de bord ou indicateurs ou instances de pilotage. Par ailleurs, elle s’assure de la conformité aux certifications obligatoires de son secteur.</t>
  </si>
  <si>
    <t>• La DSI est capable d’analyser l’impact des dégradations de performance ou des interruptions de services sur les activités de ses clients. Les travaux programmés sont convenus avec le métier.</t>
  </si>
  <si>
    <t>• La DSI a une connaissance actualisée des organisations et réseaux d’utilisateurs potentiellement impactés par l’incident. Les moyens de communication doivent être adaptés au type d’incident.
• La DSI a mis en place des dispositifs pour se conformer aux exigences réglementaires en cas d'incident.</t>
  </si>
  <si>
    <t>• La collecte des réclamations est le point de départ du processus d’amélioration continue.</t>
  </si>
  <si>
    <t xml:space="preserve">• De préférence, ces enquêtes doivent être réalisées par un tiers.
• Les tableaux de bord et enquêtes sont à partager avec les instances clientes. </t>
  </si>
  <si>
    <t>• Les indicateurs sont communiqués à travers des tableaux de bord diffusés aux acteurs responsables de la DSI et aux clients concernés.</t>
  </si>
  <si>
    <t>• Les points d’amélioration issus de l’enquête de satisfaction sont traités avec les clients de la DSI de manière à adapter les services.</t>
  </si>
  <si>
    <t>• L’innovation est intégrée dans le processus d’amélioration continue. Des challenges innovation ou hackathons peuvent être co-initiés de manière à améliorer les services ou créer de nouveaux services. Les clients peuvent être sollicités pour tester des idées innovantes.</t>
  </si>
  <si>
    <t>• La direction générale encourage les employés à participer au processus d'innovation.
• Elle promeut une démarche entrepreneuriale et intrapreneuriale de type essai-erreur.
• Elle communique également régulièrement sur l’importance de l’innovation pour le succès à long terme de l’organisation.
• La direction générale établit l’appétence aux risques dans le cadre de l’innovation.</t>
  </si>
  <si>
    <t>Pour macro --&gt;</t>
  </si>
  <si>
    <t>Note du niveau</t>
  </si>
  <si>
    <t>Nb de critères/niveau</t>
  </si>
  <si>
    <t>Nombre de critères non évalués</t>
  </si>
  <si>
    <t>Non renseigné</t>
  </si>
  <si>
    <t>Nombre de critères non renseignés</t>
  </si>
  <si>
    <t>Fiche évaluation Vecteur 13</t>
  </si>
  <si>
    <t>La DSI contribue à l’élaboration du plan stratégique et du business plan de l’organisation.</t>
  </si>
  <si>
    <t>• Ces résultats peuvent donner lieu à des restitutions formalisées à la direction générale présentant, par exemple, les découvertes et observations issues d’événements technologiques, dans l’optique d’un usage métier.
• Les idées d’innovation issues de cette veille peuvent concerner non seulement les produits et outils, mais aussi les nouveaux usages, modèles économiques, services, processus, etc.
• Certaines décisions concernant les programmes stratégiques peuvent être ainsi déclenchées par des ruptures technologiques (ex : Internet des objets, blockchain, Intelligence artificielle, etc.).</t>
  </si>
  <si>
    <t>Le numérique figure dans les chapitres métiers du plan stratégique même s'il ne fait pas l’objet d’une approche globale ou d’un chapitre dédié.</t>
  </si>
  <si>
    <t>Le volet numérique est communiqué conjointement avec le plan stratégique de l’organisation pour en faciliter la compréhension et susciter l’adhésion des métiers.</t>
  </si>
  <si>
    <t>La DSI a défini les cibles visées par la communication (direction générale, directions métiers, responsables de la DSI, principaux acteurs impliqués dans le SI, collaborateurs de l’organisation, parties prenantes externes) ainsi que les moyens de communication (contenu, forme, média, etc.) permettant d’atteindre les cibles identifiées.</t>
  </si>
  <si>
    <t>La DSI évalue l’efficacité de cette communication à l’aide d’indicateurs, d’enquêtes, de feedbacks et de sondages, afin de mesurer l’atteinte des objectifs initiaux.</t>
  </si>
  <si>
    <t xml:space="preserve">La DSI a défini et fait valider des indicateurs de différentes natures, couvrant l’ensemble des enjeux du volet numérique du plan stratégique. </t>
  </si>
  <si>
    <t>• Ces indicateurs peuvent être de nature financière ou non financière : budgets d’investissements « CAPEX » et de fonctionnement « OPEX », gestion prévisionnelle des emplois et des compétences (GPEC), suivi des grands jalons, stratégie de sourcing, mixité des équipes, bilan carbone de l’IT, etc.
• Cf publication IT Scorecard de l'AFAI</t>
  </si>
  <si>
    <t>Une instance de pilotage stratégique du SI est mise en place au niveau de la direction générale afin de valider le volet numérique du plan stratégique, rendre les arbitrages nécessaires et assurer le suivi de sa mise en œuvre.</t>
  </si>
  <si>
    <t xml:space="preserve">La direction générale réévalue périodiquement le mode de fonctionnement et la performance de cette instance, et en adapte le cas échéant la composition ou le mandat, en particulier lors d’évènements majeurs impactant la stratégie.  </t>
  </si>
  <si>
    <t>Un dispositif permet d'accompagner l'innovation depuis l'idéation jusqu'à la mise en œuvre de solutions. Les activités de veille alimentent des proof of concept (PoC) et des démonstrateurs en vue de l’amélioration des processus et de la diffusion du potentiel des technologies (culture de l'innovation).</t>
  </si>
  <si>
    <t>• Des mandats clairs sont assignés pour encadrer la promotion et la facilitation de l’innovation. Ces mandats sont formellement attribués et fortement soutenus par la direction générale.
• Cette politique peut préciser les responsabilités en termes de :
 - Pilotage du processus d’innovation, alignement avec la stratégie d’organisation
 - Sélection des projets d’innovation 
-  Allocation des ressources
-  Suivi de la performance
• Les rôles et responsabilités peuvent être exercés par des ressources de la DSI ou d’autres directions de l’organisation, ainsi que par des acteurs ou organismes externes.</t>
  </si>
  <si>
    <t xml:space="preserve">• Ces partenariats permettent à l’organisation de développer l’esprit d’innovation et d’attirer les talents. Des dispositifs de co-innovation peuvent être mis en place (start-ups, start-ups studios, etc.).
• Cf. Open Innovation, réponse aux challenges de l’entreprise, Cigref, 2018 </t>
  </si>
  <si>
    <t>• Des comités ad hoc de gestion des risques ont été créés intégrant les acteurs métiers et des membres de la direction générale.
• Une filière « Risques » intégrant l’ensemble des métiers est formalisée dans l’organigramme de l’organisation. Sa mission est précisée et communiquée. La filière « Risques » inclut une veille sur les risques métiers et SI, ainsi que sur les risques émergents. Un correspondant compétent en risk management est identifié au sein de la DSI. Un document de politique de gestion des risques est diffusé et partagé au sein de l’organisation. Les événements climatiques sont pris en compte dans cette analyse.
• Des certifications professionnelles (CISA, EBIOS, COBIT, CRMA, ISO27005, CRISC, CISM...) permettent d'assurer la mise à disposition d'un cadre et d’outils adaptés.</t>
  </si>
  <si>
    <t xml:space="preserve">• Des tableaux de bord dédiés à la gestion des risques technologiques et cyber sont mis à disposition de la direction générale et du conseil d’administration. Cf. Cybersécurité : comprendre, visualiser, décider, Cigref, 2018.
• Des bases de données recensent les incidents importants, et leur impact en termes financiers ou sur l’activité est mesuré.
• Les incidents pris en compte dans la gestion des risques sont analysés et font l’objet d’un reporting sur leur évolution probable, en fréquence et en impact. </t>
  </si>
  <si>
    <t xml:space="preserve">L’évaluation de l'efficacité des contrôles est réalisée par des équipes indépendantes des opérations évaluées, par exemple le contrôle interne et/ou l'audit interne. Cette évaluation documentée comprend les contrôles récurrents de surveillance définis avec les métiers. </t>
  </si>
  <si>
    <t>Pour diminuer son exposition au risque, la DSI définit des éléments de redondance pour ses infrastructures.</t>
  </si>
  <si>
    <t>Les exigences de conformité sont prises en compte dès la conception des solutions (compliance by design).</t>
  </si>
  <si>
    <t>Le dispositif de conformité de la DSI assure une communication régulière sur ses risques et valide les reportings réglementaires avant diffusion interne et externe.</t>
  </si>
  <si>
    <t>La DSI bénéficie du sponsorship de la direction générale de l'organisation en matière de numérique responsable.</t>
  </si>
  <si>
    <t>Une démarche d’achats responsables est mise en œuvre.</t>
  </si>
  <si>
    <t>• Les critères RSE constituent un volet à part entière de la sélection des solutions, produits et équipements.
• Les critères RSE figurent explicitement dans les cahiers des charges des appels d'offres.
• Les politiques d'achats privilégient le matériel labellisé ou certifié RSE.</t>
  </si>
  <si>
    <t>L'organisation cartographie les données et identifie leur contribution à sa chaîne de valeur de l'organisation (a minima pour les obligations légales et réglementaires...).</t>
  </si>
  <si>
    <t>L'organisation attribue les rôles spécifiques pour exploiter ses données : Directeur des données (Chief Data Officer), Délégué à la protection des données, Data scientist, Responsable des données, Chef de projet, etc.).</t>
  </si>
  <si>
    <t>La modularité passe par l'exposition et l'intégration de services élémentaires documentés et maintenus. Cette démarche concerne également la modernisation d'applications (legacy).</t>
  </si>
  <si>
    <t>Les principes et règles d’architecture explicitent les impacts métiers sous-jacents : bénéfices et risques associés (sécurité, adaptabilité, performance, robustesse, impact sur l’efficacité opérationnelle, coût d’usage du SI, time-to-market, impact environnemental, etc.).</t>
  </si>
  <si>
    <t>• Les règles d'architecture ne doivent pas être ignorées et conduire à du Shadow IT au prétexte de l'agilité. Un socle minimal de règles d'architecture est défini pour ce type de contexte.</t>
  </si>
  <si>
    <t>• Dans ce cas, une approche de projet « time-driven project » ou agile peut être mise en œuvre.</t>
  </si>
  <si>
    <t>• Le  « security &amp; privacy by design »  permet d’éviter les surcoûts d’une prise en compte tardive et d’assurer le respect des contraintes réglementaires (par exemple, le RGPD). </t>
  </si>
  <si>
    <t>L'autorité architecturale est impliquée dès le début du projet pour assurer l’alignement avec les politiques et normes de l'entreprise. </t>
  </si>
  <si>
    <t>• Il définit les besoins futurs en compétences et le calendrier de disponibilité des ressources.
• Il décrit les moyens mis en œuvre pour les acquérir (formation et développement professionnel des collaborateurs, partenariat avec les écoles, salons, approche directe, etc.).
• Il intègre les perspectives d'externalisation.
• Il prend en compte les technologies émergentes (Intelligence Artificielle, Low Code, etc.) et leurs impacts sur les métiers de la DSI.
• Il s’inscrit dans un horizon pluriannuel aligné sur le plan stratégique de l’entreprise.
• Il repose sur une démarche de planification des ressources permettant de se projeter à moyen terme (3-5 ans) afin d’anticiper les évolutions technologiques.</t>
  </si>
  <si>
    <t>La stratégie d’externalisation SI inclut la politique « make or buy ». La DSI évalue, avec les métiers, l'opportunité de recourir à la prestation en fonction de la criticité des activités concernées et fait valider la décision au niveau hiérarchique approprié.</t>
  </si>
  <si>
    <t>Il existe un business case relatif à l'externalisation de l’activité.</t>
  </si>
  <si>
    <t>Lorsque les enjeux métiers le justifient, un plan de continuité d’activité (PCA) a été défini pour pallier les éventuelles défaillances lors de la phase de réversibilité.</t>
  </si>
  <si>
    <t>Les contrats de services sont rédigés avec les clients de la DSI et font formellement apparaître les accords respectifs. Leur formulation est intelligible par les deux parties.</t>
  </si>
  <si>
    <t>La DSI mesure la satisfaction des utilisateurs via des questionnaires sur la qualité du service lors de sa livraison (ex : NPS, Net Promoter Score).</t>
  </si>
  <si>
    <t>La DSI a défini ses objectifs prioritaires en mettant en évidence leur contribution à ceux de l'entreprise et en les structurant, par exemple selon les volets de l'IT SCORECARD définis par l'ISACA France.</t>
  </si>
  <si>
    <t>Lien avec le vecteur Stratégie</t>
  </si>
  <si>
    <t>Les objectifs de la DSI sont définis conjointement avec les clients, notamment en ce qui concerne la maîtrise des coûts des services informatiques fournis.</t>
  </si>
  <si>
    <t>Les objectifs de la DSI sont définis conjointement avec les clients, notamment en ce qui concerne la gestion des compétences informatiques et la préparation du futur.</t>
  </si>
  <si>
    <t>Les objectifs de la DSI sont définis conjointement avec les clients, notamment en ce qui concerne l’identification et la gestion des risques liés aux systèmes d’information.</t>
  </si>
  <si>
    <t>Les objectifs de la DSI sont définis conjointement avec les clients, notamment en ce qui concerne les enjeux de conformité et de responsabilité sociétale et environnementale (RSE).</t>
  </si>
  <si>
    <t>Les objectifs de la DSI sont définis conjointement avec les clients, notamment en ce qui concerne sa contribution à la génération de valeur pour l’entreprise.</t>
  </si>
  <si>
    <t>Les objectifs de la DSI sont communiqués à toutes les parties prenantes (collaborateurs de la DSI, clients internes ou externes, comités de direction des autres directions, direction générale, partenaires, etc.).</t>
  </si>
  <si>
    <t>Les objectifs sont revus régulièrement (au moins annuellement) à partir des mesures observées et de leur niveau d'atteinte, et au regard de la stratégie de l'entreprise et de son évolution.</t>
  </si>
  <si>
    <t>Des indicateurs de mesure de la performance du SI sont définis et le niveau d'atteinte des objectifs de la DSI est suivi et partagé régulièrement avec les parties prenantes.</t>
  </si>
  <si>
    <t>Des indicateurs de mesure de la performance (quantitatifs et qualitatifs) sont formalisés dans des tableaux de bord. Ils permettent de mesurer le niveau d'atteinte des objectifs du numérique.</t>
  </si>
  <si>
    <t>Des valeurs cibles d'amélioration ou des seuils d'alerte sont associés aux indicateurs de mesure de la performance.</t>
  </si>
  <si>
    <t>Des moyens de mesure et de contrôle de l’atteinte des objectifs (définition d’indicateurs, mesures régulières) sont en place au niveau de la DSI avec les parties prenantes concernées.</t>
  </si>
  <si>
    <t>• La DSI analyse les résultats de ces indicateurs et leur écart par rapport aux objectifs afin de mettre en œuvre les actions correctives éventuelles.</t>
  </si>
  <si>
    <t>Les indicateurs de mesure de la performance sont revus et mis à jour régulièrement (changements de stratégie ou d’objectifs de l'entreprise ou de la DSI) afin de permettre des améliorations de cette mesure.</t>
  </si>
  <si>
    <t>• Les règles de gestion des indicateurs doivent résulter de règles de gestion communes et partagées pour constituer une base de décision et alimenter les décisions.</t>
  </si>
  <si>
    <t>Les indicateurs de performance sont consolidés dans des tableaux de bord qui sont partagés régulièrement avec les parties prenantes et la direction générale dans un format adapté en faisant apparaître la contribution de chacun.</t>
  </si>
  <si>
    <t>La DSI met en œuvre un processus de gestion budgétaire permettant de gérer les arbitrages avec la direction générale et les directions métiers et parties prenantes, relatif aux projets, aux évolutions et au fonctionnement récurrent.</t>
  </si>
  <si>
    <t>Un budget consolidant l'ensemble des coûts de la DSI est établi.</t>
  </si>
  <si>
    <t>Les coûts sont consolidés par périmètre de responsabilité.</t>
  </si>
  <si>
    <t>Un budget consolidant l’ensemble des coûts de la filière numérique existe.</t>
  </si>
  <si>
    <t>• Ce budget consolidé recouvre non seulement les coûts placés sous la responsabilité de la DSI, mais aussi ceux d’entités ou de correspondants informatiques rattachés à des directions opérationnelles ou fonctionnelles.</t>
  </si>
  <si>
    <t>Le budget du numérique est construit sur la base de natures de dépenses qui lui sont propres, il est ventilé par centre de responsabilité pour faciliter le pilotage.</t>
  </si>
  <si>
    <t>Le budget du numérique permet d'identifier les ressources allouées aux projets (transformation), à la maintenance évolutive, et aux autres coûts récurrents, en particulier la production informatique.</t>
  </si>
  <si>
    <t>L'organisation a mis en place un processus budgétaire. Il est formalisé et clarifie les rôles et les responsabilités.</t>
  </si>
  <si>
    <t>Le numérique fait l'objet d'un processus budgétaire dédié. Les rôles et responsabilités du processus budgétaire sont formellement attribués (cadrage, élaboration, suivi des écarts, mises à jour, …). Il existe un processus d'arbitrage clairement défini.</t>
  </si>
  <si>
    <t>La DSI calcule le coût complet des prestations du catalogue de services fournis à ses clients, en le décomposant en coûts unitaires et en volumes, afin de co-responsabiliser les métiers sur les coûts du numérique.</t>
  </si>
  <si>
    <t>Un catalogue de services a été défini en relation avec les clients de la DSI et couvre la totalité des prestations fournies.</t>
  </si>
  <si>
    <t>La DSI a identifié l'ensemble de ses activités et en maîtrise les coûts, les managers de la DSI comprennent leur contribution au coût complet des services fournis afin de pouvoir les piloter en agissant sur les leviers d'action dont ils ont la responsabilité.</t>
  </si>
  <si>
    <t>Le coût unitaire des services numériques fournis est calculé avec une méthode documentée et transparente, permettant d’en expliquer les composantes et d’en garantir la traçabilité.</t>
  </si>
  <si>
    <t>Une revue et une optimisation régulière des coûts unitaires est mise en œuvre.</t>
  </si>
  <si>
    <t>• Celle-ci peut s'appuyer sur du benchmark.</t>
  </si>
  <si>
    <t>Une démarche FinOps est mise en œuvre au sein de la DSI.</t>
  </si>
  <si>
    <t>L'organisation a mis en place un processus de pilotage du portefeuille de projets fondé sur le suivi de la réalisation des business cases</t>
  </si>
  <si>
    <t>L'entreprise ou la DSI a défini des critères de mesure de la performance des projets et du portefeuille, critères qui comprennent l’alignement aux priorités de l'entreprise et la possibilité de benchmarker la nature des investissements réalisés.</t>
  </si>
  <si>
    <t>• Les critères de mesure de la performance constituent un référentiel partagé au sein de l'organisation.</t>
  </si>
  <si>
    <t>Le suivi des projets est articulé avec la gestion opérationnelle du portefeuille de projets. Ce suivi inclut les coûts, les délais, les risques, et les fonctionnalités délivrées. Il est adapté aux différentes méthodes projets, notamment la méthode agile, le cycle en V., etc.</t>
  </si>
  <si>
    <t>L'appréciation de la performance du projet tient compte de la valeur générée.</t>
  </si>
  <si>
    <t>Un tableau de bord de suivi des projets existe et est partagé avec les directions métiers ainsi que toutes les parties prenantes concernées.</t>
  </si>
  <si>
    <t>Les écarts entre réalisation et prévision sont remontés aux instances de pilotage adéquates, afin de mesurer la réalisation de la valeur attendue.</t>
  </si>
  <si>
    <t>L'organisation a mis en œuvre un cadre de définition de la valeur du numérique et déploie les processus de contrôle nécessaires.</t>
  </si>
  <si>
    <t>L'entreprise a défini les critères de mesure de la valeur et ces critères sont partagés au sein de l'organisation.</t>
  </si>
  <si>
    <t>• Outre les aspects financiers, la valeur prend notamment en compte la dimension RSE.</t>
  </si>
  <si>
    <t>La valeur des services du catalogue est mesurée et questionnée à fréquence régulière.</t>
  </si>
  <si>
    <t>La valeur est un critère de pilotage pour les projets et le portefeuille de projets.</t>
  </si>
  <si>
    <t>Une mesure de la valeur est présente dans le tableau de bord du SI.</t>
  </si>
  <si>
    <t>Promouvoir les apports du numérique au sein de l'organisation</t>
  </si>
  <si>
    <t>Marketing de la DSI</t>
  </si>
  <si>
    <t>La DSI définit sa « raison d'être » et organise son propre marketing.</t>
  </si>
  <si>
    <t>La raison d'être de la DSI est communiquée et partagée. Elle est en ligne avec la stratégie de l'organisation.</t>
  </si>
  <si>
    <t>Cette raison d'être recouvre les notions d'identité, de vision, d'ambition et de valeur, portées par la DSI.</t>
  </si>
  <si>
    <t>Faciliter l'adhésion des collaborateurs de l'organisation aux usages et aux transformations numériques.</t>
  </si>
  <si>
    <t>Manque d’attractivité de la DSI en interne et externe à l'organisation, notamment pour recruter ou retenir les collaborateurs au sein de l'organisation.</t>
  </si>
  <si>
    <t>La raison d'être est régulièrement actualisée.</t>
  </si>
  <si>
    <t>La raison d'être est perçue et incarnée dans les différentes communications (internes et externes).</t>
  </si>
  <si>
    <t>• Elle contribue également à la réputation et à l'attractivité externe.</t>
  </si>
  <si>
    <t>Le marketing de la DSI est organisé à destination de deux cibles principales : les collaborateurs internes à la DSI, l'ensemble des collaborateurs de l'organisation.</t>
  </si>
  <si>
    <t>• Des enquêtes (internes et externes à la DSI) peuvent être organisées pour mesurer la perception de la raison d'être de la DSI par les parties prenantes.</t>
  </si>
  <si>
    <t>Un plan marketing est défini et son exécution est pilotée par la direction ou le management de la DSI.</t>
  </si>
  <si>
    <t>Marketing des services</t>
  </si>
  <si>
    <t>La DSI organise le marketing de ses services auprès de ses clients.</t>
  </si>
  <si>
    <t>Lien avec le vecteur Services.</t>
  </si>
  <si>
    <t>Un plan marketing des services est bâti et mis en place.</t>
  </si>
  <si>
    <t>La DSI assure une promotion régulière du catalogue de services.</t>
  </si>
  <si>
    <t>La DSI mesure et améliore la satisfaction des utilisateurs.</t>
  </si>
  <si>
    <t>La DSI évalue l'adoption des services par les utilisateurs.</t>
  </si>
  <si>
    <t>Le plan marketing fait l'objet d'un pilotage et d'un suivi régulier et actualisé.</t>
  </si>
  <si>
    <t>Plan de communication du numérique</t>
  </si>
  <si>
    <t>La DSI communique selon un plan de communication formalisé, structuré et partagé.</t>
  </si>
  <si>
    <t>Lien avec les vecteurs Stratégie et RSE.</t>
  </si>
  <si>
    <t>Le plan de communication du numérique est aligné sur les enjeux de marketing de la DSI et des services du numérique, il est formalisé et partagé avec les parties prenantes.</t>
  </si>
  <si>
    <t>Le plan de communication du numérique est aligné sur le plan de communication de l'organisation.</t>
  </si>
  <si>
    <t>• La communication de la DSI doit être pensée en cohérence avec la stratégie de communication globale. Cette cohérence est garante de son efficacité.</t>
  </si>
  <si>
    <t>Le plan de communication différencie les populations ciblées (collaborateurs de la DSI, utilisateurs, métiers, externes à l'organisation) ainsi que les finalités de la communication.</t>
  </si>
  <si>
    <t>Le plan de communication prend en compte les dimensions d'innovation, de transformation numérique, de cybersécurité, et de numérique responsable.</t>
  </si>
  <si>
    <t>Les actions de communication et les moyens utilisés sont adaptés aux populations ciblées et à la finalité.</t>
  </si>
  <si>
    <t>Des actions sont mises en place régulièrement afin de mesurer l’impact et l’efficacité de la communication, et ces mesures sont utilisées dans la mise à jour du plan de communication.</t>
  </si>
  <si>
    <t>Le plan de communication est évolutif et peut être repensé au fil de l’eau. Des communications opportunistes peuvent être réalisées selon le contexte et les enjeux du moment.</t>
  </si>
  <si>
    <t>Le plan de communication intègre la stratégie de participation à des événements externes afin d’assurer la visibilité et la mise en valeur du numérique au sein de l’organisation.</t>
  </si>
  <si>
    <t>Situation de crise</t>
  </si>
  <si>
    <t>Un plan de communication en cas de crise SI est formalisé et partagé en amont afin d’anticiper.</t>
  </si>
  <si>
    <t>Une procédure de communication de crise SI est intégrée dans le dispositif global de gestion de crise de l'organisation. Elle prend en compte l'urgence et l'impact potentiel de la situation de crise.</t>
  </si>
  <si>
    <t>Les risques majeurs susceptibles de conduire à une situation de crise font l'objet de scénarios identifiés qui détaillent les éléments de langage, les modalités de coordination et les actions de communication de crise entre les différents acteurs (SI, métiers, direction de la communication et dirigeants).</t>
  </si>
  <si>
    <t>Les outils et ressources nécessaires sont mis en œuvre pour assurer la communication en temps de crise.</t>
  </si>
  <si>
    <t>• Afin de rendre la communication la plus efficiente possible, les outils et ressources adaptés sont identifiés, testés, disponibles et à jour, donc facilement activables, y compris en cas d’indisponibilité partielle ou totale des moyens habituels de communication (par exemple : absence d’e-mail ou d’accès Internet).</t>
  </si>
  <si>
    <t>Le plan de communication est testé régulièrement dans le cadre d’exercices de simulation de crise.</t>
  </si>
  <si>
    <t>Un retour d’expérience est systématiquement réalisé afin d’améliorer le plan et la procédure de communication de crise.</t>
  </si>
  <si>
    <t xml:space="preserve">L'organisation est capable de réagir, e?cacement et dans les délais impartis, à des incidents majeurs ayant un impact significatif sur les métiers et sur l'activité de l'organisation. </t>
  </si>
  <si>
    <t>• Cette démarche vise à renforcer l’efficacité de la gestion de crise dans une logique d’amélioration continue.</t>
  </si>
  <si>
    <t>• Les indicateurs doivent permettre de mesurer : 
- les engagements de service négociés avec les métiers (performance) ; 
- la satisfaction des utilisateurs (perception) ; 
- la performance environnementale du numérique ; 
- le niveau de conformité par rapport aux exigences réglementaires, aux engagements contractuels et aux politiques internes (sécurité, RSE, architecture, etc.).</t>
  </si>
  <si>
    <t xml:space="preserve">• L’IT SCORECARD publié par ISACA France peut être utilisé pour trouver des exemples d’indicateurs.
• Ces indicateurs sont formellement définis. Pour les aspects quantitatifs, les données servant à la mesure de l'indicateur doivent être extraites, si possible de façon automatisée, du ou des SI existants. </t>
  </si>
  <si>
    <r>
      <t>Les objectifs de la DSI sont définis conjointement avec les métiers, notamment en ce qui concerne la performance des processus informatiques (</t>
    </r>
    <r>
      <rPr>
        <i/>
        <sz val="11"/>
        <color theme="1"/>
        <rFont val="Calibri"/>
        <family val="2"/>
        <scheme val="minor"/>
      </rPr>
      <t>build, run</t>
    </r>
    <r>
      <rPr>
        <sz val="11"/>
        <color theme="1"/>
        <rFont val="Calibri"/>
        <family val="2"/>
        <scheme val="minor"/>
      </rPr>
      <t>, évolutions).</t>
    </r>
  </si>
  <si>
    <r>
      <t xml:space="preserve">L'organisation a mis en place un processus de pilotage du portefeuille de projets fondé sur le suivi de la réalisation des </t>
    </r>
    <r>
      <rPr>
        <i/>
        <sz val="11"/>
        <rFont val="Calibri"/>
        <family val="2"/>
        <scheme val="minor"/>
      </rPr>
      <t>business cases</t>
    </r>
    <r>
      <rPr>
        <sz val="11"/>
        <rFont val="Calibri"/>
        <family val="2"/>
        <scheme val="minor"/>
      </rPr>
      <t>.</t>
    </r>
  </si>
  <si>
    <r>
      <t xml:space="preserve">Le </t>
    </r>
    <r>
      <rPr>
        <i/>
        <sz val="11"/>
        <color theme="1"/>
        <rFont val="Calibri"/>
        <family val="2"/>
        <scheme val="minor"/>
      </rPr>
      <t>business case</t>
    </r>
    <r>
      <rPr>
        <sz val="11"/>
        <color theme="1"/>
        <rFont val="Calibri"/>
        <family val="2"/>
        <scheme val="minor"/>
      </rPr>
      <t xml:space="preserve"> fait l’objet d’une mise à jour si les écarts constatés le justifient.</t>
    </r>
  </si>
  <si>
    <r>
      <t>Maîtriser le coût de possession et le coût de transformation du SI (</t>
    </r>
    <r>
      <rPr>
        <i/>
        <sz val="11"/>
        <color theme="1"/>
        <rFont val="Calibri"/>
        <family val="2"/>
        <scheme val="minor"/>
      </rPr>
      <t>build/run</t>
    </r>
    <r>
      <rPr>
        <sz val="11"/>
        <color theme="1"/>
        <rFont val="Calibri"/>
        <family val="2"/>
        <scheme val="minor"/>
      </rPr>
      <t xml:space="preserve"> et transformation).</t>
    </r>
  </si>
  <si>
    <t>Positionner la DSI comme un acteur stratégique.</t>
  </si>
  <si>
    <t>Contribuer à la valorisation de l'organisation (via la communication externe).</t>
  </si>
  <si>
    <t>Développer la confiance à l'égard du numérique au sein de l'organisation.</t>
  </si>
  <si>
    <t>Promouvoir les innovations numériques et les nouveaux usages pour sensibiliser et acculturer.</t>
  </si>
  <si>
    <t>Dégradation de l'image du SI.</t>
  </si>
  <si>
    <r>
      <t xml:space="preserve">Une analyse des écarts, sur le court terme </t>
    </r>
    <r>
      <rPr>
        <b/>
        <sz val="11"/>
        <color theme="1"/>
        <rFont val="Calibri"/>
        <family val="2"/>
        <scheme val="minor"/>
      </rPr>
      <t>(1-2 ans)</t>
    </r>
    <r>
      <rPr>
        <sz val="11"/>
        <color theme="1"/>
        <rFont val="Calibri"/>
        <family val="2"/>
        <scheme val="minor"/>
      </rPr>
      <t>, est effectuée afin de comparer la situation actuelle avec les besoins exprimés dans le plan prévisionnel.</t>
    </r>
  </si>
  <si>
    <r>
      <t xml:space="preserve">La DSI construit, à un niveau macro, un plan prévisionnel des compétences aligné sur la stratégie numérique de l'organisation, les besoins numériques des métiers et la politique de </t>
    </r>
    <r>
      <rPr>
        <i/>
        <sz val="11"/>
        <color theme="1"/>
        <rFont val="Calibri"/>
        <family val="2"/>
        <scheme val="minor"/>
      </rPr>
      <t>make or buy</t>
    </r>
    <r>
      <rPr>
        <sz val="11"/>
        <color theme="1"/>
        <rFont val="Calibri"/>
        <family val="2"/>
        <scheme val="minor"/>
      </rPr>
      <t xml:space="preserve"> retenue, même en l’absence d’une planification des ressources centrée sur les effectifs à long terme </t>
    </r>
    <r>
      <rPr>
        <b/>
        <sz val="11"/>
        <color theme="1"/>
        <rFont val="Calibri"/>
        <family val="2"/>
        <scheme val="minor"/>
      </rPr>
      <t>(5-10 ans)</t>
    </r>
    <r>
      <rPr>
        <sz val="11"/>
        <color theme="1"/>
        <rFont val="Calibri"/>
        <family val="2"/>
        <scheme val="minor"/>
      </rPr>
      <t>.</t>
    </r>
  </si>
  <si>
    <t>La GEPP permet une projection à long terme (à horizon 5-10 ans) des besoins et des ressources, elle anticipe les tendances du marché, et s'appuie sur l'analyse des écarts pour en tirer une politique individuelle de recrutement / formation découlant du plan à moyen terme.</t>
  </si>
  <si>
    <t xml:space="preserve">• Par exemple, l'organisation peut mettre en place une veille stratégique pour détecter les évolutions, les tendances du marché à long terme et les impacts sur l'emploi et les compétences.
</t>
  </si>
  <si>
    <t>Bilan de projet SI</t>
  </si>
  <si>
    <t>Le bilan de projet SI fournit une vision partagée des coûts, des délais et du niveau d’atteinte des objectifs opérationnels (réussites, difficultés, échecs, capitalisation des progrès, identification de plans d'action d'amélioration).</t>
  </si>
  <si>
    <t>Le bilan de projet SI  permet de vérifier qu’il ne reste aucune tâche résiduelle (donc de coût supplémentaire) liée aux désinstallations, aux décommissionnements, aux formations, etc.</t>
  </si>
  <si>
    <t>21</t>
  </si>
  <si>
    <t>22</t>
  </si>
  <si>
    <t>23</t>
  </si>
  <si>
    <t>24</t>
  </si>
  <si>
    <t>25</t>
  </si>
  <si>
    <t>26</t>
  </si>
  <si>
    <t>--&gt; Du au fait qu'on ait un critère 8</t>
  </si>
  <si>
    <t>41</t>
  </si>
  <si>
    <t>42</t>
  </si>
  <si>
    <t>43</t>
  </si>
  <si>
    <t>44</t>
  </si>
  <si>
    <t>45</t>
  </si>
  <si>
    <t>46</t>
  </si>
  <si>
    <t>1311</t>
  </si>
  <si>
    <t>1312</t>
  </si>
  <si>
    <t>1313</t>
  </si>
  <si>
    <t>1314</t>
  </si>
  <si>
    <t>1315</t>
  </si>
  <si>
    <t>1317</t>
  </si>
  <si>
    <t>C8</t>
  </si>
  <si>
    <t>Synthèse globale</t>
  </si>
  <si>
    <t>Synthèse détaillée</t>
  </si>
  <si>
    <t>Lien avec vecteur Stratégies et Prestataires &amp; fournisseurs</t>
  </si>
  <si>
    <t>Outil d'évalution de maturité et d'audit de la gouvernance du numérique</t>
  </si>
  <si>
    <t>MAGNUM</t>
  </si>
  <si>
    <t>• Dans un but de transparence et d'amélioration de la communication, la DSI publie et partage périodiquement, avec les parties prenantes et la direction générale, des tableaux de bord restituant de façon synthétique les niveaux et les tendances de ces indicateurs.
• La publication doit être faite « au fil de l'eau » pour donner une vision la plus à jour possible de la performance.
• Ces tableaux de bord peuvent être également partagés avec les collaborateurs de la DSI à des fins de management.</t>
  </si>
  <si>
    <t>• Cette distinction en 3 parties est essentielle car chacune se pilote selon un mode différent : run, change et build.
• Pour les projets ou build, il s’agit d’un investissement qui doit être « rentable » pour l'entreprise.
• Pour le récurrent ou run, on est plus proche d'une « usine » de production de services (placée sous la responsabilité hiérarchique ou fonctionnelle de la DSI) dont les coûts doivent être optimisés.
• Pour la gestion des changements ou change, il s’agit de la maintenance évolutive arbitrée dans le cadre d'une enveloppe capacitaire entre la DSI et les métiers. Les évolutions doivent être encadrées par un budget négocié par domaine applicatif.
• L'approche agile amène à regrouper les 3 familles et à se concentrer sur la valeur pour prioriser.</t>
  </si>
  <si>
    <t>• Pour faire fonctionner ce processus, la mise en place d'un contrôle de gestion du numérique est recommandée.
• Ce contrôle de gestion contribuera à l'élaboration du budget et à ses révisions, suivra les réalisations par nature et périmètre et par destination en les comparant à la fois au budget et aux réalisations des années précédentes.
• Le processus budgétaire doit inclure la définition des règles d'immobilisation en relation avec la direction financière (Capex/Opex, projets, durée d'amortissement, etc...).
• Les critères de priorisation des projets numériques sont revus de façon régulière.
• Le processus de décision et de priorisation est adapté au mode agile.
• L'allocation des ressources tient compte des différents types d'approvisionnements qu’ils soient internes ou externes (par exemple les services cloud).</t>
  </si>
  <si>
    <t>• Ce catalogue est « orienté client » (lisible et compréhensible par le métier).
• Il comprend la mise à disposition des postes de travail, des applications, ainsi que la réalisation des évolutions et des projets.
• Il peut comprendre également des prestations : conseil, expertise, etc.
• Il se situe à un niveau auquel il est possible de prendre des engagements de type SLA (Service Level Agreements).</t>
  </si>
  <si>
    <t>• Le Modèle de pilotage économique et écologique de l'IT du Cigref peut fournir une liste type d'activités qu'on retrouve dans toutes les DSI.
• Les dépenses sont affectées par centre de responsabilité et réparties par nature d'activité.</t>
  </si>
  <si>
    <t>• Le plan marketing peut être mis en place par la DSI ou par la fonction marketing de la DSI.
• Le plan marketing inclut la promotion des services.
• La DSI développe la connaissance des clients et utilisateurs (audience, segmentations, profilage, etc.).
• Le parcours client est connu, analysé et régulièrement mis à jour.
• Les projets SI sont accompagnés dans la conduite du changement.</t>
  </si>
  <si>
    <t>• L’offre de services et le catalogue de services de la DSI sont valorisés auprès des utilisateurs.
• La fonction marketing de la DSI définit, valorise, rationalise et publie l’offre de services de la DSI.
• La qualité de service et l’expérience client sont régulièrement mises en avant auprès des clients et utilisateurs (satisfaction, respect des SLAs, communication sur les incidents, etc).
• Des « clubs utilisateurs » et des événements autour des projets/services de la DSI sont organisés et animés.
• Une météo des services est mise en place.</t>
  </si>
  <si>
    <t>• La DSI mesure régulièrement et améliore la satisfaction des clients et des utilisateurs du SI (enquêtes utilisateurs, enquête à chaud, support, etc.).
• Des indicateurs de performance du marketing de la DSI sont définis et suivis.</t>
  </si>
  <si>
    <t>• Une veille régulière est assurée par le biais de clubs utilisateurs et permet de monitorer les points d'améliorations.
• Des retours d’expérience sont organisés sur les événements et situations identifiés par le feedback.
• Des indicateurs de pilotage sont utilisés pour mesurer l’adoption et la satisfaction des services numériques : taux d’adhésion aux nouveaux services, indice de satisfaction client, nombre d’événements clients et utilisateurs organisés.
• Des guildes, ou communautés sont mises en place afin de fédérer les équipes autour de projets communs et de permettre la diffusion des bonnes pratiques.
• Une communication régulière visant à promouvoir l'hygiène numérique (cybersécurité) est mise en place.</t>
  </si>
  <si>
    <t>• Un comité de pilotage est mis en place.
• Il actualise au moins une fois par an une revue de ce qui a été réalisé, mis à jour, etc.</t>
  </si>
  <si>
    <t>• Le plan de communication identifie et segmente toutes les populations avec lesquelles la DSI communique. (collaborateurs, chefs de projets, acteurs de la DSI, autres acteurs de l’organisation incluant la direction générale, utilisateurs finaux, etc.).
• Le plan de communication doit préciser les axes de communication, ceux-ci sont alignés avec la raison d'être, les enjeux et la stratégie de l'organisation.
• Le plan de communication est validé par la direction générale, il est diffusé et fait l’objet d’une actualisation une fois par an.
• La DSI intègre les enjeux de communication du numérique comme un élément à part entière de sa mission et les inscrit explicitement à son agenda.
• Les responsables des différentes fonctions du SI sont associés à la conception, à la réalisation et à la diffusion de la communication.</t>
  </si>
  <si>
    <t>• La communication externe à l'organisation, lorsqu'elle porte sur le numérique, est intégrée au plan de communication global de l'organisation.
• Les communications différenciées comprennent notamment la promotion de nouveaux usages, (sensibilisation à la cybersécurité etc…)</t>
  </si>
  <si>
    <t>• Chaque action de communication explicite la finalité d'une action ou d'un projet, c'est-à-dire sa contribution à la stratégie de l’organisation, en se basant sur des exemples concrets de réalisations et sur la valeur apportée.
• La DSI communique sur sa contribution à la politique RSE de l’organisation (mixité, handicap, environnement, énergie, etc.).</t>
  </si>
  <si>
    <t>• Les moyens de communication sont variés : diffusion d'information (mail, newsletter), animation de communautés, webinars, etc.
• La communication est proactive et qualitative.
• Différents canaux de communication sont mis en œuvre et utilisés en fonction de la typologie de communication et de la population cible, en privilégiant les canaux de communication internes habituels de l'organisation.</t>
  </si>
  <si>
    <t>• Des retours d’expérience permettent d’améliorer la communication.
• Des moyens d’évaluation spécifiques à la communication sont utilisés : enquêtes de perception, taux d’ouverture ou de participation, mesure de la compréhension des messages.
• La DSI communique sur sa contribution à la politique RSE de l’organisation (mixité, handicap, environnement, énergie, etc.).
• Les collaborateurs sont formés à la communication, notamment à la communication associée à la conduite du changement.
• La DSI participe à des événements externes (trophées, salons, conférences, etc.) qui contribuent à sa valorisation et à la reconnaissance de ses actions.
• Cas spécifique de la communication externe : le plan de communication et son exécution doivent être revus en fonction des exigences, contraintes, limites, définies par la direction de la communication de l'organisation (contraintes réglementaires, image de l'organisation, contraintes contextuelles...).</t>
  </si>
  <si>
    <t>• Par « crise », on entend toute situation exceptionnelle affectant ou pouvant affecter le bon fonctionnement du SI ou de l’organisation.
• Compte tenu de la vitesse de l’impact potentiel, notamment en cas de cyberattaque, une réflexion préalable sur l'urgence de la réaction attendue doit avoir été menée.</t>
  </si>
  <si>
    <t>• L'analyse des risques a été faite et les scénarios pour y faire face ont été préparés. La distinction entre incident « classique » et situation de crise est formalisée au moyen d’un arbre décisionnel (critères : délai, criticité, caractère exceptionnel de l’événement, etc.).
• Il est important de noter que certains scénarios sont soumis à des obligations réglementaires et nécessitent d’intégrer les parties prenantes dans le plan de communication.</t>
  </si>
  <si>
    <t>• L’organisation met en œuvre des techniques et dispositifs de gestion destinés à créer les conditions les plus favorables au développement d'innovations concrètes : veille technologique, benchmark, lab, open innovation, écosystème de startups.
• L’innovation s’inscrit comme le fruit d’un travail effectué de manière transversale : divers départements et équipes y sont impliqués et la DSI est consultée, en tant qu’expert et contributeur, sur les sujets liés à l’innovation.</t>
  </si>
  <si>
    <r>
      <t xml:space="preserve">• Une méthode comme celle proposée dans le rapport </t>
    </r>
    <r>
      <rPr>
        <i/>
        <sz val="7.05"/>
        <color theme="1"/>
        <rFont val="Calibri"/>
        <family val="2"/>
      </rPr>
      <t xml:space="preserve">Critères de décisions RSE à intégrer dans les projets IT, Cigref 2023 </t>
    </r>
    <r>
      <rPr>
        <sz val="11"/>
        <color theme="1"/>
        <rFont val="Calibri"/>
        <family val="2"/>
        <scheme val="minor"/>
      </rPr>
      <t>est utilisée.</t>
    </r>
  </si>
  <si>
    <t>• Un référentiel recense les données correspondant à chaque objet spécifique (référentiel clients, référentiel organisation, référentiel produits, etc.) ainsi que leurs caractéristiques et les relations entre elles, qu'il s'agisse de données structurées ou non structurées.
• La description des processus métiers s’appuie sur la cartographie des données. 
• Les données de référence utilisées par plusieurs applications ou processus métiers sont identifiées, et les risques de conflits liés aux mises à jour par les différentes applications sont mis en évidence.
• Les données sont classifiées en fonction de leur sécurité et de leur conformité réglementaire.</t>
  </si>
  <si>
    <t>• Ces initiatives et outils concernent tant les données structurées que non structurées.
• Des modèles prédictifs sont définis pour permettre l’anticipation et réaliser des projections.
• Cf. Pilotage de l’entreprise par la donnée : extraire la valeur de la donnée à l’échelle de l’entreprise, Cigref, 2023
• Cf. Approches tactiques et stratégiques sur la qualité des données, Cahier pratique n°1, Groupe de travail Qualité des données, ISACA, 2021.</t>
  </si>
  <si>
    <t>• Les fiches de rôle ou de poste sont disponibles et consultables. Cf. Nomenclature des métiers du SI, Cigref 2025.</t>
  </si>
  <si>
    <t>• Les cartographies n’ont d’intérêt que si elles sont utilisées de façon opérationnelle. Pour ce faire, il est indispensable qu’elles soient exactes (et donc entretenues), qu’elles contiennent des informations pertinentes (en particulier les liens composants/composés et entre les différents composants), et que leur formalisme soit accessible au plus grand nombre, tout comme les outils utilisés pour les gérer. 
• Des moyens permettant de juger de la qualité de la cartographie doivent être mis en place en parallèle de l’établissement des cartographies. 
• Des indicateurs de « vivacité » sont en place pour mesurer l’utilisation effective de la cartographie ainsi que la pertinence et l’exactitude des données. 
• L’utilisation des cartographies pour l’analyse d’impact d’une évolution du SI (projet applicatif ou d’infrastructure), doit en particulier être systématique.</t>
  </si>
  <si>
    <t>• L’utilisation d’une plateforme d'intégration observée est une bonne pratique qui permet de maîtriser tous les types de flux échangés entre le SI interne et les solutions cloud, aussi bien du point de vue de la performance et de la qualité de service (découplage de charge notamment) que de la sécurité (authentification renforcée, chiffrement des flux), et de la maintenabilité (point de passage unique normalisé facilitant la réversibilité). </t>
  </si>
  <si>
    <t>• Des moyens sont mis en place pour détecter et éviter les offres cloud structurellement captives (par exemple : les offres propriétaires en mode SaaS gérant des référentiels de l’organisation). 
• La remédiation consiste à anticiper des solutions alternatives.</t>
  </si>
  <si>
    <t>• Un indicateur d’alignement des projets avec le cadre de référence est défini et suivi au niveau du portefeuille de projets. Des objectifs associés sont définis et suivis (niveau minimum d’alignement des projets, niveau global d’alignement du SI à atteindre…).</t>
  </si>
  <si>
    <t>• La segmentation du portefeuille de projets peut s’appuyer sur la typologie suivante :
- Programmes : lorsque cela est pertinent, les projets sont affectés à des programmes ;
- Projet de type réglementaire et de mise en conformité ;
- Projet d’innovation (en général technologique) ;
- Projet de soutien au développement de l’activité ;
- Projet visant à l’amélioration des performances (qualité, réduction des délais, standardisation des processus) ;
- Projet de réduction de coût ;
- Projet d’optimisation des systèmes ou d’infrastructure (gestion de l'obsolescence IT) ;
- Projet de maintien en condition opérationnelle ;
- Projet de décommissionnement ;
- Etc.
Un autre axe de segmentation classe les projets en fonction de leur stade d’avancement :
- Déclaration d’intention approuvée ;
- Cadrage fonctionnel métier validé ;
- Avant-projet validé ;
- Business case validé ;
- Projets lancés ;
• Pour vérifier l’alignement des projets avec la stratégie de l’organisation, il est impératif d’indiquer, pour chaque projet, à quel volet du plan stratégique il se rapporte ;
• Les dépendances entre projets doivent être identifiées et décrites ;
• Le type de méthodologie de projet retenu peut également être décrit (Cycle V, Agile, etc.).</t>
  </si>
  <si>
    <t>• Le business case est le livrable d’un processus de validation progressive des projets, depuis leur idée initiale jusqu’à la décision de lancement.
• Ces business cases explicitent les bénéfices métiers attendus et les conditions nécessaires à leur obtention :
- Quoi ? (Objectifs du projet)
- Pourquoi ? (Opportunités et bénéfices attendus)
- Qui ? (Moyens humains et compétences nécessaires)
- Combien ? (Coûts et ROI)
- Quand ? (Objectif de développement, rapidité d’exécution, perspective court/long terme).
• Les bénéfices du projet sont définis avec des critères qualitatifs et quantitatifs.
• Les impacts pour les métiers (organisation, processus, niveau de compétences à mettre en place) sont clairement évalués.
• Le business case doit permettre de justifier un projet en mettant en avant ses avantages, ses coûts, et ses impacts potentiels sur l'organisation.
• Le business case doit aider les décideurs à évaluer si le projet est réalisable et rentable.</t>
  </si>
  <si>
    <t>L'organisation s'assure de la conformité avec l'ensemble des réglementations relatives aux données (par exemple : Data Act, RGPD, DORA, NIS 2, IA Act, et toutes les réglementations sectorielles spécifiques).</t>
  </si>
  <si>
    <t>Les principes de remédiation et d'auditabilité des composants externes et les règles d’architecture associées sont définis et permettent de limiter la dépendance de l'organisation.</t>
  </si>
  <si>
    <t>Tirer profit de l'IA pour améliorer la performance et générer de nouveaux usages ou offres de produits ou services. </t>
  </si>
  <si>
    <t>Accroissement du coût du SI par manque de maîtrise des projets.</t>
  </si>
  <si>
    <t>• A minima, une estimation du rapport bénéfices/coûts doit être réalisée en fonction de la maturité de l'organisation :
- Lorsque le volet numérique est important, les coûts (projet et récurrents) sont estimés, si nécessaire, sur la base de prototypes. 
- L’élaboration d’un plan de charge permet d’affiner la vision temporelle du business case.
- Les coûts récurrents doivent être estimés sur une période de 3 à 5 ans (voire en fonction de la durée de vie estimée de l’application).</t>
  </si>
  <si>
    <t>• A minima, une analyse des risques doit être réalisée en fonction de la maturité de l'organisation, il faudra  :
- Identifier les conditions de réussite du projet (notamment privilégier des prototypes lorsque les enjeux le justifient).
- Identifier les interdépendances entre projets et en mesurer l‘impact sur les business cases,  car elles constituent un facteur de risque souvent sous-estimé. 
- Envisager des solutions alternatives (ex : refonte du processus métier), ou un fonctionnement en solution dégradée.</t>
  </si>
  <si>
    <t>• Cette vérification de cohérence est indispensable pour :
- Maîtriser les évolutions du SI (« Shadow IT généralisé », utilisation anarchique des offres cloud et SaaS…)
- Garantir la sécurité du SI (incidents de sécurité, cyberattaques, etc.) et sa conformité (CNIL, RGPD, traçabilité, etc.)
- Rationaliser les évolutions du SI et maîtriser les technologies nécessaires pour ces évolutions
- Maîtriser la dette technique (obsolescence matérielle et logicielle).</t>
  </si>
  <si>
    <t>Veiller au réalisme du portefeuille notamment par l’Analyse de Capacité des Moyens (ACM).</t>
  </si>
  <si>
    <t>Assurer l'alignement du contenu du portefeuille sur la stratégie de l'entreprise.</t>
  </si>
  <si>
    <t>Garantir la conformité de l'arbitrage aux critères validés par l'organisation.</t>
  </si>
  <si>
    <t>Maîtriser l'exécution pour sécuriser la valeur escomptée du portefeuille.</t>
  </si>
  <si>
    <t>Un processus de gestion des priorités de lancement (inter-projets) basé sur les business cases est mis en place et implique les directions métiers au niveau du Comité de direction pour les projets clés.</t>
  </si>
  <si>
    <t>Des projets, impliquant les directions métiers, permet de suivre, recadrer, revoir la priorité ou arrêter les projets en cours, sur la base d’un reporting fiable et exhaustif, le cas échéant en actualisant les business cases.</t>
  </si>
  <si>
    <t>Bilan de projet métiers</t>
  </si>
  <si>
    <t>La direction générale fait effectuer des bilans de projet métiers, une fois le fonctionnement nominal atteint, afin d’en tirer les enseignements nécessaires et d’optimiser les processus de décision et de pilotage.</t>
  </si>
  <si>
    <r>
      <t xml:space="preserve">Des règles d’architecture permettent de favoriser le </t>
    </r>
    <r>
      <rPr>
        <i/>
        <sz val="11"/>
        <color theme="1"/>
        <rFont val="Calibri"/>
        <family val="2"/>
        <scheme val="minor"/>
      </rPr>
      <t xml:space="preserve">time-to-market </t>
    </r>
    <r>
      <rPr>
        <sz val="11"/>
        <color theme="1"/>
        <rFont val="Calibri"/>
        <family val="2"/>
        <scheme val="minor"/>
      </rPr>
      <t>et l’innovation tout en limitant les risques de perte de maîtrise du SI (sécurité, résilience, maintenabilité, conformité, etc.).</t>
    </r>
  </si>
  <si>
    <t>Le tableau de bord de pilotage du SI intègre des indicateurs relatifs à l’architecture du SI (mesure de l’alignement avec le cadre de référence et du niveau d’obsolescence notamment). Ces indicateurs sont revus par le management de la DSI et des plans d’action sont définis pour corriger les écarts.</t>
  </si>
  <si>
    <t>Le référentiel est mis à jour à chacune des étapes suivantes : déclaration d’intention ou d’opportunité, cadrage fonctionnel métier, avant-projet, prototypage (si besoin), business case, scoring, décision de lancement.</t>
  </si>
  <si>
    <t>Lien avec le vecteur Données &amp; IA.</t>
  </si>
  <si>
    <t>La DSI mène une politique d'achats responsables.</t>
  </si>
  <si>
    <t>En lien avec le vecteur Stratégies</t>
  </si>
  <si>
    <t xml:space="preserve">Lien avec le vecteur Marketing &amp; Communication. </t>
  </si>
  <si>
    <t xml:space="preserve">L'organisation est capable de réagir, efficacement et dans les délais impartis, à des incidents majeurs ayant un impact significatif sur les métiers et sur l'activité de l'organisation. </t>
  </si>
  <si>
    <t xml:space="preserve">Le niveau d’appétence et de tolérance au risque numérique est défini et partagé avec l’ensemble des acteurs, à chaque niveau pertinent, avant toute analyse de risques. Les plans d’action de réduction des risques sont coordonnés par la direction des risques, ou à défaut par la direction générale. </t>
  </si>
  <si>
    <t xml:space="preserve">• Un inventaire des risques (cartographie et registre) est établi avec les métiers et consolidé. Cet inventaire intègre les risques SI, avec des propriétaires identifiés pour chacun d’eux. Une revue annuelle de l’inventaire, réalisée par entretiens, est présentée régulièrement aux instances dirigeantes et de contrôle. L’inventaire peut s’appuyer sur des référentiels de risques SI reconnus, tels que : Risk IT Framework, COBIT 2019, ISO 27005, ISO 31000, EBIOS RM, COSO ERM, NIST CSF, OCTAVE, MEHARI.
• Des familles de risques variées (épidémique, menace terroriste, climatique,...) sont intégrées dans la cartographie. Les risques liés à la relation avec des tierces parties doivent être également identifiés et considérés dans l'inventaire. </t>
  </si>
  <si>
    <t xml:space="preserve">Références :
• Référentiel « Éthique et numérique » Cigref et Syntec Numérique, 2018.
• « IT for Green : contributions des directions numériques aux enjeux RSE et de décarbonation des organisations ». Cigref, 2025. </t>
  </si>
  <si>
    <t>Zone à remplir par l'auditeur (facultatif)</t>
  </si>
  <si>
    <t>Lien avec les vecteurs Risques &amp; conformité et Architecture.</t>
  </si>
  <si>
    <t>Lien avec les vecteurs Architecture &amp; Projets</t>
  </si>
  <si>
    <t>Lien avec le vecteur Prestataires &amp; fournisseurs</t>
  </si>
  <si>
    <t>Lien avec les vecteurs Risques et Conformité, Architecture et RSE</t>
  </si>
  <si>
    <t>Lien avec les vecteurs Prestataires &amp; fournisseurs, Services, RSE et Risques &amp; conformité</t>
  </si>
  <si>
    <t>Budget &amp; performance</t>
  </si>
  <si>
    <t>Marketing &amp; communication</t>
  </si>
  <si>
    <t>Prestataires &amp; fournisseurs</t>
  </si>
  <si>
    <t>Données &amp; IA</t>
  </si>
  <si>
    <t>Risques &amp; conformité</t>
  </si>
  <si>
    <t>Pilotage du portefeuille de projets</t>
  </si>
  <si>
    <t>Le respect des exigences fonctionnelles et non fonctionnelles (techniques, cybersécurité, performance conformité, etc.) fait l'objet d'une validation formelle avant tout déploiement.</t>
  </si>
  <si>
    <t>Un processus régulier d’évaluation des compétences présentes dans la DSI est en place, basé sur le référentiel des compétences.</t>
  </si>
  <si>
    <t>Ce processus est piloté à l’aide d’indicateurs et donne lieu à des actions correctives si nécessaire (ou si besoin).</t>
  </si>
  <si>
    <t>Un plan de recrutement est établi en cohérence avec le plan de résorption des écarts et il est mis en œuvre pour répondre aux besoins actuels et futurs de la DSI.</t>
  </si>
  <si>
    <t>Un processus d'accueil et d'intégration est en place pour permettre la bonne intégration des nouveaux arrivants.</t>
  </si>
  <si>
    <t>La DSI favorise l'accès et le partage de connaissances internes et externes ainsi que la capitalisation des savoir-faire.</t>
  </si>
  <si>
    <t>• Notamment  à travers :
- des retours d’expérience (RETEX).
- les réseaux sociaux d’entreprise.
- les communautés thématiques internes et externes.
- la participation à des groupes professionnels et associatifs (CIGREF, ISACA, IFACI, etc.).
- l’usage de l'intelligence artificielle.</t>
  </si>
  <si>
    <t>Une mesure de l'efficacité de l'exécution de la stratégie de développement des compétences internes est mise en œuvre et formalisée par la DSI.</t>
  </si>
  <si>
    <t>Un dispositif de gestion des services externalisés a été mis en place (organisation, processus). Il inclut en particulier un volet de management des risques.</t>
  </si>
  <si>
    <t xml:space="preserve">Un bilan annuel des compétences numériques est réalisé par la DSI et la DRH et il est présenté aux instances ad hoc (direction générale, partenaires sociaux). </t>
  </si>
  <si>
    <t>La direction des achats et la direction juridique sont associées aux moments clés de l’acquisition (achat ou location) de matériels et logiciels.</t>
  </si>
  <si>
    <t>• Le sponsor joue un rôle de facilitateur : il arbitre les décisions importantes, veille à l'atteinte des résultats, au respect des objectifs de coût, délai et qualité, garantit l'alignement avec les besoins des métiers et la stratégie, et s’assure d’une communication efficace et transparente.</t>
  </si>
  <si>
    <t xml:space="preserve">• Les processus de décision projet sont activés en fonction des risques encourus et des résultats des tests liés à la conformité, à la sécurité, au contrôle interne, et autres fonctions clés.
• Les exceptions aux tests (résultats négatifs, non conformités) font l’objet d’un suivi jusqu’à leur clôture ou jusqu’à la mise en place de mesures de mitigation suffisantes. </t>
  </si>
  <si>
    <t xml:space="preserve">• Si les procédures de remontée des alertes sont activées, elles donnent lieu à une décision effective.
• Dans les projets agiles, ce suivi opérationnel est souvent assuré par une structure réunissant les parties prenantes, sans nécessiter une instance de pilotage distincte. </t>
  </si>
  <si>
    <t>• La méthode projet définit les modalités des tests (nature de, périmètre, acteurs, séquencement avec le cycle de vie du projet).
• Les tests font l'objet d'une préparation et d'un recensement. 
• La généralisation des outils d'automatisation des tests (eg. tests de non régression) permet de fiabiliser les processus de recette, d'augmenter leur productivité ou de réduire leurs coûts.  
• La phase de recette intègre les volets cybersécurité, exploitabilité, et performance.
• Dans les projets gérés en cycle en V, les phases de tests sont planifiées et constituent des prérequis au passage d'un jalon.
• Dans les méthodologies agiles, les tests sont réalisés en continu à chaque incrément. Les critères de validation des user stories sont définis en amont (par exemple dans la Definition of Done pour la méthodologie Scrum).</t>
  </si>
  <si>
    <t>• Si des tâches prévues restent inachevées et non réalisables avant la fin de la période probatoire du projet ou de l’incrément, elles doivent être rattachées aux opérations de MCO qui débutent, ou reportées à l’incrément suivant, afin de pouvoir clore la phase projet.
• Une vérification de la mise à jour de la documentation nécessaire et obligatoire est assurée (ex. : cartographies, dossier d'exploitation, dossier d'architecture…).</t>
  </si>
  <si>
    <t>• Des indicateurs de pilotage et de performance sont partagés.</t>
  </si>
  <si>
    <t>• Par exemple, pour les démarches de qualité de vie au travail, des initiatives en faveur de la parité telles que Femmes@Numérique (collectif d’associations, fondation d’entreprises et soutien de l’État) et SheLeadsTech (ISACA France).</t>
  </si>
  <si>
    <t>• Le référentiel est maintenu en adéquation avec les bonnes pratiques de la place, les évolutions technologiques et la stratégie de l’entreprise par une mise à jour régulière.
• Le référentiel peut également couvrir des emplois hors de la DSI (product owner par exemple).
• Cf. Nomenclature des profils métiers du SI, Cigref, 2025.</t>
  </si>
  <si>
    <t>•  La cartographie décrit les compétences nécessaires pour répondre aux besoins actuels et à leur évolution à court et moyen terme.</t>
  </si>
  <si>
    <t>• Les collaborateurs doivent pouvoir bénéficier de formations en lien avec leurs missions actuelles et futures.
• L'acquisition de certifications professionnelles est encouragée et valorisée.</t>
  </si>
  <si>
    <t>• Cette évaluation comporte :  
- une cartographie des activités de l'organisation et des activités numériques correspondantes.
- la prise en compte des enjeux de massification ou de diversification des prestataires.
- une évaluation des différents critères : alignement sur la stratégie du métier, maturité du marché et des offres, nécessités opérationnelles, besoin d'agilité et de flexibilité, nombre et qualité des compétences internes.
- une évaluation des risques sociaux, juridiques, financiers, industriels, d'image et de dépendance.</t>
  </si>
  <si>
    <t>• Il convient d'évaluer les principaux critères tels que la criticité des données, les impacts financiers et le modèle de coûts, la continuité d'activité/de service, les impacts sur un éventuel avantage concurrentiel, la maîtrise du savoir, les impacts sociaux, etc.
• Pour les offres cloud, les risques sont à différencier selon le degré de sensibilité des données concernées et selon qu'il s'agit de cloud public, de cloud privé externe, ou de cloud hybride.
• L'analyse des risques inclut les risques de non conformité, notamment aux engagements RSE et aux exigences d’indépendance de sa chaîne de valeur.</t>
  </si>
  <si>
    <t>• Les contrats avec les prestataires et fournisseurs incluent des engagements en matière de sécurité, conformité, confidentialité, RSE.
• Les exigences en matière de protection des données personnelles et du secret des affaires ou industriel font partie des critères objectifs de sélection de la prestation.
• Les éventuelles certifications mises en avant par les prestataires sont analysées et évaluées afin de confirmer leur bonne applicabilité aux services fournis à l'organisation (par exemple : certifications de type ISO 27001, voire Secnumcloud).
• Le plan d'assurance sécurité doit faire partie du corpus contractuel.</t>
  </si>
  <si>
    <t>• Le plan de transfert de connaissance inclut :
- Le transfert de la base documentaire (FAQ, bonnes pratiques, documentations techniques, procédures opérationnelles, documentations utilisateur).
- Des sessions de formation.
- Des exercices sur un environnement hors production.
• Il prévoit l'organisation de formations pour que le personnel du prestataire soit sensibilisé aux contraintes réglementaires et de sécurité de l'entreprise.
• Lors des phases de transfert des compétences, les cartographies de l'entreprise sont mises à jour si nécessaire.</t>
  </si>
  <si>
    <t>• Un processus pour le traitement des conflits est défini et connu par les parties (processus d'escalade, contacts, juridiction compétente).
• Des mesures de prévention des conflits ont été mises en place en fonction des risques identifiés. En cas d'offshoring notamment, on peut s’appuyer sur des mesures de prise en compte des différences culturelles et/ou sur un glossaire pour s'accorder sur le vocabulaire.</t>
  </si>
  <si>
    <t>• A minima :
- Une gestion des configurations est régulièrement mise à jour.
- Un inventaire de parc est réalisé une fois par an minimum.
- La maintenance matérielle est optimisée.
- Les sorties du parc matériel sont tracées.</t>
  </si>
  <si>
    <t>• Des ressources sont allouées à cette fonction (Software Asset Management) et a minima : 
- Il existe un inventaire du parc logiciel à jour et optimisé afin de veiller à ce que le nombre de licences acquises corresponde à l'utilisation (les écarts sont régularisés et la maintenance logicielle est optimisée).
- Les licences sont gérées afin de limiter le risque juridique et financier en cas de contrôle par l'éditeur.
- Des exercices d'audit de licences sont au besoin réalisés afin de s'assurer de la conformité avec le contrat éditeur ou pour préparer un audit par un éditeur.
- Cf « Software Asset and Cloud Management », Cigref, 2018.</t>
  </si>
  <si>
    <t>• La DSI a notamment défini avec les utilisateurs, dans ses contrats de services, la durée et la plage horaire de l’interruption acceptable, et le processus de décision de passage en mode dégradé en cas d’interruption prolongée. On doit s’assurer que le contrat de services est en cohérence avec la gestion de crise et avec les plans de continuité d’activité (PCA) et de reprise d’activité (PRA). Cf Critère 3 de la bonne pratique 5 de ce vecteur.</t>
  </si>
  <si>
    <t>• On peut utiliser une méthode reconnue de type Activity Based Costing (ABC), qui doit permettre d'expliquer clairement ses évolutions et de les piloter.
• Le calcul de coûts unitaires justifiables, par exemple en application de la méthode ABC, doit permettre de : 
- Réfléchir avec les clients de la DSI sur le coût des exigences en matière de SLA, le décommissionnement éventuel de certaines applications sur la base d'un coût par utilisateur ou par unité d'oeuvre, etc.,
- Facturer aux clients de la DSI le coût des services,
- Faciliter la réalisation de benchmarking,
- Mettre en évidence la productivité de la DSI (évolution du coût unitaire par inducteur des services fournis).
• Les managers de la DSI disposent d’une vision claire du coût complet des services fournis, leur permettant d’en assurer le pilotage à travers les leviers relevant de leur responsabilité.</t>
  </si>
  <si>
    <t>• Idéalement, le suivi opérationnel et le suivi économique s’appuient sur un outil de suivi partagé, ou a minima sur un référentiel partagé.</t>
  </si>
  <si>
    <t>Optimiser les objectifs d'efficacité, de coût, d'indépendance, et d'avantage concurrentiel grâce au numérique par le biais d’une stratégie “make or buy”.</t>
  </si>
  <si>
    <t>Accélérer le time-to-market des projets de l’entreprise et favoriser l'innovation, à travers l'acquisition de solutions et services adaptés et pérennes, en tenant compte des ressources internes (RH, finance, ...).</t>
  </si>
  <si>
    <t>Usages et réalisations non contrôlés, potentiellement risqués (conformité, menace cyber...), induits par une communication insuffisante ou absente.</t>
  </si>
  <si>
    <t>a</t>
  </si>
  <si>
    <t>Le résultat de l'évaluation reste de la responsabilité pleine de l'auditeur. Les associations mettant à disposition l'outil de calcul du Magnum ne sont pas responsables des calculs affichés et des décisions qui pourraient en découler.</t>
  </si>
  <si>
    <r>
      <t xml:space="preserve">% de </t>
    </r>
    <r>
      <rPr>
        <b/>
        <sz val="13"/>
        <color theme="6" tint="-0.499984740745262"/>
        <rFont val="Aptos"/>
        <family val="2"/>
      </rPr>
      <t>complétude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</si>
</sst>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quot; / 5&quot;"/>
  </numFmts>
  <fonts count="95"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indexed="13"/>
      <name val="Arial"/>
      <family val="2"/>
    </font>
    <font>
      <sz val="10"/>
      <color indexed="11"/>
      <name val="Arial"/>
      <family val="2"/>
    </font>
    <font>
      <sz val="10"/>
      <color indexed="17"/>
      <name val="Arial"/>
      <family val="2"/>
    </font>
    <font>
      <sz val="8"/>
      <color rgb="FF000000"/>
      <name val="Tahoma"/>
      <family val="2"/>
    </font>
    <font>
      <u/>
      <sz val="11"/>
      <color theme="10"/>
      <name val="Calibri"/>
      <family val="2"/>
      <scheme val="minor"/>
    </font>
    <font>
      <sz val="10"/>
      <name val="Aptos"/>
      <family val="2"/>
    </font>
    <font>
      <b/>
      <sz val="14"/>
      <color theme="0"/>
      <name val="Aptos"/>
      <family val="2"/>
    </font>
    <font>
      <b/>
      <sz val="18"/>
      <color theme="0"/>
      <name val="Aptos"/>
      <family val="2"/>
    </font>
    <font>
      <sz val="11"/>
      <color theme="1"/>
      <name val="Aptos"/>
      <family val="2"/>
    </font>
    <font>
      <sz val="18"/>
      <color theme="0"/>
      <name val="Aptos"/>
      <family val="2"/>
    </font>
    <font>
      <b/>
      <sz val="11"/>
      <color theme="0"/>
      <name val="Aptos"/>
      <family val="2"/>
    </font>
    <font>
      <b/>
      <sz val="10"/>
      <color theme="0"/>
      <name val="Aptos"/>
      <family val="2"/>
    </font>
    <font>
      <b/>
      <sz val="14"/>
      <color rgb="FF203B7D"/>
      <name val="Aptos"/>
      <family val="2"/>
    </font>
    <font>
      <b/>
      <sz val="11"/>
      <color theme="3"/>
      <name val="Aptos"/>
      <family val="2"/>
    </font>
    <font>
      <sz val="10"/>
      <color theme="3"/>
      <name val="Aptos"/>
      <family val="2"/>
    </font>
    <font>
      <b/>
      <sz val="13"/>
      <color theme="0"/>
      <name val="Aptos"/>
      <family val="2"/>
    </font>
    <font>
      <b/>
      <sz val="10"/>
      <color rgb="FF203B7D"/>
      <name val="Aptos"/>
      <family val="2"/>
    </font>
    <font>
      <sz val="10"/>
      <color indexed="8"/>
      <name val="Aptos"/>
      <family val="2"/>
    </font>
    <font>
      <b/>
      <sz val="12"/>
      <color indexed="8"/>
      <name val="Aptos"/>
      <family val="2"/>
    </font>
    <font>
      <b/>
      <sz val="12"/>
      <color theme="0"/>
      <name val="Aptos"/>
      <family val="2"/>
    </font>
    <font>
      <b/>
      <sz val="10"/>
      <name val="Aptos"/>
      <family val="2"/>
    </font>
    <font>
      <b/>
      <sz val="11"/>
      <color theme="9" tint="-0.499984740745262"/>
      <name val="Aptos"/>
      <family val="2"/>
    </font>
    <font>
      <b/>
      <sz val="14"/>
      <color rgb="FF9B162C"/>
      <name val="Aptos"/>
      <family val="2"/>
    </font>
    <font>
      <b/>
      <sz val="11"/>
      <color theme="1"/>
      <name val="Aptos"/>
      <family val="2"/>
    </font>
    <font>
      <sz val="10"/>
      <color theme="5"/>
      <name val="Aptos"/>
      <family val="2"/>
    </font>
    <font>
      <sz val="11"/>
      <name val="Aptos"/>
      <family val="2"/>
    </font>
    <font>
      <b/>
      <sz val="12"/>
      <name val="Aptos"/>
      <family val="2"/>
    </font>
    <font>
      <sz val="12"/>
      <name val="Aptos"/>
      <family val="2"/>
    </font>
    <font>
      <b/>
      <sz val="14"/>
      <color indexed="10"/>
      <name val="Aptos"/>
      <family val="2"/>
    </font>
    <font>
      <sz val="10"/>
      <color indexed="11"/>
      <name val="Aptos"/>
      <family val="2"/>
    </font>
    <font>
      <sz val="20"/>
      <name val="Aptos"/>
      <family val="2"/>
    </font>
    <font>
      <b/>
      <sz val="20"/>
      <color theme="0"/>
      <name val="Aptos"/>
      <family val="2"/>
    </font>
    <font>
      <b/>
      <sz val="12"/>
      <color rgb="FF203B7D"/>
      <name val="Aptos"/>
      <family val="2"/>
    </font>
    <font>
      <b/>
      <u/>
      <sz val="10"/>
      <name val="Aptos"/>
      <family val="2"/>
    </font>
    <font>
      <b/>
      <sz val="25"/>
      <name val="Aptos"/>
      <family val="2"/>
    </font>
    <font>
      <b/>
      <sz val="11"/>
      <name val="Aptos"/>
      <family val="2"/>
    </font>
    <font>
      <b/>
      <sz val="10"/>
      <color rgb="FFFF0000"/>
      <name val="Aptos"/>
      <family val="2"/>
    </font>
    <font>
      <sz val="10"/>
      <color rgb="FFFF0000"/>
      <name val="Aptos"/>
      <family val="2"/>
    </font>
    <font>
      <b/>
      <sz val="25"/>
      <color rgb="FF203B7D"/>
      <name val="Aptos"/>
      <family val="2"/>
    </font>
    <font>
      <b/>
      <u/>
      <sz val="20"/>
      <color rgb="FF203B7D"/>
      <name val="Aptos"/>
      <family val="2"/>
    </font>
    <font>
      <b/>
      <u/>
      <sz val="20"/>
      <color rgb="FF45413F"/>
      <name val="Aptos"/>
      <family val="2"/>
    </font>
    <font>
      <sz val="10"/>
      <color rgb="FF523162"/>
      <name val="Aptos"/>
      <family val="2"/>
    </font>
    <font>
      <sz val="11"/>
      <color rgb="FF203B7D"/>
      <name val="Aptos"/>
      <family val="2"/>
    </font>
    <font>
      <sz val="11"/>
      <color theme="0"/>
      <name val="Aptos"/>
      <family val="2"/>
    </font>
    <font>
      <sz val="11"/>
      <color theme="2" tint="-0.249977111117893"/>
      <name val="Calibri"/>
      <family val="2"/>
      <scheme val="minor"/>
    </font>
    <font>
      <b/>
      <sz val="16"/>
      <color rgb="FF203B7D"/>
      <name val="Aptos"/>
      <family val="2"/>
    </font>
    <font>
      <sz val="11"/>
      <color theme="0" tint="-0.34998626667073579"/>
      <name val="Calibri"/>
      <family val="2"/>
      <scheme val="minor"/>
    </font>
    <font>
      <sz val="11"/>
      <name val="Calibri"/>
      <family val="2"/>
      <scheme val="minor"/>
    </font>
    <font>
      <b/>
      <i/>
      <sz val="14"/>
      <color rgb="FF00B050"/>
      <name val="Calibri"/>
      <family val="2"/>
    </font>
    <font>
      <b/>
      <sz val="22"/>
      <color theme="0"/>
      <name val="Aptos"/>
      <family val="2"/>
    </font>
    <font>
      <sz val="10"/>
      <color rgb="FF203B7D"/>
      <name val="Aptos"/>
      <family val="2"/>
    </font>
    <font>
      <sz val="10"/>
      <color rgb="FFC00000"/>
      <name val="Aptos"/>
      <family val="2"/>
    </font>
    <font>
      <sz val="8"/>
      <name val="Calibri"/>
      <family val="2"/>
      <scheme val="minor"/>
    </font>
    <font>
      <sz val="14"/>
      <color theme="0"/>
      <name val="Aptos"/>
      <family val="2"/>
    </font>
    <font>
      <sz val="16"/>
      <color theme="0"/>
      <name val="Aptos"/>
      <family val="2"/>
    </font>
    <font>
      <b/>
      <sz val="11"/>
      <color rgb="FF45413F"/>
      <name val="Aptos"/>
      <family val="2"/>
    </font>
    <font>
      <b/>
      <sz val="11"/>
      <color theme="5" tint="-0.499984740745262"/>
      <name val="Aptos"/>
      <family val="2"/>
    </font>
    <font>
      <i/>
      <sz val="11"/>
      <color theme="1"/>
      <name val="Calibri"/>
      <family val="2"/>
      <scheme val="minor"/>
    </font>
    <font>
      <sz val="10"/>
      <color theme="1"/>
      <name val="Calibri"/>
      <family val="2"/>
    </font>
    <font>
      <sz val="10"/>
      <color theme="0"/>
      <name val="Aptos"/>
      <family val="2"/>
    </font>
    <font>
      <sz val="11"/>
      <color rgb="FF1C3D79"/>
      <name val="Calibri"/>
      <family val="2"/>
      <scheme val="minor"/>
    </font>
    <font>
      <b/>
      <sz val="22"/>
      <color rgb="FF376C99"/>
      <name val="Aptos"/>
      <family val="2"/>
    </font>
    <font>
      <b/>
      <sz val="11"/>
      <color rgb="FF0097CC"/>
      <name val="Aptos"/>
      <family val="2"/>
    </font>
    <font>
      <b/>
      <sz val="11"/>
      <color rgb="FF1C3D79"/>
      <name val="Aptos"/>
      <family val="2"/>
    </font>
    <font>
      <b/>
      <sz val="18"/>
      <color rgb="FF0097CC"/>
      <name val="Calibri"/>
      <family val="2"/>
      <scheme val="minor"/>
    </font>
    <font>
      <b/>
      <sz val="18"/>
      <color rgb="FF1C3D79"/>
      <name val="Calibri"/>
      <family val="2"/>
      <scheme val="minor"/>
    </font>
    <font>
      <b/>
      <sz val="18"/>
      <color rgb="FF45413F"/>
      <name val="Calibri"/>
      <family val="2"/>
      <scheme val="minor"/>
    </font>
    <font>
      <b/>
      <u/>
      <sz val="20"/>
      <color rgb="FF0097CC"/>
      <name val="Aptos"/>
      <family val="2"/>
    </font>
    <font>
      <sz val="11"/>
      <color theme="0" tint="-0.14999847407452621"/>
      <name val="Calibri"/>
      <family val="2"/>
      <scheme val="minor"/>
    </font>
    <font>
      <i/>
      <sz val="11"/>
      <color rgb="FFFF0000"/>
      <name val="Calibri"/>
      <family val="2"/>
      <scheme val="minor"/>
    </font>
    <font>
      <sz val="11"/>
      <color theme="0" tint="-0.249977111117893"/>
      <name val="Calibri"/>
      <family val="2"/>
      <scheme val="minor"/>
    </font>
    <font>
      <i/>
      <sz val="11"/>
      <name val="Calibri"/>
      <family val="2"/>
      <scheme val="minor"/>
    </font>
    <font>
      <b/>
      <sz val="11"/>
      <color theme="1"/>
      <name val="Calibri"/>
      <family val="2"/>
      <scheme val="minor"/>
    </font>
    <font>
      <sz val="11"/>
      <color theme="4"/>
      <name val="Calibri"/>
      <family val="2"/>
      <scheme val="minor"/>
    </font>
    <font>
      <b/>
      <sz val="16"/>
      <name val="Aptos"/>
      <family val="2"/>
    </font>
    <font>
      <b/>
      <sz val="16"/>
      <color theme="0"/>
      <name val="Aptos"/>
      <family val="2"/>
    </font>
    <font>
      <sz val="16"/>
      <color theme="1"/>
      <name val="Calibri"/>
      <family val="2"/>
      <scheme val="minor"/>
    </font>
    <font>
      <sz val="13"/>
      <color theme="0"/>
      <name val="Aptos"/>
      <family val="2"/>
    </font>
    <font>
      <sz val="11"/>
      <color indexed="8"/>
      <name val="Aptos"/>
      <family val="2"/>
    </font>
    <font>
      <b/>
      <sz val="14"/>
      <color theme="6" tint="-0.499984740745262"/>
      <name val="Aptos"/>
      <family val="2"/>
    </font>
    <font>
      <b/>
      <sz val="11"/>
      <color theme="6" tint="-0.499984740745262"/>
      <name val="Aptos"/>
      <family val="2"/>
    </font>
    <font>
      <b/>
      <sz val="26"/>
      <color rgb="FF376C99"/>
      <name val="Sitka Banner"/>
    </font>
    <font>
      <b/>
      <sz val="20"/>
      <color rgb="FF376C99"/>
      <name val="Sitka Banner"/>
    </font>
    <font>
      <b/>
      <sz val="36"/>
      <color rgb="FF376C99"/>
      <name val="Sitka Banner"/>
    </font>
    <font>
      <i/>
      <sz val="7.05"/>
      <color theme="1"/>
      <name val="Calibri"/>
      <family val="2"/>
    </font>
    <font>
      <b/>
      <sz val="10"/>
      <color rgb="FFC00000"/>
      <name val="Aptos"/>
      <family val="2"/>
    </font>
    <font>
      <i/>
      <sz val="14"/>
      <color rgb="FF1C3D79"/>
      <name val="Sitka Banner"/>
    </font>
    <font>
      <b/>
      <sz val="13"/>
      <color theme="6" tint="-0.499984740745262"/>
      <name val="Aptos"/>
      <family val="2"/>
    </font>
    <font>
      <sz val="10"/>
      <color theme="1"/>
      <name val="Calibri"/>
      <family val="2"/>
      <scheme val="minor"/>
    </font>
    <font>
      <b/>
      <sz val="10"/>
      <color theme="6" tint="-0.499984740745262"/>
      <name val="Aptos"/>
      <family val="2"/>
    </font>
  </fonts>
  <fills count="35">
    <fill>
      <patternFill patternType="none"/>
    </fill>
    <fill>
      <patternFill patternType="gray125"/>
    </fill>
    <fill>
      <patternFill patternType="solid">
        <fgColor rgb="FF203B7D"/>
        <bgColor indexed="64"/>
      </patternFill>
    </fill>
    <fill>
      <patternFill patternType="solid">
        <fgColor indexed="9"/>
        <bgColor indexed="64"/>
      </patternFill>
    </fill>
    <fill>
      <patternFill patternType="solid">
        <fgColor theme="9" tint="-0.499984740745262"/>
        <bgColor indexed="64"/>
      </patternFill>
    </fill>
    <fill>
      <patternFill patternType="solid">
        <fgColor indexed="10"/>
        <bgColor indexed="14"/>
      </patternFill>
    </fill>
    <fill>
      <patternFill patternType="solid">
        <fgColor indexed="9"/>
        <bgColor indexed="14"/>
      </patternFill>
    </fill>
    <fill>
      <patternFill patternType="solid">
        <fgColor indexed="34"/>
        <bgColor indexed="14"/>
      </patternFill>
    </fill>
    <fill>
      <patternFill patternType="solid">
        <fgColor rgb="FFEBF6F9"/>
        <bgColor indexed="64"/>
      </patternFill>
    </fill>
    <fill>
      <patternFill patternType="solid">
        <fgColor rgb="FFEBF6F9"/>
        <bgColor indexed="14"/>
      </patternFill>
    </fill>
    <fill>
      <patternFill patternType="solid">
        <fgColor rgb="FF92D050"/>
        <bgColor indexed="14"/>
      </patternFill>
    </fill>
    <fill>
      <patternFill patternType="solid">
        <fgColor theme="0"/>
        <bgColor indexed="64"/>
      </patternFill>
    </fill>
    <fill>
      <patternFill patternType="solid">
        <fgColor theme="0" tint="-0.249977111117893"/>
        <bgColor indexed="64"/>
      </patternFill>
    </fill>
    <fill>
      <patternFill patternType="solid">
        <fgColor indexed="11"/>
        <bgColor indexed="14"/>
      </patternFill>
    </fill>
    <fill>
      <patternFill patternType="solid">
        <fgColor indexed="17"/>
        <bgColor indexed="1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D6C2E0"/>
        <bgColor indexed="64"/>
      </patternFill>
    </fill>
    <fill>
      <patternFill patternType="solid">
        <fgColor rgb="FFACBEEA"/>
        <bgColor indexed="64"/>
      </patternFill>
    </fill>
    <fill>
      <patternFill patternType="solid">
        <fgColor rgb="FF45413F"/>
        <bgColor indexed="64"/>
      </patternFill>
    </fill>
    <fill>
      <patternFill patternType="solid">
        <fgColor rgb="FF376C99"/>
        <bgColor indexed="64"/>
      </patternFill>
    </fill>
    <fill>
      <patternFill patternType="solid">
        <fgColor rgb="FFE1E0DF"/>
        <bgColor indexed="64"/>
      </patternFill>
    </fill>
    <fill>
      <patternFill patternType="solid">
        <fgColor rgb="FFBBD3E7"/>
        <bgColor indexed="64"/>
      </patternFill>
    </fill>
    <fill>
      <patternFill patternType="solid">
        <fgColor rgb="FFFFFF00"/>
        <bgColor indexed="64"/>
      </patternFill>
    </fill>
    <fill>
      <patternFill patternType="solid">
        <fgColor rgb="FFBFCDEF"/>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92D050"/>
        <bgColor rgb="FF92D050"/>
      </patternFill>
    </fill>
    <fill>
      <patternFill patternType="solid">
        <fgColor rgb="FF0097CC"/>
        <bgColor indexed="64"/>
      </patternFill>
    </fill>
    <fill>
      <patternFill patternType="solid">
        <fgColor rgb="FF1C3D7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2"/>
        <bgColor indexed="64"/>
      </patternFill>
    </fill>
    <fill>
      <patternFill patternType="solid">
        <fgColor theme="8"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theme="9" tint="-0.499984740745262"/>
      </left>
      <right style="thin">
        <color theme="0"/>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rgb="FF203B7D"/>
      </left>
      <right/>
      <top style="medium">
        <color rgb="FF203B7D"/>
      </top>
      <bottom/>
      <diagonal/>
    </border>
    <border>
      <left/>
      <right/>
      <top style="medium">
        <color rgb="FF203B7D"/>
      </top>
      <bottom/>
      <diagonal/>
    </border>
    <border>
      <left/>
      <right style="medium">
        <color rgb="FF203B7D"/>
      </right>
      <top style="medium">
        <color rgb="FF203B7D"/>
      </top>
      <bottom/>
      <diagonal/>
    </border>
    <border>
      <left style="medium">
        <color rgb="FF203B7D"/>
      </left>
      <right/>
      <top/>
      <bottom/>
      <diagonal/>
    </border>
    <border>
      <left/>
      <right style="medium">
        <color rgb="FF203B7D"/>
      </right>
      <top/>
      <bottom/>
      <diagonal/>
    </border>
    <border>
      <left style="medium">
        <color rgb="FF203B7D"/>
      </left>
      <right/>
      <top/>
      <bottom style="medium">
        <color rgb="FF203B7D"/>
      </bottom>
      <diagonal/>
    </border>
    <border>
      <left/>
      <right/>
      <top/>
      <bottom style="medium">
        <color rgb="FF203B7D"/>
      </bottom>
      <diagonal/>
    </border>
    <border>
      <left/>
      <right style="medium">
        <color rgb="FF203B7D"/>
      </right>
      <top/>
      <bottom style="medium">
        <color rgb="FF203B7D"/>
      </bottom>
      <diagonal/>
    </border>
    <border>
      <left style="thin">
        <color rgb="FF203B7D"/>
      </left>
      <right style="thin">
        <color rgb="FF203B7D"/>
      </right>
      <top style="thin">
        <color rgb="FF203B7D"/>
      </top>
      <bottom style="thin">
        <color rgb="FF203B7D"/>
      </bottom>
      <diagonal/>
    </border>
    <border>
      <left style="thin">
        <color rgb="FF45413F"/>
      </left>
      <right style="thin">
        <color rgb="FF45413F"/>
      </right>
      <top style="thin">
        <color rgb="FF45413F"/>
      </top>
      <bottom style="thin">
        <color rgb="FF45413F"/>
      </bottom>
      <diagonal/>
    </border>
    <border>
      <left style="thin">
        <color rgb="FF376C99"/>
      </left>
      <right style="thin">
        <color rgb="FF376C99"/>
      </right>
      <top style="thin">
        <color rgb="FF376C99"/>
      </top>
      <bottom style="thin">
        <color rgb="FF376C99"/>
      </bottom>
      <diagonal/>
    </border>
    <border>
      <left style="medium">
        <color rgb="FF376C99"/>
      </left>
      <right/>
      <top style="medium">
        <color rgb="FF376C99"/>
      </top>
      <bottom/>
      <diagonal/>
    </border>
    <border>
      <left/>
      <right/>
      <top style="medium">
        <color rgb="FF376C99"/>
      </top>
      <bottom/>
      <diagonal/>
    </border>
    <border>
      <left/>
      <right style="medium">
        <color rgb="FF376C99"/>
      </right>
      <top style="medium">
        <color rgb="FF376C99"/>
      </top>
      <bottom/>
      <diagonal/>
    </border>
    <border>
      <left style="medium">
        <color rgb="FF376C99"/>
      </left>
      <right/>
      <top/>
      <bottom/>
      <diagonal/>
    </border>
    <border>
      <left/>
      <right style="medium">
        <color rgb="FF376C99"/>
      </right>
      <top/>
      <bottom/>
      <diagonal/>
    </border>
    <border>
      <left style="medium">
        <color rgb="FF376C99"/>
      </left>
      <right/>
      <top/>
      <bottom style="medium">
        <color rgb="FF376C99"/>
      </bottom>
      <diagonal/>
    </border>
    <border>
      <left/>
      <right/>
      <top/>
      <bottom style="medium">
        <color rgb="FF376C99"/>
      </bottom>
      <diagonal/>
    </border>
    <border>
      <left/>
      <right style="medium">
        <color rgb="FF376C99"/>
      </right>
      <top/>
      <bottom style="medium">
        <color rgb="FF376C99"/>
      </bottom>
      <diagonal/>
    </border>
    <border>
      <left style="medium">
        <color rgb="FF45413F"/>
      </left>
      <right/>
      <top style="medium">
        <color rgb="FF45413F"/>
      </top>
      <bottom/>
      <diagonal/>
    </border>
    <border>
      <left/>
      <right/>
      <top style="medium">
        <color rgb="FF45413F"/>
      </top>
      <bottom/>
      <diagonal/>
    </border>
    <border>
      <left/>
      <right style="medium">
        <color rgb="FF45413F"/>
      </right>
      <top style="medium">
        <color rgb="FF45413F"/>
      </top>
      <bottom/>
      <diagonal/>
    </border>
    <border>
      <left style="medium">
        <color rgb="FF45413F"/>
      </left>
      <right/>
      <top/>
      <bottom/>
      <diagonal/>
    </border>
    <border>
      <left/>
      <right style="medium">
        <color rgb="FF45413F"/>
      </right>
      <top/>
      <bottom/>
      <diagonal/>
    </border>
    <border>
      <left style="medium">
        <color rgb="FF45413F"/>
      </left>
      <right/>
      <top/>
      <bottom style="medium">
        <color rgb="FF45413F"/>
      </bottom>
      <diagonal/>
    </border>
    <border>
      <left/>
      <right/>
      <top/>
      <bottom style="medium">
        <color rgb="FF45413F"/>
      </bottom>
      <diagonal/>
    </border>
    <border>
      <left/>
      <right style="medium">
        <color rgb="FF45413F"/>
      </right>
      <top/>
      <bottom style="medium">
        <color rgb="FF45413F"/>
      </bottom>
      <diagonal/>
    </border>
    <border>
      <left style="thin">
        <color rgb="FF523162"/>
      </left>
      <right style="thin">
        <color rgb="FF523162"/>
      </right>
      <top style="thin">
        <color rgb="FF523162"/>
      </top>
      <bottom/>
      <diagonal/>
    </border>
    <border>
      <left style="medium">
        <color indexed="64"/>
      </left>
      <right style="thin">
        <color rgb="FF523162"/>
      </right>
      <top style="medium">
        <color indexed="64"/>
      </top>
      <bottom style="medium">
        <color indexed="64"/>
      </bottom>
      <diagonal/>
    </border>
    <border>
      <left style="thin">
        <color rgb="FF523162"/>
      </left>
      <right style="medium">
        <color indexed="64"/>
      </right>
      <top style="medium">
        <color indexed="64"/>
      </top>
      <bottom style="medium">
        <color indexed="64"/>
      </bottom>
      <diagonal/>
    </border>
    <border>
      <left style="thin">
        <color rgb="FF203B7D"/>
      </left>
      <right/>
      <top style="thin">
        <color rgb="FF203B7D"/>
      </top>
      <bottom/>
      <diagonal/>
    </border>
    <border>
      <left/>
      <right/>
      <top style="thin">
        <color rgb="FF203B7D"/>
      </top>
      <bottom/>
      <diagonal/>
    </border>
    <border>
      <left/>
      <right style="thin">
        <color theme="0"/>
      </right>
      <top style="thin">
        <color rgb="FF203B7D"/>
      </top>
      <bottom/>
      <diagonal/>
    </border>
    <border>
      <left style="thin">
        <color rgb="FF203B7D"/>
      </left>
      <right/>
      <top/>
      <bottom style="thin">
        <color rgb="FF203B7D"/>
      </bottom>
      <diagonal/>
    </border>
    <border>
      <left/>
      <right/>
      <top/>
      <bottom style="thin">
        <color rgb="FF203B7D"/>
      </bottom>
      <diagonal/>
    </border>
    <border>
      <left/>
      <right style="thin">
        <color theme="0"/>
      </right>
      <top/>
      <bottom style="thin">
        <color rgb="FF203B7D"/>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rgb="FF203B7D"/>
      </left>
      <right style="dashed">
        <color rgb="FF203B7D"/>
      </right>
      <top style="thin">
        <color rgb="FF203B7D"/>
      </top>
      <bottom style="thin">
        <color rgb="FF203B7D"/>
      </bottom>
      <diagonal/>
    </border>
    <border>
      <left style="dashed">
        <color rgb="FF203B7D"/>
      </left>
      <right style="dashed">
        <color rgb="FF203B7D"/>
      </right>
      <top style="thin">
        <color rgb="FF203B7D"/>
      </top>
      <bottom style="thin">
        <color rgb="FF203B7D"/>
      </bottom>
      <diagonal/>
    </border>
    <border>
      <left style="dashed">
        <color rgb="FF203B7D"/>
      </left>
      <right style="thin">
        <color rgb="FF203B7D"/>
      </right>
      <top style="thin">
        <color rgb="FF203B7D"/>
      </top>
      <bottom style="thin">
        <color rgb="FF203B7D"/>
      </bottom>
      <diagonal/>
    </border>
    <border>
      <left style="thin">
        <color theme="0"/>
      </left>
      <right style="thin">
        <color rgb="FF203B7D"/>
      </right>
      <top style="thin">
        <color theme="0"/>
      </top>
      <bottom style="thin">
        <color indexed="64"/>
      </bottom>
      <diagonal/>
    </border>
    <border>
      <left/>
      <right style="thin">
        <color rgb="FF203B7D"/>
      </right>
      <top style="thin">
        <color indexed="64"/>
      </top>
      <bottom/>
      <diagonal/>
    </border>
    <border>
      <left/>
      <right style="thin">
        <color rgb="FF203B7D"/>
      </right>
      <top/>
      <bottom/>
      <diagonal/>
    </border>
    <border>
      <left/>
      <right style="thin">
        <color rgb="FF203B7D"/>
      </right>
      <top/>
      <bottom style="thin">
        <color indexed="64"/>
      </bottom>
      <diagonal/>
    </border>
    <border>
      <left style="thin">
        <color theme="0"/>
      </left>
      <right style="thin">
        <color rgb="FF203B7D"/>
      </right>
      <top style="thin">
        <color theme="0"/>
      </top>
      <bottom style="thin">
        <color theme="0"/>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4" tint="0.59996337778862885"/>
      </bottom>
      <diagonal/>
    </border>
    <border>
      <left style="thin">
        <color indexed="64"/>
      </left>
      <right style="thin">
        <color indexed="64"/>
      </right>
      <top style="thin">
        <color theme="4" tint="0.59996337778862885"/>
      </top>
      <bottom style="thin">
        <color theme="4" tint="0.59996337778862885"/>
      </bottom>
      <diagonal/>
    </border>
    <border>
      <left style="thin">
        <color indexed="64"/>
      </left>
      <right style="thin">
        <color indexed="64"/>
      </right>
      <top style="thin">
        <color theme="4" tint="0.59996337778862885"/>
      </top>
      <bottom style="thin">
        <color indexed="64"/>
      </bottom>
      <diagonal/>
    </border>
    <border>
      <left style="thin">
        <color indexed="64"/>
      </left>
      <right style="thin">
        <color indexed="64"/>
      </right>
      <top style="thin">
        <color indexed="64"/>
      </top>
      <bottom style="thin">
        <color theme="5" tint="0.39994506668294322"/>
      </bottom>
      <diagonal/>
    </border>
    <border>
      <left style="thin">
        <color indexed="64"/>
      </left>
      <right style="thin">
        <color indexed="64"/>
      </right>
      <top style="thin">
        <color theme="5" tint="0.39994506668294322"/>
      </top>
      <bottom style="thin">
        <color theme="5" tint="0.39994506668294322"/>
      </bottom>
      <diagonal/>
    </border>
    <border>
      <left style="thin">
        <color indexed="64"/>
      </left>
      <right style="thin">
        <color indexed="64"/>
      </right>
      <top style="thin">
        <color theme="5" tint="0.39994506668294322"/>
      </top>
      <bottom style="thin">
        <color indexed="64"/>
      </bottom>
      <diagonal/>
    </border>
    <border>
      <left style="thin">
        <color indexed="64"/>
      </left>
      <right style="thin">
        <color indexed="64"/>
      </right>
      <top/>
      <bottom style="thin">
        <color theme="4" tint="0.59996337778862885"/>
      </bottom>
      <diagonal/>
    </border>
    <border>
      <left style="thin">
        <color indexed="64"/>
      </left>
      <right style="thin">
        <color indexed="64"/>
      </right>
      <top/>
      <bottom style="thin">
        <color theme="5" tint="0.39994506668294322"/>
      </bottom>
      <diagonal/>
    </border>
    <border>
      <left/>
      <right/>
      <top style="thick">
        <color theme="0"/>
      </top>
      <bottom style="thick">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rgb="FF203B7D"/>
      </left>
      <right/>
      <top/>
      <bottom/>
      <diagonal/>
    </border>
    <border>
      <left style="thin">
        <color rgb="FF203B7D"/>
      </left>
      <right/>
      <top/>
      <bottom style="thin">
        <color indexed="64"/>
      </bottom>
      <diagonal/>
    </border>
    <border>
      <left style="thin">
        <color rgb="FF203B7D"/>
      </left>
      <right style="thin">
        <color rgb="FF203B7D"/>
      </right>
      <top style="thin">
        <color rgb="FF203B7D"/>
      </top>
      <bottom style="thin">
        <color indexed="64"/>
      </bottom>
      <diagonal/>
    </border>
    <border>
      <left style="thin">
        <color rgb="FF203B7D"/>
      </left>
      <right style="dashed">
        <color rgb="FF203B7D"/>
      </right>
      <top style="thin">
        <color rgb="FF203B7D"/>
      </top>
      <bottom style="thin">
        <color indexed="64"/>
      </bottom>
      <diagonal/>
    </border>
    <border>
      <left style="dashed">
        <color rgb="FF203B7D"/>
      </left>
      <right style="dashed">
        <color rgb="FF203B7D"/>
      </right>
      <top style="thin">
        <color rgb="FF203B7D"/>
      </top>
      <bottom style="thin">
        <color indexed="64"/>
      </bottom>
      <diagonal/>
    </border>
    <border>
      <left style="dashed">
        <color rgb="FF203B7D"/>
      </left>
      <right style="thin">
        <color rgb="FF203B7D"/>
      </right>
      <top style="thin">
        <color rgb="FF203B7D"/>
      </top>
      <bottom style="thin">
        <color indexed="64"/>
      </bottom>
      <diagonal/>
    </border>
    <border>
      <left style="thin">
        <color theme="9" tint="-0.499984740745262"/>
      </left>
      <right style="thin">
        <color theme="9" tint="-0.499984740745262"/>
      </right>
      <top/>
      <bottom style="thin">
        <color theme="9" tint="-0.499984740745262"/>
      </bottom>
      <diagonal/>
    </border>
    <border>
      <left style="thin">
        <color rgb="FF203B7D"/>
      </left>
      <right style="thin">
        <color theme="0"/>
      </right>
      <top style="thin">
        <color rgb="FF203B7D"/>
      </top>
      <bottom style="thin">
        <color rgb="FF203B7D"/>
      </bottom>
      <diagonal/>
    </border>
    <border>
      <left style="thin">
        <color theme="0"/>
      </left>
      <right style="thin">
        <color rgb="FF203B7D"/>
      </right>
      <top style="thin">
        <color rgb="FF203B7D"/>
      </top>
      <bottom style="thin">
        <color rgb="FF203B7D"/>
      </bottom>
      <diagonal/>
    </border>
    <border>
      <left style="thin">
        <color rgb="FF376C99"/>
      </left>
      <right style="thin">
        <color theme="0"/>
      </right>
      <top style="thin">
        <color rgb="FF376C99"/>
      </top>
      <bottom style="thin">
        <color rgb="FF203B7D"/>
      </bottom>
      <diagonal/>
    </border>
    <border>
      <left style="thin">
        <color theme="0"/>
      </left>
      <right style="thin">
        <color rgb="FF376C99"/>
      </right>
      <top style="thin">
        <color rgb="FF376C99"/>
      </top>
      <bottom style="thin">
        <color rgb="FF203B7D"/>
      </bottom>
      <diagonal/>
    </border>
    <border>
      <left style="thin">
        <color rgb="FF376C99"/>
      </left>
      <right style="thin">
        <color theme="9" tint="-0.499984740745262"/>
      </right>
      <top/>
      <bottom style="thin">
        <color rgb="FF376C99"/>
      </bottom>
      <diagonal/>
    </border>
    <border>
      <left style="thin">
        <color theme="9" tint="-0.499984740745262"/>
      </left>
      <right style="thin">
        <color rgb="FF376C99"/>
      </right>
      <top/>
      <bottom style="thin">
        <color rgb="FF376C99"/>
      </bottom>
      <diagonal/>
    </border>
    <border>
      <left style="thin">
        <color rgb="FF203B7D"/>
      </left>
      <right style="thin">
        <color rgb="FF203B7D"/>
      </right>
      <top style="thin">
        <color rgb="FF203B7D"/>
      </top>
      <bottom/>
      <diagonal/>
    </border>
    <border>
      <left style="thin">
        <color rgb="FF203B7D"/>
      </left>
      <right style="thin">
        <color rgb="FF203B7D"/>
      </right>
      <top/>
      <bottom/>
      <diagonal/>
    </border>
    <border>
      <left style="thin">
        <color rgb="FF203B7D"/>
      </left>
      <right style="thin">
        <color rgb="FF203B7D"/>
      </right>
      <top/>
      <bottom style="thin">
        <color rgb="FF203B7D"/>
      </bottom>
      <diagonal/>
    </border>
    <border>
      <left style="thin">
        <color rgb="FF523162"/>
      </left>
      <right style="thin">
        <color rgb="FF523162"/>
      </right>
      <top/>
      <bottom/>
      <diagonal/>
    </border>
    <border>
      <left style="thin">
        <color rgb="FF523162"/>
      </left>
      <right style="thin">
        <color rgb="FF523162"/>
      </right>
      <top/>
      <bottom style="thin">
        <color rgb="FF523162"/>
      </bottom>
      <diagonal/>
    </border>
    <border>
      <left style="thin">
        <color rgb="FF45413F"/>
      </left>
      <right style="thin">
        <color rgb="FF45413F"/>
      </right>
      <top style="thin">
        <color rgb="FF45413F"/>
      </top>
      <bottom/>
      <diagonal/>
    </border>
    <border>
      <left style="thin">
        <color rgb="FF45413F"/>
      </left>
      <right style="thin">
        <color rgb="FF45413F"/>
      </right>
      <top/>
      <bottom/>
      <diagonal/>
    </border>
    <border>
      <left style="thin">
        <color rgb="FF45413F"/>
      </left>
      <right style="thin">
        <color rgb="FF45413F"/>
      </right>
      <top/>
      <bottom style="thin">
        <color rgb="FF45413F"/>
      </bottom>
      <diagonal/>
    </border>
    <border>
      <left style="thin">
        <color rgb="FF376C99"/>
      </left>
      <right style="thin">
        <color rgb="FF376C99"/>
      </right>
      <top style="thin">
        <color rgb="FF376C99"/>
      </top>
      <bottom/>
      <diagonal/>
    </border>
    <border>
      <left style="thin">
        <color rgb="FF376C99"/>
      </left>
      <right style="thin">
        <color rgb="FF376C99"/>
      </right>
      <top/>
      <bottom/>
      <diagonal/>
    </border>
    <border>
      <left style="thin">
        <color rgb="FF376C99"/>
      </left>
      <right style="thin">
        <color rgb="FF376C99"/>
      </right>
      <top/>
      <bottom style="thin">
        <color rgb="FF376C99"/>
      </bottom>
      <diagonal/>
    </border>
    <border>
      <left style="thin">
        <color rgb="FF523162"/>
      </left>
      <right style="thin">
        <color rgb="FF523162"/>
      </right>
      <top/>
      <bottom style="thin">
        <color indexed="64"/>
      </bottom>
      <diagonal/>
    </border>
    <border>
      <left style="thin">
        <color rgb="FF203B7D"/>
      </left>
      <right style="thin">
        <color rgb="FF203B7D"/>
      </right>
      <top/>
      <bottom style="thin">
        <color indexed="64"/>
      </bottom>
      <diagonal/>
    </border>
    <border>
      <left style="thick">
        <color theme="0"/>
      </left>
      <right/>
      <top style="thick">
        <color theme="0"/>
      </top>
      <bottom style="thick">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tint="-0.499984740745262"/>
      </right>
      <top style="thin">
        <color theme="0"/>
      </top>
      <bottom style="thin">
        <color theme="0" tint="-0.499984740745262"/>
      </bottom>
      <diagonal/>
    </border>
    <border>
      <left/>
      <right style="thin">
        <color indexed="64"/>
      </right>
      <top/>
      <bottom/>
      <diagonal/>
    </border>
    <border>
      <left/>
      <right/>
      <top/>
      <bottom style="medium">
        <color rgb="FF0097CC"/>
      </bottom>
      <diagonal/>
    </border>
    <border>
      <left/>
      <right/>
      <top style="medium">
        <color rgb="FF0097CC"/>
      </top>
      <bottom/>
      <diagonal/>
    </border>
    <border>
      <left/>
      <right/>
      <top style="medium">
        <color rgb="FF1C3D79"/>
      </top>
      <bottom/>
      <diagonal/>
    </border>
    <border>
      <left/>
      <right/>
      <top/>
      <bottom style="medium">
        <color rgb="FF1C3D79"/>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theme="4" tint="0.59996337778862885"/>
      </bottom>
      <diagonal/>
    </border>
    <border>
      <left style="thin">
        <color indexed="64"/>
      </left>
      <right style="thin">
        <color indexed="64"/>
      </right>
      <top style="medium">
        <color indexed="64"/>
      </top>
      <bottom style="thin">
        <color theme="5" tint="0.39994506668294322"/>
      </bottom>
      <diagonal/>
    </border>
    <border>
      <left/>
      <right/>
      <top/>
      <bottom style="thin">
        <color theme="0"/>
      </bottom>
      <diagonal/>
    </border>
    <border>
      <left style="thin">
        <color rgb="FF203B7D"/>
      </left>
      <right/>
      <top/>
      <bottom style="thin">
        <color theme="0"/>
      </bottom>
      <diagonal/>
    </border>
    <border>
      <left style="thin">
        <color theme="0"/>
      </left>
      <right/>
      <top style="thin">
        <color indexed="64"/>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diagonalUp="1">
      <left style="thin">
        <color indexed="64"/>
      </left>
      <right style="thin">
        <color indexed="64"/>
      </right>
      <top style="thin">
        <color indexed="64"/>
      </top>
      <bottom style="thin">
        <color indexed="64"/>
      </bottom>
      <diagonal style="thin">
        <color theme="0" tint="-0.34998626667073579"/>
      </diagonal>
    </border>
    <border diagonalUp="1">
      <left/>
      <right/>
      <top style="thin">
        <color indexed="64"/>
      </top>
      <bottom/>
      <diagonal style="thin">
        <color theme="0" tint="-0.34998626667073579"/>
      </diagonal>
    </border>
    <border diagonalUp="1">
      <left/>
      <right style="thin">
        <color rgb="FF203B7D"/>
      </right>
      <top style="thin">
        <color indexed="64"/>
      </top>
      <bottom/>
      <diagonal style="thin">
        <color theme="0" tint="-0.34998626667073579"/>
      </diagonal>
    </border>
    <border>
      <left style="thin">
        <color indexed="64"/>
      </left>
      <right/>
      <top/>
      <bottom style="thin">
        <color theme="0"/>
      </bottom>
      <diagonal/>
    </border>
    <border>
      <left/>
      <right style="thin">
        <color indexed="64"/>
      </right>
      <top/>
      <bottom style="thin">
        <color theme="0"/>
      </bottom>
      <diagonal/>
    </border>
    <border>
      <left style="thin">
        <color indexed="64"/>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theme="0" tint="-0.499984740745262"/>
      </diagonal>
    </border>
    <border>
      <left style="medium">
        <color rgb="FFC00000"/>
      </left>
      <right style="medium">
        <color rgb="FFC00000"/>
      </right>
      <top style="medium">
        <color rgb="FFC00000"/>
      </top>
      <bottom style="medium">
        <color rgb="FFC00000"/>
      </bottom>
      <diagonal/>
    </border>
    <border>
      <left style="medium">
        <color rgb="FFC00000"/>
      </left>
      <right style="thin">
        <color indexed="64"/>
      </right>
      <top style="medium">
        <color rgb="FFC00000"/>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thin">
        <color indexed="64"/>
      </right>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bottom style="medium">
        <color rgb="FFC00000"/>
      </bottom>
      <diagonal/>
    </border>
    <border>
      <left style="thin">
        <color indexed="64"/>
      </left>
      <right style="medium">
        <color rgb="FFC00000"/>
      </right>
      <top style="thin">
        <color indexed="64"/>
      </top>
      <bottom style="medium">
        <color rgb="FFC00000"/>
      </bottom>
      <diagonal/>
    </border>
    <border>
      <left style="thin">
        <color rgb="FF376C99"/>
      </left>
      <right style="medium">
        <color rgb="FFC00000"/>
      </right>
      <top style="medium">
        <color rgb="FFC00000"/>
      </top>
      <bottom style="medium">
        <color rgb="FFC00000"/>
      </bottom>
      <diagonal/>
    </border>
    <border>
      <left style="medium">
        <color rgb="FFC00000"/>
      </left>
      <right style="thin">
        <color indexed="64"/>
      </right>
      <top style="thin">
        <color indexed="64"/>
      </top>
      <bottom style="thin">
        <color theme="1"/>
      </bottom>
      <diagonal/>
    </border>
    <border>
      <left style="medium">
        <color rgb="FFC00000"/>
      </left>
      <right style="thin">
        <color indexed="64"/>
      </right>
      <top style="medium">
        <color rgb="FFC00000"/>
      </top>
      <bottom style="medium">
        <color rgb="FFC00000"/>
      </bottom>
      <diagonal/>
    </border>
    <border>
      <left style="medium">
        <color rgb="FFC00000"/>
      </left>
      <right style="thin">
        <color indexed="64"/>
      </right>
      <top style="medium">
        <color rgb="FFC00000"/>
      </top>
      <bottom style="thin">
        <color theme="1"/>
      </bottom>
      <diagonal/>
    </border>
    <border>
      <left style="medium">
        <color rgb="FFC00000"/>
      </left>
      <right style="thin">
        <color indexed="64"/>
      </right>
      <top style="thin">
        <color indexed="64"/>
      </top>
      <bottom style="medium">
        <color rgb="FFC00000"/>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9" fillId="0" borderId="0" applyNumberFormat="0" applyFill="0" applyBorder="0" applyAlignment="0" applyProtection="0"/>
    <xf numFmtId="0" fontId="2" fillId="0" borderId="0"/>
    <xf numFmtId="43" fontId="1" fillId="0" borderId="0" applyFont="0" applyFill="0" applyBorder="0" applyAlignment="0" applyProtection="0"/>
  </cellStyleXfs>
  <cellXfs count="704">
    <xf numFmtId="0" fontId="0" fillId="0" borderId="0" xfId="0"/>
    <xf numFmtId="0" fontId="2" fillId="0" borderId="0" xfId="0" applyFont="1"/>
    <xf numFmtId="0" fontId="3" fillId="0" borderId="16" xfId="0" applyFont="1" applyBorder="1"/>
    <xf numFmtId="0" fontId="3" fillId="0" borderId="17" xfId="0" applyFont="1" applyBorder="1"/>
    <xf numFmtId="0" fontId="3" fillId="0" borderId="18" xfId="0" applyFont="1" applyBorder="1" applyAlignment="1">
      <alignment horizontal="center"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 fillId="0" borderId="21" xfId="0" applyFont="1" applyBorder="1"/>
    <xf numFmtId="0" fontId="0" fillId="0" borderId="22" xfId="0" applyBorder="1"/>
    <xf numFmtId="0" fontId="0" fillId="0" borderId="21" xfId="0" applyBorder="1"/>
    <xf numFmtId="0" fontId="0" fillId="0" borderId="23" xfId="0" applyBorder="1"/>
    <xf numFmtId="0" fontId="0" fillId="0" borderId="24" xfId="0" applyBorder="1"/>
    <xf numFmtId="0" fontId="2" fillId="0" borderId="19" xfId="0" applyFont="1" applyBorder="1" applyAlignment="1">
      <alignment vertical="center" wrapText="1"/>
    </xf>
    <xf numFmtId="0" fontId="2" fillId="0" borderId="21" xfId="0" applyFont="1" applyBorder="1" applyAlignment="1">
      <alignment vertical="center" wrapText="1"/>
    </xf>
    <xf numFmtId="0" fontId="0" fillId="0" borderId="25" xfId="0" applyBorder="1"/>
    <xf numFmtId="0" fontId="0" fillId="0" borderId="26" xfId="0" applyBorder="1"/>
    <xf numFmtId="0" fontId="0" fillId="0" borderId="27" xfId="0" applyBorder="1"/>
    <xf numFmtId="0" fontId="2" fillId="0" borderId="22" xfId="0" applyFont="1" applyBorder="1"/>
    <xf numFmtId="0" fontId="2" fillId="3" borderId="0" xfId="0" applyFont="1" applyFill="1" applyAlignment="1">
      <alignment horizontal="center"/>
    </xf>
    <xf numFmtId="0" fontId="2" fillId="5" borderId="0" xfId="0" applyFont="1" applyFill="1" applyAlignment="1">
      <alignment horizontal="center"/>
    </xf>
    <xf numFmtId="0" fontId="2" fillId="7" borderId="0" xfId="0" applyFont="1" applyFill="1" applyAlignment="1">
      <alignment horizontal="center"/>
    </xf>
    <xf numFmtId="0" fontId="2" fillId="13" borderId="0" xfId="0" applyFont="1" applyFill="1" applyAlignment="1">
      <alignment horizontal="center"/>
    </xf>
    <xf numFmtId="0" fontId="2" fillId="14" borderId="0" xfId="0" applyFont="1" applyFill="1" applyAlignment="1">
      <alignment horizontal="center"/>
    </xf>
    <xf numFmtId="0" fontId="0" fillId="3" borderId="0" xfId="0" applyFill="1" applyAlignment="1">
      <alignment horizontal="center"/>
    </xf>
    <xf numFmtId="0" fontId="4" fillId="5" borderId="0" xfId="0" applyFont="1" applyFill="1" applyAlignment="1">
      <alignment horizontal="center"/>
    </xf>
    <xf numFmtId="0" fontId="5" fillId="7" borderId="0" xfId="0" applyFont="1" applyFill="1" applyAlignment="1">
      <alignment horizontal="center"/>
    </xf>
    <xf numFmtId="0" fontId="6" fillId="13" borderId="0" xfId="0" applyFont="1" applyFill="1" applyAlignment="1">
      <alignment horizontal="center"/>
    </xf>
    <xf numFmtId="0" fontId="7" fillId="14" borderId="0" xfId="0" applyFont="1" applyFill="1" applyAlignment="1">
      <alignment horizontal="center"/>
    </xf>
    <xf numFmtId="0" fontId="10" fillId="0" borderId="0" xfId="3" applyFont="1"/>
    <xf numFmtId="0" fontId="13" fillId="0" borderId="0" xfId="0" applyFont="1"/>
    <xf numFmtId="0" fontId="10" fillId="0" borderId="0" xfId="3" applyFont="1" applyAlignment="1">
      <alignment horizontal="center" vertical="center"/>
    </xf>
    <xf numFmtId="0" fontId="10" fillId="0" borderId="0" xfId="3" applyFont="1" applyAlignment="1">
      <alignment horizontal="center"/>
    </xf>
    <xf numFmtId="0" fontId="15" fillId="0" borderId="0" xfId="0" applyFont="1" applyAlignment="1">
      <alignment vertical="center" wrapText="1"/>
    </xf>
    <xf numFmtId="0" fontId="16" fillId="0" borderId="0" xfId="3" applyFont="1" applyAlignment="1">
      <alignment vertical="center" wrapText="1"/>
    </xf>
    <xf numFmtId="0" fontId="17" fillId="0" borderId="0" xfId="0" applyFont="1" applyAlignment="1">
      <alignment horizontal="center" vertical="top" wrapText="1"/>
    </xf>
    <xf numFmtId="0" fontId="18" fillId="0" borderId="0" xfId="0" applyFont="1" applyAlignment="1">
      <alignment vertical="center" wrapText="1"/>
    </xf>
    <xf numFmtId="0" fontId="10" fillId="0" borderId="0" xfId="3" applyFont="1" applyAlignment="1">
      <alignment wrapText="1"/>
    </xf>
    <xf numFmtId="0" fontId="19" fillId="0" borderId="0" xfId="0" applyFont="1" applyAlignment="1">
      <alignment vertical="center" wrapText="1"/>
    </xf>
    <xf numFmtId="0" fontId="10" fillId="0" borderId="0" xfId="3" applyFont="1" applyAlignment="1">
      <alignment vertical="center"/>
    </xf>
    <xf numFmtId="0" fontId="10" fillId="5" borderId="5" xfId="3" applyFont="1" applyFill="1" applyBorder="1" applyAlignment="1">
      <alignment horizontal="center" vertical="center" wrapText="1"/>
    </xf>
    <xf numFmtId="0" fontId="22" fillId="6" borderId="1" xfId="3" applyFont="1" applyFill="1" applyBorder="1" applyAlignment="1">
      <alignment horizontal="center" vertical="center"/>
    </xf>
    <xf numFmtId="9" fontId="26" fillId="0" borderId="7" xfId="3" applyNumberFormat="1" applyFont="1" applyBorder="1" applyAlignment="1">
      <alignment horizontal="center" vertical="center"/>
    </xf>
    <xf numFmtId="0" fontId="10" fillId="7" borderId="5" xfId="3" applyFont="1" applyFill="1" applyBorder="1" applyAlignment="1">
      <alignment horizontal="center" vertical="center" wrapText="1"/>
    </xf>
    <xf numFmtId="0" fontId="22" fillId="9" borderId="1" xfId="3" applyFont="1" applyFill="1" applyBorder="1" applyAlignment="1">
      <alignment horizontal="center" vertical="center"/>
    </xf>
    <xf numFmtId="0" fontId="22" fillId="8" borderId="1" xfId="3" applyFont="1" applyFill="1" applyBorder="1" applyAlignment="1">
      <alignment horizontal="center" vertical="center"/>
    </xf>
    <xf numFmtId="9" fontId="26" fillId="8" borderId="7" xfId="3" applyNumberFormat="1" applyFont="1" applyFill="1" applyBorder="1" applyAlignment="1">
      <alignment horizontal="center" vertical="center"/>
    </xf>
    <xf numFmtId="0" fontId="10" fillId="10" borderId="5" xfId="3" applyFont="1" applyFill="1" applyBorder="1" applyAlignment="1">
      <alignment horizontal="center" vertical="center" wrapText="1"/>
    </xf>
    <xf numFmtId="0" fontId="22" fillId="6" borderId="1" xfId="3" quotePrefix="1" applyFont="1" applyFill="1" applyBorder="1" applyAlignment="1">
      <alignment horizontal="center" vertical="center"/>
    </xf>
    <xf numFmtId="0" fontId="22" fillId="0" borderId="1" xfId="3" applyFont="1" applyBorder="1" applyAlignment="1">
      <alignment horizontal="center" vertical="center"/>
    </xf>
    <xf numFmtId="0" fontId="10" fillId="3" borderId="0" xfId="3" applyFont="1" applyFill="1" applyAlignment="1">
      <alignment horizontal="center" vertical="center" wrapText="1"/>
    </xf>
    <xf numFmtId="0" fontId="10" fillId="0" borderId="0" xfId="3" applyFont="1" applyAlignment="1">
      <alignment horizontal="center" vertical="center" wrapText="1"/>
    </xf>
    <xf numFmtId="0" fontId="10" fillId="3" borderId="5" xfId="3" applyFont="1" applyFill="1" applyBorder="1" applyAlignment="1">
      <alignment horizontal="center" vertical="center" wrapText="1"/>
    </xf>
    <xf numFmtId="0" fontId="27" fillId="0" borderId="0" xfId="0" applyFont="1" applyAlignment="1">
      <alignment horizontal="center" vertical="top" wrapText="1"/>
    </xf>
    <xf numFmtId="0" fontId="10" fillId="3" borderId="0" xfId="3" applyFont="1" applyFill="1"/>
    <xf numFmtId="0" fontId="10" fillId="3" borderId="0" xfId="3" applyFont="1" applyFill="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1" fillId="8" borderId="9" xfId="3" applyFont="1" applyFill="1" applyBorder="1" applyAlignment="1">
      <alignment horizontal="left" vertical="center" indent="2"/>
    </xf>
    <xf numFmtId="0" fontId="31" fillId="8" borderId="10" xfId="3" applyFont="1" applyFill="1" applyBorder="1" applyAlignment="1">
      <alignment horizontal="center" vertical="center"/>
    </xf>
    <xf numFmtId="0" fontId="31" fillId="8" borderId="5" xfId="3" applyFont="1" applyFill="1" applyBorder="1" applyAlignment="1">
      <alignment horizontal="center" vertical="center"/>
    </xf>
    <xf numFmtId="0" fontId="25" fillId="0" borderId="0" xfId="3" applyFont="1" applyAlignment="1">
      <alignment horizontal="center" vertical="center"/>
    </xf>
    <xf numFmtId="0" fontId="10" fillId="12" borderId="15" xfId="3" applyFont="1" applyFill="1" applyBorder="1" applyAlignment="1">
      <alignment horizontal="center" vertical="center"/>
    </xf>
    <xf numFmtId="0" fontId="25" fillId="11" borderId="1" xfId="3" applyFont="1" applyFill="1" applyBorder="1" applyAlignment="1">
      <alignment horizontal="center" vertical="center" wrapText="1"/>
    </xf>
    <xf numFmtId="0" fontId="10" fillId="3" borderId="8" xfId="0" applyFont="1" applyFill="1" applyBorder="1" applyAlignment="1">
      <alignment vertical="center" wrapText="1"/>
    </xf>
    <xf numFmtId="0" fontId="25" fillId="8" borderId="1" xfId="3" applyFont="1" applyFill="1" applyBorder="1" applyAlignment="1">
      <alignment horizontal="center" vertical="center" wrapText="1"/>
    </xf>
    <xf numFmtId="0" fontId="10" fillId="8" borderId="1" xfId="3" applyFont="1" applyFill="1" applyBorder="1" applyAlignment="1">
      <alignment horizontal="left" vertical="center" wrapText="1"/>
    </xf>
    <xf numFmtId="0" fontId="10" fillId="0" borderId="0" xfId="0" applyFont="1"/>
    <xf numFmtId="0" fontId="33" fillId="0" borderId="0" xfId="0" applyFont="1"/>
    <xf numFmtId="0" fontId="34" fillId="0" borderId="0" xfId="0" applyFont="1"/>
    <xf numFmtId="0" fontId="36" fillId="0" borderId="0" xfId="0" applyFont="1"/>
    <xf numFmtId="0" fontId="36" fillId="2" borderId="0" xfId="0" applyFont="1" applyFill="1"/>
    <xf numFmtId="0" fontId="36" fillId="2" borderId="0" xfId="0" applyFont="1" applyFill="1" applyAlignment="1">
      <alignment horizontal="center"/>
    </xf>
    <xf numFmtId="0" fontId="35" fillId="0" borderId="0" xfId="0" applyFont="1"/>
    <xf numFmtId="0" fontId="35" fillId="2" borderId="0" xfId="0" applyFont="1" applyFill="1"/>
    <xf numFmtId="0" fontId="32" fillId="0" borderId="0" xfId="0" applyFont="1"/>
    <xf numFmtId="0" fontId="37" fillId="0" borderId="0" xfId="0" applyFont="1" applyAlignment="1">
      <alignment wrapText="1"/>
    </xf>
    <xf numFmtId="0" fontId="10" fillId="0" borderId="0" xfId="0" applyFont="1" applyAlignment="1">
      <alignment vertical="center"/>
    </xf>
    <xf numFmtId="0" fontId="39" fillId="0" borderId="0" xfId="0" applyFont="1" applyAlignment="1">
      <alignment horizontal="left" vertical="center"/>
    </xf>
    <xf numFmtId="0" fontId="40" fillId="0" borderId="1" xfId="0" applyFont="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vertical="center" wrapText="1"/>
    </xf>
    <xf numFmtId="0" fontId="10" fillId="3" borderId="0" xfId="0" applyFont="1" applyFill="1"/>
    <xf numFmtId="0" fontId="10" fillId="0" borderId="0" xfId="0" applyFont="1" applyAlignment="1">
      <alignment wrapText="1"/>
    </xf>
    <xf numFmtId="0" fontId="41" fillId="8" borderId="1" xfId="3" applyFont="1" applyFill="1" applyBorder="1" applyAlignment="1">
      <alignment horizontal="center" wrapText="1"/>
    </xf>
    <xf numFmtId="0" fontId="10" fillId="0" borderId="1" xfId="3" applyFont="1" applyBorder="1" applyAlignment="1">
      <alignment horizontal="left" vertical="center" wrapText="1"/>
    </xf>
    <xf numFmtId="0" fontId="10" fillId="8" borderId="1" xfId="0" applyFont="1" applyFill="1" applyBorder="1" applyAlignment="1">
      <alignment vertical="center" wrapText="1"/>
    </xf>
    <xf numFmtId="0" fontId="41" fillId="3" borderId="8" xfId="0" applyFont="1" applyFill="1" applyBorder="1" applyAlignment="1">
      <alignment horizontal="center" wrapText="1"/>
    </xf>
    <xf numFmtId="0" fontId="10" fillId="0" borderId="8" xfId="0" applyFont="1" applyBorder="1" applyAlignment="1">
      <alignment vertical="top" wrapText="1"/>
    </xf>
    <xf numFmtId="0" fontId="10" fillId="0" borderId="1" xfId="0" applyFont="1" applyBorder="1"/>
    <xf numFmtId="0" fontId="42" fillId="0" borderId="8" xfId="0" applyFont="1" applyBorder="1"/>
    <xf numFmtId="0" fontId="41" fillId="0" borderId="1" xfId="3" applyFont="1" applyBorder="1" applyAlignment="1">
      <alignment horizontal="center" wrapText="1"/>
    </xf>
    <xf numFmtId="0" fontId="43" fillId="0" borderId="0" xfId="0" applyFont="1" applyAlignment="1">
      <alignment horizontal="left" vertical="center"/>
    </xf>
    <xf numFmtId="0" fontId="25" fillId="3" borderId="8" xfId="4" applyFont="1" applyFill="1" applyBorder="1" applyAlignment="1" applyProtection="1">
      <alignment horizontal="center" vertical="center" wrapText="1"/>
    </xf>
    <xf numFmtId="0" fontId="42" fillId="0" borderId="1" xfId="0" applyFont="1" applyBorder="1"/>
    <xf numFmtId="0" fontId="10" fillId="3" borderId="1" xfId="0" applyFont="1" applyFill="1" applyBorder="1" applyAlignment="1">
      <alignment vertical="center" wrapText="1"/>
    </xf>
    <xf numFmtId="0" fontId="22" fillId="18" borderId="0" xfId="3" applyFont="1" applyFill="1" applyAlignment="1">
      <alignment horizontal="center" vertical="center"/>
    </xf>
    <xf numFmtId="0" fontId="10" fillId="2" borderId="0" xfId="0" applyFont="1" applyFill="1"/>
    <xf numFmtId="0" fontId="11" fillId="2" borderId="0" xfId="0" applyFont="1" applyFill="1" applyAlignment="1">
      <alignment horizontal="center" vertical="center" wrapText="1"/>
    </xf>
    <xf numFmtId="0" fontId="10" fillId="2" borderId="0" xfId="3" applyFont="1" applyFill="1"/>
    <xf numFmtId="0" fontId="11" fillId="2" borderId="0" xfId="3" applyFont="1" applyFill="1" applyAlignment="1">
      <alignment vertical="center" wrapText="1"/>
    </xf>
    <xf numFmtId="0" fontId="11" fillId="2" borderId="0" xfId="3" applyFont="1" applyFill="1" applyAlignment="1">
      <alignment horizontal="center" vertical="center" wrapText="1"/>
    </xf>
    <xf numFmtId="0" fontId="16" fillId="2" borderId="0" xfId="3" applyFont="1" applyFill="1" applyAlignment="1">
      <alignment vertical="center" wrapText="1"/>
    </xf>
    <xf numFmtId="0" fontId="10" fillId="2" borderId="0" xfId="3" applyFont="1" applyFill="1" applyAlignment="1">
      <alignment horizontal="center" vertical="center"/>
    </xf>
    <xf numFmtId="0" fontId="10" fillId="2" borderId="0" xfId="3" applyFont="1" applyFill="1" applyAlignment="1">
      <alignment horizontal="center" vertical="center" wrapText="1"/>
    </xf>
    <xf numFmtId="0" fontId="10" fillId="2" borderId="0" xfId="3" applyFont="1" applyFill="1" applyAlignment="1">
      <alignment vertical="center"/>
    </xf>
    <xf numFmtId="0" fontId="10" fillId="2" borderId="0" xfId="3" applyFont="1" applyFill="1" applyAlignment="1">
      <alignment wrapText="1"/>
    </xf>
    <xf numFmtId="0" fontId="44" fillId="0" borderId="0" xfId="0" applyFont="1" applyAlignment="1">
      <alignment horizontal="center"/>
    </xf>
    <xf numFmtId="0" fontId="10" fillId="19" borderId="0" xfId="0" applyFont="1" applyFill="1"/>
    <xf numFmtId="0" fontId="11" fillId="19" borderId="0" xfId="0" applyFont="1" applyFill="1" applyAlignment="1">
      <alignment horizontal="center" vertical="center" wrapText="1"/>
    </xf>
    <xf numFmtId="0" fontId="11" fillId="19" borderId="0" xfId="0" applyFont="1" applyFill="1" applyAlignment="1">
      <alignment vertical="center" wrapText="1"/>
    </xf>
    <xf numFmtId="0" fontId="10" fillId="19" borderId="0" xfId="3" applyFont="1" applyFill="1"/>
    <xf numFmtId="0" fontId="11" fillId="19" borderId="0" xfId="3" applyFont="1" applyFill="1" applyAlignment="1">
      <alignment vertical="center" wrapText="1"/>
    </xf>
    <xf numFmtId="0" fontId="14" fillId="19" borderId="0" xfId="0" applyFont="1" applyFill="1" applyAlignment="1">
      <alignment horizontal="center" vertical="top"/>
    </xf>
    <xf numFmtId="0" fontId="11" fillId="19" borderId="0" xfId="3" applyFont="1" applyFill="1" applyAlignment="1">
      <alignment horizontal="center" vertical="center" wrapText="1"/>
    </xf>
    <xf numFmtId="0" fontId="10" fillId="19" borderId="0" xfId="3" applyFont="1" applyFill="1" applyAlignment="1">
      <alignment wrapText="1"/>
    </xf>
    <xf numFmtId="0" fontId="16" fillId="19" borderId="0" xfId="3" applyFont="1" applyFill="1" applyAlignment="1">
      <alignment vertical="center" wrapText="1"/>
    </xf>
    <xf numFmtId="0" fontId="10" fillId="19" borderId="0" xfId="3" applyFont="1" applyFill="1" applyAlignment="1">
      <alignment horizontal="center" vertical="center"/>
    </xf>
    <xf numFmtId="0" fontId="10" fillId="19" borderId="0" xfId="3" applyFont="1" applyFill="1" applyAlignment="1">
      <alignment horizontal="center" vertical="center" wrapText="1"/>
    </xf>
    <xf numFmtId="0" fontId="10" fillId="19" borderId="0" xfId="3" applyFont="1" applyFill="1" applyAlignment="1">
      <alignment vertical="center"/>
    </xf>
    <xf numFmtId="0" fontId="10" fillId="19" borderId="0" xfId="3" applyFont="1" applyFill="1" applyAlignment="1">
      <alignment horizontal="center"/>
    </xf>
    <xf numFmtId="0" fontId="45" fillId="0" borderId="0" xfId="0" applyFont="1" applyAlignment="1">
      <alignment horizontal="center"/>
    </xf>
    <xf numFmtId="0" fontId="22" fillId="21" borderId="0" xfId="3" applyFont="1" applyFill="1" applyAlignment="1">
      <alignment horizontal="center" vertical="center"/>
    </xf>
    <xf numFmtId="0" fontId="22" fillId="22" borderId="0" xfId="3" applyFont="1" applyFill="1" applyAlignment="1">
      <alignment horizontal="center" vertical="center"/>
    </xf>
    <xf numFmtId="0" fontId="0" fillId="0" borderId="0" xfId="0" applyAlignment="1">
      <alignment wrapText="1"/>
    </xf>
    <xf numFmtId="0" fontId="40" fillId="0" borderId="1" xfId="0" applyFont="1" applyBorder="1" applyAlignment="1">
      <alignment horizontal="center" vertical="center" wrapText="1"/>
    </xf>
    <xf numFmtId="0" fontId="10" fillId="3" borderId="0" xfId="0" applyFont="1" applyFill="1" applyAlignment="1">
      <alignment wrapText="1"/>
    </xf>
    <xf numFmtId="0" fontId="0" fillId="17" borderId="0" xfId="0" applyFill="1"/>
    <xf numFmtId="0" fontId="49" fillId="0" borderId="0" xfId="0" applyFont="1" applyAlignment="1">
      <alignment horizontal="center" vertical="center"/>
    </xf>
    <xf numFmtId="0" fontId="13" fillId="24" borderId="0" xfId="0" applyFont="1" applyFill="1"/>
    <xf numFmtId="0" fontId="10" fillId="0" borderId="36" xfId="0" applyFont="1" applyBorder="1" applyAlignment="1">
      <alignment horizontal="center" vertical="center"/>
    </xf>
    <xf numFmtId="0" fontId="13" fillId="0" borderId="36" xfId="0" applyFont="1" applyBorder="1" applyAlignment="1">
      <alignment horizontal="center" vertical="center"/>
    </xf>
    <xf numFmtId="0" fontId="47" fillId="24" borderId="0" xfId="0" applyFont="1" applyFill="1"/>
    <xf numFmtId="0" fontId="50" fillId="24" borderId="0" xfId="0" applyFont="1" applyFill="1"/>
    <xf numFmtId="0" fontId="10" fillId="2" borderId="59" xfId="3" applyFont="1" applyFill="1" applyBorder="1"/>
    <xf numFmtId="0" fontId="10" fillId="2" borderId="59" xfId="3" applyFont="1" applyFill="1" applyBorder="1" applyAlignment="1">
      <alignment horizontal="center" vertical="center"/>
    </xf>
    <xf numFmtId="0" fontId="10" fillId="12" borderId="59" xfId="3" applyFont="1" applyFill="1" applyBorder="1" applyAlignment="1">
      <alignment horizontal="center" vertical="center"/>
    </xf>
    <xf numFmtId="9" fontId="24" fillId="2" borderId="60" xfId="3" applyNumberFormat="1" applyFont="1" applyFill="1" applyBorder="1" applyAlignment="1">
      <alignment horizontal="center" vertical="center"/>
    </xf>
    <xf numFmtId="0" fontId="10" fillId="2" borderId="62" xfId="3" applyFont="1" applyFill="1" applyBorder="1"/>
    <xf numFmtId="0" fontId="10" fillId="2" borderId="62" xfId="3" applyFont="1" applyFill="1" applyBorder="1" applyAlignment="1">
      <alignment horizontal="center" vertical="center"/>
    </xf>
    <xf numFmtId="0" fontId="10" fillId="12" borderId="62" xfId="3" applyFont="1" applyFill="1" applyBorder="1" applyAlignment="1">
      <alignment horizontal="center" vertical="center"/>
    </xf>
    <xf numFmtId="0" fontId="10" fillId="2" borderId="63" xfId="3" applyFont="1" applyFill="1" applyBorder="1"/>
    <xf numFmtId="0" fontId="25" fillId="8" borderId="36" xfId="3" applyFont="1" applyFill="1" applyBorder="1" applyAlignment="1">
      <alignment horizontal="center" vertical="center" wrapText="1"/>
    </xf>
    <xf numFmtId="0" fontId="10" fillId="8" borderId="36" xfId="3" applyFont="1" applyFill="1" applyBorder="1" applyAlignment="1">
      <alignment horizontal="left" vertical="center" wrapText="1"/>
    </xf>
    <xf numFmtId="0" fontId="25" fillId="11" borderId="36" xfId="3" applyFont="1" applyFill="1" applyBorder="1" applyAlignment="1">
      <alignment horizontal="center" vertical="center" wrapText="1"/>
    </xf>
    <xf numFmtId="0" fontId="10" fillId="3" borderId="36" xfId="0" applyFont="1" applyFill="1" applyBorder="1" applyAlignment="1">
      <alignment vertical="center" wrapText="1"/>
    </xf>
    <xf numFmtId="0" fontId="25" fillId="0" borderId="36" xfId="3" applyFont="1" applyBorder="1" applyAlignment="1">
      <alignment horizontal="center" vertical="center" wrapText="1"/>
    </xf>
    <xf numFmtId="0" fontId="10" fillId="0" borderId="36" xfId="0" applyFont="1" applyBorder="1" applyAlignment="1">
      <alignment vertical="center" wrapText="1"/>
    </xf>
    <xf numFmtId="0" fontId="10" fillId="0" borderId="69" xfId="3" applyFont="1" applyBorder="1" applyAlignment="1">
      <alignment horizontal="center" vertical="center"/>
    </xf>
    <xf numFmtId="0" fontId="10" fillId="0" borderId="70" xfId="3" applyFont="1" applyBorder="1" applyAlignment="1">
      <alignment horizontal="center" vertical="center"/>
    </xf>
    <xf numFmtId="0" fontId="10" fillId="0" borderId="71" xfId="3" applyFont="1" applyBorder="1" applyAlignment="1">
      <alignment horizontal="center" vertical="center"/>
    </xf>
    <xf numFmtId="0" fontId="0" fillId="0" borderId="1" xfId="0" applyBorder="1" applyAlignment="1">
      <alignment horizontal="left"/>
    </xf>
    <xf numFmtId="0" fontId="0" fillId="0" borderId="8" xfId="0" applyBorder="1" applyAlignment="1">
      <alignment horizontal="left"/>
    </xf>
    <xf numFmtId="0" fontId="0" fillId="0" borderId="6" xfId="0" applyBorder="1" applyAlignment="1">
      <alignment horizontal="left"/>
    </xf>
    <xf numFmtId="0" fontId="0" fillId="0" borderId="0" xfId="0" applyAlignment="1">
      <alignment horizontal="left"/>
    </xf>
    <xf numFmtId="0" fontId="51" fillId="0" borderId="8" xfId="0" applyFont="1" applyBorder="1" applyAlignment="1">
      <alignment horizontal="left"/>
    </xf>
    <xf numFmtId="0" fontId="51" fillId="0" borderId="6" xfId="0" applyFont="1" applyBorder="1" applyAlignment="1">
      <alignment horizontal="left"/>
    </xf>
    <xf numFmtId="0" fontId="0" fillId="0" borderId="77" xfId="0" applyBorder="1" applyAlignment="1">
      <alignment horizontal="left"/>
    </xf>
    <xf numFmtId="0" fontId="0" fillId="0" borderId="0" xfId="0" applyAlignment="1">
      <alignment horizontal="left" wrapText="1"/>
    </xf>
    <xf numFmtId="0" fontId="51" fillId="0" borderId="77" xfId="0" applyFont="1" applyBorder="1" applyAlignment="1">
      <alignment horizontal="left"/>
    </xf>
    <xf numFmtId="0" fontId="0" fillId="15" borderId="1" xfId="0" applyFill="1" applyBorder="1" applyAlignment="1">
      <alignment horizontal="left"/>
    </xf>
    <xf numFmtId="0" fontId="0" fillId="15" borderId="8" xfId="0" applyFill="1" applyBorder="1" applyAlignment="1">
      <alignment horizontal="left"/>
    </xf>
    <xf numFmtId="0" fontId="51" fillId="15" borderId="8" xfId="0" applyFont="1" applyFill="1" applyBorder="1" applyAlignment="1">
      <alignment horizontal="left"/>
    </xf>
    <xf numFmtId="0" fontId="51" fillId="15" borderId="6" xfId="0" applyFont="1" applyFill="1" applyBorder="1" applyAlignment="1">
      <alignment horizontal="left"/>
    </xf>
    <xf numFmtId="0" fontId="51" fillId="15" borderId="77" xfId="0" applyFont="1" applyFill="1" applyBorder="1" applyAlignment="1">
      <alignment horizontal="left"/>
    </xf>
    <xf numFmtId="0" fontId="0" fillId="15" borderId="1" xfId="0" applyFill="1" applyBorder="1" applyAlignment="1">
      <alignment horizontal="left" wrapText="1"/>
    </xf>
    <xf numFmtId="0" fontId="0" fillId="15" borderId="8" xfId="0" applyFill="1" applyBorder="1" applyAlignment="1">
      <alignment horizontal="left" wrapText="1"/>
    </xf>
    <xf numFmtId="0" fontId="51" fillId="15" borderId="8" xfId="0" applyFont="1" applyFill="1" applyBorder="1" applyAlignment="1">
      <alignment horizontal="left" wrapText="1"/>
    </xf>
    <xf numFmtId="0" fontId="51" fillId="15" borderId="6" xfId="0" applyFont="1" applyFill="1" applyBorder="1" applyAlignment="1">
      <alignment horizontal="left" wrapText="1"/>
    </xf>
    <xf numFmtId="0" fontId="51" fillId="15" borderId="77" xfId="0" applyFont="1" applyFill="1" applyBorder="1" applyAlignment="1">
      <alignment horizontal="left" wrapText="1"/>
    </xf>
    <xf numFmtId="0" fontId="0" fillId="15" borderId="6" xfId="0" applyFill="1" applyBorder="1" applyAlignment="1">
      <alignment horizontal="left"/>
    </xf>
    <xf numFmtId="0" fontId="0" fillId="15" borderId="77" xfId="0" applyFill="1" applyBorder="1" applyAlignment="1">
      <alignment horizontal="left"/>
    </xf>
    <xf numFmtId="0" fontId="0" fillId="16" borderId="78" xfId="0" applyFill="1" applyBorder="1" applyAlignment="1">
      <alignment horizontal="left"/>
    </xf>
    <xf numFmtId="0" fontId="0" fillId="16" borderId="79" xfId="0" applyFill="1" applyBorder="1" applyAlignment="1">
      <alignment horizontal="left"/>
    </xf>
    <xf numFmtId="0" fontId="0" fillId="16" borderId="80" xfId="0" applyFill="1" applyBorder="1" applyAlignment="1">
      <alignment horizontal="left"/>
    </xf>
    <xf numFmtId="0" fontId="0" fillId="25" borderId="81" xfId="0" applyFill="1" applyBorder="1" applyAlignment="1">
      <alignment horizontal="left"/>
    </xf>
    <xf numFmtId="0" fontId="0" fillId="25" borderId="82" xfId="0" applyFill="1" applyBorder="1" applyAlignment="1">
      <alignment horizontal="left"/>
    </xf>
    <xf numFmtId="0" fontId="0" fillId="25" borderId="83" xfId="0" applyFill="1" applyBorder="1" applyAlignment="1">
      <alignment horizontal="left"/>
    </xf>
    <xf numFmtId="0" fontId="0" fillId="0" borderId="22" xfId="0" applyBorder="1" applyAlignment="1">
      <alignment horizontal="left"/>
    </xf>
    <xf numFmtId="0" fontId="52" fillId="0" borderId="8" xfId="0" applyFont="1" applyBorder="1" applyAlignment="1">
      <alignment horizontal="left"/>
    </xf>
    <xf numFmtId="0" fontId="0" fillId="26" borderId="8" xfId="0" applyFill="1" applyBorder="1" applyAlignment="1">
      <alignment horizontal="left"/>
    </xf>
    <xf numFmtId="0" fontId="51" fillId="26" borderId="8" xfId="0" applyFont="1" applyFill="1" applyBorder="1" applyAlignment="1">
      <alignment horizontal="left"/>
    </xf>
    <xf numFmtId="0" fontId="51" fillId="26" borderId="6" xfId="0" applyFont="1" applyFill="1" applyBorder="1" applyAlignment="1">
      <alignment horizontal="left"/>
    </xf>
    <xf numFmtId="0" fontId="51" fillId="26" borderId="77" xfId="0" applyFont="1" applyFill="1" applyBorder="1" applyAlignment="1">
      <alignment horizontal="left"/>
    </xf>
    <xf numFmtId="0" fontId="53" fillId="0" borderId="0" xfId="0" applyFont="1" applyAlignment="1">
      <alignment vertical="center"/>
    </xf>
    <xf numFmtId="0" fontId="0" fillId="16" borderId="84" xfId="0" applyFill="1" applyBorder="1" applyAlignment="1">
      <alignment horizontal="left"/>
    </xf>
    <xf numFmtId="0" fontId="0" fillId="25" borderId="85" xfId="0" applyFill="1" applyBorder="1" applyAlignment="1">
      <alignment horizontal="left"/>
    </xf>
    <xf numFmtId="0" fontId="0" fillId="0" borderId="4" xfId="0" applyBorder="1" applyAlignment="1">
      <alignment horizontal="left"/>
    </xf>
    <xf numFmtId="0" fontId="0" fillId="23" borderId="8" xfId="0" applyFill="1" applyBorder="1" applyAlignment="1">
      <alignment horizontal="left"/>
    </xf>
    <xf numFmtId="0" fontId="24" fillId="2" borderId="59" xfId="3" applyFont="1" applyFill="1" applyBorder="1" applyAlignment="1">
      <alignment horizontal="right" indent="38"/>
    </xf>
    <xf numFmtId="0" fontId="24" fillId="2" borderId="58" xfId="3" applyFont="1" applyFill="1" applyBorder="1" applyAlignment="1">
      <alignment horizontal="center" vertical="center"/>
    </xf>
    <xf numFmtId="0" fontId="24" fillId="2" borderId="59" xfId="3" applyFont="1" applyFill="1" applyBorder="1" applyAlignment="1">
      <alignment horizontal="left" vertical="center" indent="1"/>
    </xf>
    <xf numFmtId="0" fontId="48" fillId="2" borderId="61" xfId="3" applyFont="1" applyFill="1" applyBorder="1" applyAlignment="1">
      <alignment horizontal="left" vertical="top"/>
    </xf>
    <xf numFmtId="0" fontId="10" fillId="0" borderId="59" xfId="3" applyFont="1" applyBorder="1" applyAlignment="1">
      <alignment horizontal="center" vertical="center"/>
    </xf>
    <xf numFmtId="0" fontId="10" fillId="0" borderId="62" xfId="3" applyFont="1" applyBorder="1" applyAlignment="1">
      <alignment horizontal="center" vertical="center"/>
    </xf>
    <xf numFmtId="0" fontId="55" fillId="0" borderId="0" xfId="0" applyFont="1" applyAlignment="1">
      <alignment vertical="center" wrapText="1"/>
    </xf>
    <xf numFmtId="0" fontId="56" fillId="0" borderId="0" xfId="0" applyFont="1" applyAlignment="1">
      <alignment vertical="center" wrapText="1"/>
    </xf>
    <xf numFmtId="0" fontId="0" fillId="27" borderId="1" xfId="0" applyFill="1" applyBorder="1" applyAlignment="1">
      <alignment horizontal="left"/>
    </xf>
    <xf numFmtId="0" fontId="0" fillId="27" borderId="8" xfId="0" applyFill="1" applyBorder="1" applyAlignment="1">
      <alignment horizontal="left"/>
    </xf>
    <xf numFmtId="0" fontId="0" fillId="27" borderId="6" xfId="0" applyFill="1" applyBorder="1" applyAlignment="1">
      <alignment horizontal="left"/>
    </xf>
    <xf numFmtId="0" fontId="0" fillId="27" borderId="77" xfId="0" applyFill="1" applyBorder="1" applyAlignment="1">
      <alignment horizontal="left"/>
    </xf>
    <xf numFmtId="0" fontId="0" fillId="27" borderId="0" xfId="0" applyFill="1" applyAlignment="1">
      <alignment horizontal="left"/>
    </xf>
    <xf numFmtId="0" fontId="0" fillId="27" borderId="22" xfId="0" applyFill="1" applyBorder="1" applyAlignment="1">
      <alignment horizontal="left"/>
    </xf>
    <xf numFmtId="0" fontId="53" fillId="0" borderId="22" xfId="0" applyFont="1" applyBorder="1" applyAlignment="1">
      <alignment vertical="center"/>
    </xf>
    <xf numFmtId="0" fontId="58" fillId="2" borderId="0" xfId="0" applyFont="1" applyFill="1" applyAlignment="1">
      <alignment vertical="center"/>
    </xf>
    <xf numFmtId="0" fontId="10" fillId="0" borderId="1" xfId="0" applyFont="1" applyBorder="1" applyAlignment="1">
      <alignment vertical="top" wrapText="1"/>
    </xf>
    <xf numFmtId="0" fontId="17" fillId="0" borderId="0" xfId="0" applyFont="1" applyAlignment="1">
      <alignment horizontal="center"/>
    </xf>
    <xf numFmtId="0" fontId="59" fillId="2" borderId="0" xfId="0" applyFont="1" applyFill="1" applyAlignment="1">
      <alignment horizontal="left" vertical="center" indent="11"/>
    </xf>
    <xf numFmtId="0" fontId="60" fillId="21" borderId="86" xfId="0" applyFont="1" applyFill="1" applyBorder="1" applyAlignment="1">
      <alignment horizontal="center" vertical="center"/>
    </xf>
    <xf numFmtId="0" fontId="41" fillId="3" borderId="1" xfId="0" applyFont="1" applyFill="1" applyBorder="1" applyAlignment="1">
      <alignment horizontal="center" wrapText="1"/>
    </xf>
    <xf numFmtId="0" fontId="47" fillId="2" borderId="61" xfId="3" applyFont="1" applyFill="1" applyBorder="1" applyAlignment="1">
      <alignment horizontal="center" vertical="top"/>
    </xf>
    <xf numFmtId="0" fontId="25" fillId="3" borderId="13" xfId="3" applyFont="1" applyFill="1" applyBorder="1" applyAlignment="1">
      <alignment vertical="center" textRotation="90" wrapText="1"/>
    </xf>
    <xf numFmtId="0" fontId="25" fillId="3" borderId="0" xfId="3" applyFont="1" applyFill="1" applyAlignment="1">
      <alignment vertical="center" textRotation="90" wrapText="1"/>
    </xf>
    <xf numFmtId="0" fontId="20" fillId="4" borderId="87" xfId="3" applyFont="1" applyFill="1" applyBorder="1" applyAlignment="1">
      <alignment horizontal="center" vertical="center" wrapText="1"/>
    </xf>
    <xf numFmtId="0" fontId="40" fillId="0" borderId="4" xfId="3" applyFont="1" applyBorder="1" applyAlignment="1">
      <alignment horizontal="center" vertical="center"/>
    </xf>
    <xf numFmtId="0" fontId="61" fillId="0" borderId="0" xfId="0" applyFont="1" applyAlignment="1">
      <alignment horizontal="center" vertical="center"/>
    </xf>
    <xf numFmtId="0" fontId="53" fillId="26" borderId="0" xfId="0" applyFont="1" applyFill="1" applyAlignment="1">
      <alignment vertical="center"/>
    </xf>
    <xf numFmtId="0" fontId="52" fillId="26" borderId="8" xfId="0" applyFont="1" applyFill="1" applyBorder="1" applyAlignment="1">
      <alignment horizontal="left"/>
    </xf>
    <xf numFmtId="0" fontId="10" fillId="0" borderId="36" xfId="0" applyFont="1" applyBorder="1" applyAlignment="1">
      <alignment horizontal="left" vertical="center" wrapText="1"/>
    </xf>
    <xf numFmtId="0" fontId="0" fillId="23" borderId="0" xfId="0" applyFill="1" applyAlignment="1">
      <alignment horizontal="left"/>
    </xf>
    <xf numFmtId="0" fontId="63" fillId="28" borderId="0" xfId="0" applyFont="1" applyFill="1" applyAlignment="1">
      <alignment vertical="center" wrapText="1"/>
    </xf>
    <xf numFmtId="0" fontId="12" fillId="2" borderId="0" xfId="0" applyFont="1" applyFill="1" applyAlignment="1">
      <alignment horizontal="left" vertical="center"/>
    </xf>
    <xf numFmtId="0" fontId="13" fillId="2" borderId="0" xfId="0" applyFont="1" applyFill="1"/>
    <xf numFmtId="0" fontId="10" fillId="2" borderId="0" xfId="3" applyFont="1" applyFill="1" applyAlignment="1">
      <alignment horizontal="center"/>
    </xf>
    <xf numFmtId="0" fontId="14" fillId="2" borderId="0" xfId="0" applyFont="1" applyFill="1" applyAlignment="1">
      <alignment horizontal="left"/>
    </xf>
    <xf numFmtId="0" fontId="11" fillId="2" borderId="0" xfId="0" applyFont="1" applyFill="1" applyAlignment="1">
      <alignment horizontal="left" vertical="center"/>
    </xf>
    <xf numFmtId="9" fontId="10" fillId="0" borderId="0" xfId="2" applyFont="1" applyFill="1" applyBorder="1" applyAlignment="1">
      <alignment horizontal="center" vertical="center"/>
    </xf>
    <xf numFmtId="9" fontId="55" fillId="0" borderId="0" xfId="2" applyFont="1" applyFill="1" applyBorder="1" applyAlignment="1">
      <alignment horizontal="center" vertical="center"/>
    </xf>
    <xf numFmtId="0" fontId="35" fillId="19" borderId="0" xfId="0" applyFont="1" applyFill="1"/>
    <xf numFmtId="0" fontId="32" fillId="19" borderId="0" xfId="0" applyFont="1" applyFill="1"/>
    <xf numFmtId="0" fontId="12" fillId="19" borderId="0" xfId="0" applyFont="1" applyFill="1" applyAlignment="1">
      <alignment horizontal="left" vertical="center"/>
    </xf>
    <xf numFmtId="0" fontId="12" fillId="19" borderId="0" xfId="0" applyFont="1" applyFill="1" applyAlignment="1">
      <alignment horizontal="center" vertical="center"/>
    </xf>
    <xf numFmtId="0" fontId="13" fillId="19" borderId="0" xfId="0" applyFont="1" applyFill="1"/>
    <xf numFmtId="0" fontId="14" fillId="19" borderId="0" xfId="0" applyFont="1" applyFill="1" applyAlignment="1">
      <alignment horizontal="left"/>
    </xf>
    <xf numFmtId="0" fontId="11" fillId="19" borderId="0" xfId="0" applyFont="1" applyFill="1" applyAlignment="1">
      <alignment horizontal="left" vertical="center"/>
    </xf>
    <xf numFmtId="0" fontId="54" fillId="19" borderId="0" xfId="0" applyFont="1" applyFill="1" applyAlignment="1">
      <alignment horizontal="center" vertical="center"/>
    </xf>
    <xf numFmtId="0" fontId="31" fillId="0" borderId="4" xfId="3" applyFont="1" applyBorder="1" applyAlignment="1">
      <alignment horizontal="center" vertical="center"/>
    </xf>
    <xf numFmtId="0" fontId="31" fillId="0" borderId="11" xfId="3" applyFont="1" applyBorder="1" applyAlignment="1">
      <alignment horizontal="center" vertical="center"/>
    </xf>
    <xf numFmtId="0" fontId="31" fillId="0" borderId="12" xfId="3" applyFont="1" applyBorder="1" applyAlignment="1">
      <alignment horizontal="center" vertical="center"/>
    </xf>
    <xf numFmtId="0" fontId="32" fillId="8" borderId="10" xfId="3" applyFont="1" applyFill="1" applyBorder="1" applyAlignment="1">
      <alignment horizontal="center" vertical="center"/>
    </xf>
    <xf numFmtId="0" fontId="10" fillId="0" borderId="0" xfId="3" applyFont="1" applyAlignment="1">
      <alignment horizontal="left" vertical="center" wrapText="1"/>
    </xf>
    <xf numFmtId="0" fontId="46" fillId="0" borderId="0" xfId="3" applyFont="1"/>
    <xf numFmtId="0" fontId="47" fillId="0" borderId="0" xfId="0" applyFont="1" applyAlignment="1">
      <alignment horizontal="left" vertical="center" wrapText="1"/>
    </xf>
    <xf numFmtId="0" fontId="25" fillId="0" borderId="0" xfId="3" applyFont="1" applyAlignment="1">
      <alignment horizontal="center" vertical="center" wrapText="1"/>
    </xf>
    <xf numFmtId="0" fontId="0" fillId="0" borderId="0" xfId="0" applyAlignment="1">
      <alignment horizontal="justify" vertical="center"/>
    </xf>
    <xf numFmtId="0" fontId="0" fillId="0" borderId="8" xfId="0" applyBorder="1" applyAlignment="1">
      <alignment horizontal="left" vertical="top"/>
    </xf>
    <xf numFmtId="0" fontId="0" fillId="0" borderId="8" xfId="0" applyBorder="1" applyAlignment="1">
      <alignment horizontal="left" vertical="top" wrapText="1"/>
    </xf>
    <xf numFmtId="0" fontId="0" fillId="0" borderId="0" xfId="0" applyAlignment="1">
      <alignment horizontal="justify" vertical="top"/>
    </xf>
    <xf numFmtId="0" fontId="25" fillId="3" borderId="1" xfId="4" applyFont="1" applyFill="1" applyBorder="1" applyAlignment="1" applyProtection="1">
      <alignment horizontal="center" vertical="center" wrapText="1"/>
    </xf>
    <xf numFmtId="0" fontId="10" fillId="8" borderId="92" xfId="3" applyFont="1" applyFill="1" applyBorder="1" applyAlignment="1">
      <alignment horizontal="left" vertical="center" wrapText="1"/>
    </xf>
    <xf numFmtId="0" fontId="10" fillId="12" borderId="0" xfId="3" applyFont="1" applyFill="1" applyAlignment="1">
      <alignment horizontal="center" vertical="center"/>
    </xf>
    <xf numFmtId="0" fontId="10" fillId="0" borderId="0" xfId="0" applyFont="1" applyAlignment="1">
      <alignment vertical="center" wrapText="1"/>
    </xf>
    <xf numFmtId="0" fontId="10" fillId="0" borderId="92" xfId="0" applyFont="1" applyBorder="1" applyAlignment="1">
      <alignment vertical="center" wrapText="1"/>
    </xf>
    <xf numFmtId="0" fontId="0" fillId="0" borderId="77" xfId="0" applyBorder="1" applyAlignment="1">
      <alignment horizontal="left" vertical="top" wrapText="1"/>
    </xf>
    <xf numFmtId="0" fontId="0" fillId="0" borderId="0" xfId="0" applyAlignment="1">
      <alignment horizontal="left" vertical="top" wrapText="1"/>
    </xf>
    <xf numFmtId="0" fontId="0" fillId="0" borderId="22" xfId="0" applyBorder="1" applyAlignment="1">
      <alignment horizontal="left" vertical="top" wrapText="1"/>
    </xf>
    <xf numFmtId="0" fontId="0" fillId="0" borderId="15" xfId="0" applyBorder="1" applyAlignment="1">
      <alignment horizontal="left"/>
    </xf>
    <xf numFmtId="0" fontId="53" fillId="0" borderId="15" xfId="0" applyFont="1" applyBorder="1" applyAlignment="1">
      <alignment vertical="center"/>
    </xf>
    <xf numFmtId="0" fontId="15" fillId="19" borderId="108" xfId="3" applyFont="1" applyFill="1" applyBorder="1" applyAlignment="1">
      <alignment horizontal="center" vertical="center" wrapText="1"/>
    </xf>
    <xf numFmtId="0" fontId="13" fillId="29" borderId="0" xfId="0" applyFont="1" applyFill="1"/>
    <xf numFmtId="0" fontId="12" fillId="29" borderId="0" xfId="0" applyFont="1" applyFill="1" applyAlignment="1">
      <alignment horizontal="left" vertical="center"/>
    </xf>
    <xf numFmtId="0" fontId="11" fillId="29" borderId="0" xfId="0" applyFont="1" applyFill="1" applyAlignment="1">
      <alignment horizontal="center" vertical="center" wrapText="1"/>
    </xf>
    <xf numFmtId="0" fontId="14" fillId="29" borderId="0" xfId="0" applyFont="1" applyFill="1" applyAlignment="1">
      <alignment horizontal="left"/>
    </xf>
    <xf numFmtId="0" fontId="11" fillId="29" borderId="0" xfId="0" applyFont="1" applyFill="1" applyAlignment="1">
      <alignment horizontal="left" vertical="center"/>
    </xf>
    <xf numFmtId="0" fontId="54" fillId="29" borderId="0" xfId="0" applyFont="1" applyFill="1" applyAlignment="1">
      <alignment horizontal="center" vertical="center"/>
    </xf>
    <xf numFmtId="0" fontId="11" fillId="29" borderId="0" xfId="0" applyFont="1" applyFill="1" applyAlignment="1">
      <alignment vertical="center" wrapText="1"/>
    </xf>
    <xf numFmtId="0" fontId="10" fillId="29" borderId="0" xfId="3" applyFont="1" applyFill="1"/>
    <xf numFmtId="0" fontId="10" fillId="29" borderId="0" xfId="0" applyFont="1" applyFill="1"/>
    <xf numFmtId="0" fontId="11" fillId="29" borderId="0" xfId="3" applyFont="1" applyFill="1" applyAlignment="1">
      <alignment vertical="center" wrapText="1"/>
    </xf>
    <xf numFmtId="0" fontId="14" fillId="29" borderId="0" xfId="0" applyFont="1" applyFill="1" applyAlignment="1">
      <alignment horizontal="center" vertical="top"/>
    </xf>
    <xf numFmtId="0" fontId="11" fillId="29" borderId="0" xfId="3" applyFont="1" applyFill="1" applyAlignment="1">
      <alignment horizontal="center" vertical="center" wrapText="1"/>
    </xf>
    <xf numFmtId="0" fontId="15" fillId="29" borderId="111" xfId="3" applyFont="1" applyFill="1" applyBorder="1" applyAlignment="1">
      <alignment horizontal="center" vertical="center" wrapText="1"/>
    </xf>
    <xf numFmtId="0" fontId="15" fillId="29" borderId="108" xfId="3" applyFont="1" applyFill="1" applyBorder="1" applyAlignment="1">
      <alignment horizontal="center" vertical="center" wrapText="1"/>
    </xf>
    <xf numFmtId="0" fontId="15" fillId="29" borderId="55" xfId="3" applyFont="1" applyFill="1" applyBorder="1" applyAlignment="1">
      <alignment horizontal="center" vertical="center" wrapText="1"/>
    </xf>
    <xf numFmtId="0" fontId="15" fillId="30" borderId="55" xfId="3" applyFont="1" applyFill="1" applyBorder="1" applyAlignment="1">
      <alignment horizontal="center" vertical="center" wrapText="1"/>
    </xf>
    <xf numFmtId="0" fontId="15" fillId="30" borderId="108" xfId="3" applyFont="1" applyFill="1" applyBorder="1" applyAlignment="1">
      <alignment horizontal="center" vertical="center" wrapText="1"/>
    </xf>
    <xf numFmtId="0" fontId="15" fillId="30" borderId="111" xfId="3" applyFont="1" applyFill="1" applyBorder="1" applyAlignment="1">
      <alignment horizontal="center" vertical="center" wrapText="1"/>
    </xf>
    <xf numFmtId="0" fontId="15" fillId="19" borderId="55" xfId="3" applyFont="1" applyFill="1" applyBorder="1" applyAlignment="1">
      <alignment horizontal="center" vertical="center" wrapText="1"/>
    </xf>
    <xf numFmtId="0" fontId="15" fillId="19" borderId="111" xfId="3" applyFont="1" applyFill="1" applyBorder="1" applyAlignment="1">
      <alignment horizontal="center" vertical="center" wrapText="1"/>
    </xf>
    <xf numFmtId="0" fontId="66" fillId="22" borderId="0" xfId="0" applyFont="1" applyFill="1"/>
    <xf numFmtId="0" fontId="67" fillId="22" borderId="86" xfId="0" applyFont="1" applyFill="1" applyBorder="1" applyAlignment="1">
      <alignment horizontal="center" vertical="center"/>
    </xf>
    <xf numFmtId="0" fontId="68" fillId="18" borderId="86" xfId="0" applyFont="1" applyFill="1" applyBorder="1" applyAlignment="1">
      <alignment horizontal="center" vertical="center"/>
    </xf>
    <xf numFmtId="0" fontId="67" fillId="22" borderId="116" xfId="0" applyFont="1" applyFill="1" applyBorder="1" applyAlignment="1">
      <alignment horizontal="center" vertical="center"/>
    </xf>
    <xf numFmtId="0" fontId="68" fillId="18" borderId="116" xfId="0" applyFont="1" applyFill="1" applyBorder="1" applyAlignment="1">
      <alignment horizontal="center" vertical="center"/>
    </xf>
    <xf numFmtId="0" fontId="60" fillId="21" borderId="116" xfId="0" applyFont="1" applyFill="1" applyBorder="1" applyAlignment="1">
      <alignment horizontal="center" vertical="center"/>
    </xf>
    <xf numFmtId="9" fontId="40" fillId="0" borderId="117" xfId="3" applyNumberFormat="1" applyFont="1" applyBorder="1" applyAlignment="1">
      <alignment horizontal="center" vertical="center"/>
    </xf>
    <xf numFmtId="9" fontId="40" fillId="0" borderId="119" xfId="3" applyNumberFormat="1" applyFont="1" applyBorder="1" applyAlignment="1">
      <alignment horizontal="center" vertical="center"/>
    </xf>
    <xf numFmtId="0" fontId="0" fillId="31" borderId="0" xfId="0" applyFill="1"/>
    <xf numFmtId="0" fontId="65" fillId="31" borderId="0" xfId="0" applyFont="1" applyFill="1"/>
    <xf numFmtId="0" fontId="10" fillId="29" borderId="0" xfId="3" applyFont="1" applyFill="1" applyAlignment="1">
      <alignment wrapText="1"/>
    </xf>
    <xf numFmtId="0" fontId="16" fillId="29" borderId="0" xfId="3" applyFont="1" applyFill="1" applyAlignment="1">
      <alignment vertical="center" wrapText="1"/>
    </xf>
    <xf numFmtId="0" fontId="10" fillId="29" borderId="0" xfId="3" applyFont="1" applyFill="1" applyAlignment="1">
      <alignment horizontal="center" vertical="center"/>
    </xf>
    <xf numFmtId="0" fontId="10" fillId="29" borderId="0" xfId="3" applyFont="1" applyFill="1" applyAlignment="1">
      <alignment horizontal="center" vertical="center" wrapText="1"/>
    </xf>
    <xf numFmtId="0" fontId="10" fillId="29" borderId="0" xfId="3" applyFont="1" applyFill="1" applyAlignment="1">
      <alignment vertical="center"/>
    </xf>
    <xf numFmtId="0" fontId="12" fillId="29" borderId="0" xfId="0" applyFont="1" applyFill="1" applyAlignment="1">
      <alignment horizontal="center" vertical="center"/>
    </xf>
    <xf numFmtId="0" fontId="35" fillId="29" borderId="0" xfId="0" applyFont="1" applyFill="1"/>
    <xf numFmtId="0" fontId="32" fillId="29" borderId="0" xfId="0" applyFont="1" applyFill="1"/>
    <xf numFmtId="0" fontId="10" fillId="30" borderId="0" xfId="0" applyFont="1" applyFill="1"/>
    <xf numFmtId="0" fontId="12" fillId="30" borderId="0" xfId="0" applyFont="1" applyFill="1" applyAlignment="1">
      <alignment horizontal="left" vertical="center"/>
    </xf>
    <xf numFmtId="0" fontId="11" fillId="30" borderId="0" xfId="0" applyFont="1" applyFill="1" applyAlignment="1">
      <alignment horizontal="center" vertical="center" wrapText="1"/>
    </xf>
    <xf numFmtId="0" fontId="11" fillId="30" borderId="0" xfId="0" applyFont="1" applyFill="1" applyAlignment="1">
      <alignment vertical="center" wrapText="1"/>
    </xf>
    <xf numFmtId="0" fontId="12" fillId="30" borderId="0" xfId="0" applyFont="1" applyFill="1" applyAlignment="1">
      <alignment horizontal="center" vertical="center"/>
    </xf>
    <xf numFmtId="0" fontId="14" fillId="30" borderId="0" xfId="0" applyFont="1" applyFill="1" applyAlignment="1">
      <alignment horizontal="center" vertical="top"/>
    </xf>
    <xf numFmtId="0" fontId="35" fillId="30" borderId="0" xfId="0" applyFont="1" applyFill="1"/>
    <xf numFmtId="0" fontId="32" fillId="30" borderId="0" xfId="0" applyFont="1" applyFill="1"/>
    <xf numFmtId="0" fontId="10" fillId="29" borderId="0" xfId="3" applyFont="1" applyFill="1" applyAlignment="1">
      <alignment horizontal="center"/>
    </xf>
    <xf numFmtId="0" fontId="13" fillId="30" borderId="0" xfId="0" applyFont="1" applyFill="1"/>
    <xf numFmtId="0" fontId="14" fillId="30" borderId="0" xfId="0" applyFont="1" applyFill="1" applyAlignment="1">
      <alignment horizontal="left"/>
    </xf>
    <xf numFmtId="0" fontId="11" fillId="30" borderId="0" xfId="0" applyFont="1" applyFill="1" applyAlignment="1">
      <alignment horizontal="left" vertical="center"/>
    </xf>
    <xf numFmtId="0" fontId="54" fillId="30" borderId="0" xfId="0" applyFont="1" applyFill="1" applyAlignment="1">
      <alignment horizontal="center" vertical="center"/>
    </xf>
    <xf numFmtId="0" fontId="10" fillId="30" borderId="0" xfId="3" applyFont="1" applyFill="1"/>
    <xf numFmtId="0" fontId="11" fillId="30" borderId="0" xfId="3" applyFont="1" applyFill="1" applyAlignment="1">
      <alignment vertical="center" wrapText="1"/>
    </xf>
    <xf numFmtId="0" fontId="11" fillId="30" borderId="0" xfId="3" applyFont="1" applyFill="1" applyAlignment="1">
      <alignment horizontal="center" vertical="center" wrapText="1"/>
    </xf>
    <xf numFmtId="0" fontId="10" fillId="30" borderId="0" xfId="3" applyFont="1" applyFill="1" applyAlignment="1">
      <alignment wrapText="1"/>
    </xf>
    <xf numFmtId="0" fontId="16" fillId="30" borderId="0" xfId="3" applyFont="1" applyFill="1" applyAlignment="1">
      <alignment vertical="center" wrapText="1"/>
    </xf>
    <xf numFmtId="0" fontId="10" fillId="30" borderId="0" xfId="3" applyFont="1" applyFill="1" applyAlignment="1">
      <alignment horizontal="center" vertical="center"/>
    </xf>
    <xf numFmtId="0" fontId="10" fillId="30" borderId="0" xfId="3" applyFont="1" applyFill="1" applyAlignment="1">
      <alignment horizontal="center" vertical="center" wrapText="1"/>
    </xf>
    <xf numFmtId="0" fontId="10" fillId="30" borderId="0" xfId="3" applyFont="1" applyFill="1" applyAlignment="1">
      <alignment vertical="center"/>
    </xf>
    <xf numFmtId="0" fontId="10" fillId="30" borderId="0" xfId="3" applyFont="1" applyFill="1" applyAlignment="1">
      <alignment horizontal="center"/>
    </xf>
    <xf numFmtId="0" fontId="72" fillId="0" borderId="0" xfId="0" applyFont="1" applyAlignment="1">
      <alignment horizontal="center"/>
    </xf>
    <xf numFmtId="0" fontId="0" fillId="0" borderId="8" xfId="0" applyBorder="1" applyAlignment="1">
      <alignment vertical="top" wrapText="1"/>
    </xf>
    <xf numFmtId="0" fontId="62" fillId="0" borderId="6" xfId="0" applyFont="1" applyBorder="1" applyAlignment="1">
      <alignment horizontal="left" vertical="top" wrapText="1"/>
    </xf>
    <xf numFmtId="0" fontId="0" fillId="0" borderId="6" xfId="0" applyBorder="1" applyAlignment="1">
      <alignment horizontal="left" vertical="top" wrapText="1"/>
    </xf>
    <xf numFmtId="0" fontId="0" fillId="0" borderId="1" xfId="0" applyBorder="1" applyAlignment="1">
      <alignment horizontal="left" vertical="top" wrapText="1"/>
    </xf>
    <xf numFmtId="0" fontId="62" fillId="0" borderId="8"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justify" vertical="top" wrapText="1"/>
    </xf>
    <xf numFmtId="0" fontId="73" fillId="0" borderId="0" xfId="0" applyFont="1"/>
    <xf numFmtId="0" fontId="74" fillId="0" borderId="0" xfId="0" applyFont="1"/>
    <xf numFmtId="0" fontId="75" fillId="0" borderId="1" xfId="0" applyFont="1" applyBorder="1"/>
    <xf numFmtId="0" fontId="75" fillId="0" borderId="8" xfId="0" applyFont="1" applyBorder="1"/>
    <xf numFmtId="0" fontId="75" fillId="0" borderId="6" xfId="0" applyFont="1" applyBorder="1"/>
    <xf numFmtId="0" fontId="0" fillId="15" borderId="126" xfId="0" applyFill="1" applyBorder="1" applyAlignment="1">
      <alignment horizontal="left"/>
    </xf>
    <xf numFmtId="0" fontId="0" fillId="0" borderId="126" xfId="0" applyBorder="1" applyAlignment="1">
      <alignment horizontal="left"/>
    </xf>
    <xf numFmtId="0" fontId="0" fillId="15" borderId="126" xfId="0" applyFill="1" applyBorder="1" applyAlignment="1">
      <alignment horizontal="left" wrapText="1"/>
    </xf>
    <xf numFmtId="0" fontId="53" fillId="0" borderId="25" xfId="0" applyFont="1" applyBorder="1" applyAlignment="1">
      <alignment vertical="center"/>
    </xf>
    <xf numFmtId="0" fontId="0" fillId="0" borderId="126" xfId="0" applyBorder="1" applyAlignment="1">
      <alignment horizontal="left" vertical="top" wrapText="1"/>
    </xf>
    <xf numFmtId="0" fontId="0" fillId="16" borderId="127" xfId="0" applyFill="1" applyBorder="1" applyAlignment="1">
      <alignment horizontal="left"/>
    </xf>
    <xf numFmtId="0" fontId="0" fillId="25" borderId="128" xfId="0" applyFill="1" applyBorder="1" applyAlignment="1">
      <alignment horizontal="left"/>
    </xf>
    <xf numFmtId="0" fontId="0" fillId="27" borderId="126" xfId="0" applyFill="1" applyBorder="1" applyAlignment="1">
      <alignment horizontal="left"/>
    </xf>
    <xf numFmtId="0" fontId="0" fillId="0" borderId="120" xfId="0" applyBorder="1" applyAlignment="1">
      <alignment horizontal="left"/>
    </xf>
    <xf numFmtId="0" fontId="53" fillId="26" borderId="22" xfId="0" applyFont="1" applyFill="1" applyBorder="1" applyAlignment="1">
      <alignment vertical="center"/>
    </xf>
    <xf numFmtId="0" fontId="0" fillId="0" borderId="125" xfId="0" applyBorder="1" applyAlignment="1">
      <alignment horizontal="left"/>
    </xf>
    <xf numFmtId="0" fontId="0" fillId="26" borderId="126" xfId="0" applyFill="1" applyBorder="1" applyAlignment="1">
      <alignment horizontal="left"/>
    </xf>
    <xf numFmtId="0" fontId="53" fillId="0" borderId="126" xfId="0" applyFont="1" applyBorder="1" applyAlignment="1">
      <alignment vertical="center"/>
    </xf>
    <xf numFmtId="0" fontId="53" fillId="0" borderId="8" xfId="0" applyFont="1" applyBorder="1" applyAlignment="1">
      <alignment vertical="center"/>
    </xf>
    <xf numFmtId="0" fontId="53" fillId="0" borderId="77" xfId="0" applyFont="1" applyBorder="1" applyAlignment="1">
      <alignment vertical="center"/>
    </xf>
    <xf numFmtId="0" fontId="78" fillId="0" borderId="18" xfId="0" applyFont="1" applyBorder="1" applyAlignment="1">
      <alignment horizontal="center"/>
    </xf>
    <xf numFmtId="0" fontId="78" fillId="0" borderId="20" xfId="0" applyFont="1" applyBorder="1" applyAlignment="1">
      <alignment horizontal="center"/>
    </xf>
    <xf numFmtId="0" fontId="0" fillId="32" borderId="8" xfId="0" applyFill="1" applyBorder="1" applyAlignment="1">
      <alignment horizontal="left"/>
    </xf>
    <xf numFmtId="0" fontId="0" fillId="32" borderId="4" xfId="0" applyFill="1" applyBorder="1" applyAlignment="1">
      <alignment horizontal="left"/>
    </xf>
    <xf numFmtId="0" fontId="0" fillId="0" borderId="0" xfId="0" quotePrefix="1" applyAlignment="1">
      <alignment horizontal="left"/>
    </xf>
    <xf numFmtId="0" fontId="78" fillId="27" borderId="27" xfId="0" applyFont="1" applyFill="1" applyBorder="1" applyAlignment="1">
      <alignment horizontal="center"/>
    </xf>
    <xf numFmtId="0" fontId="0" fillId="27" borderId="19" xfId="0" applyFill="1" applyBorder="1"/>
    <xf numFmtId="0" fontId="0" fillId="27" borderId="21" xfId="0" applyFill="1" applyBorder="1"/>
    <xf numFmtId="9" fontId="64" fillId="0" borderId="0" xfId="2" applyFont="1" applyFill="1" applyAlignment="1">
      <alignment horizontal="center" vertical="center"/>
    </xf>
    <xf numFmtId="0" fontId="42" fillId="0" borderId="0" xfId="3" applyFont="1"/>
    <xf numFmtId="0" fontId="22" fillId="6" borderId="134" xfId="3" applyFont="1" applyFill="1" applyBorder="1" applyAlignment="1">
      <alignment horizontal="center" vertical="center"/>
    </xf>
    <xf numFmtId="0" fontId="22" fillId="8" borderId="134" xfId="3" applyFont="1" applyFill="1" applyBorder="1" applyAlignment="1">
      <alignment horizontal="center" vertical="center"/>
    </xf>
    <xf numFmtId="0" fontId="22" fillId="0" borderId="134" xfId="3" applyFont="1" applyBorder="1" applyAlignment="1">
      <alignment horizontal="center" vertical="center"/>
    </xf>
    <xf numFmtId="0" fontId="22" fillId="9" borderId="134" xfId="3" applyFont="1" applyFill="1" applyBorder="1" applyAlignment="1">
      <alignment horizontal="center" vertical="center"/>
    </xf>
    <xf numFmtId="0" fontId="22" fillId="6" borderId="134" xfId="3" quotePrefix="1" applyFont="1" applyFill="1" applyBorder="1" applyAlignment="1">
      <alignment horizontal="center" vertical="center"/>
    </xf>
    <xf numFmtId="9" fontId="64" fillId="0" borderId="12" xfId="2" applyFont="1" applyFill="1" applyBorder="1" applyAlignment="1">
      <alignment vertical="center"/>
    </xf>
    <xf numFmtId="0" fontId="24" fillId="0" borderId="12" xfId="3" applyFont="1" applyBorder="1" applyAlignment="1">
      <alignment vertical="center" wrapText="1"/>
    </xf>
    <xf numFmtId="9" fontId="24" fillId="0" borderId="12" xfId="3" applyNumberFormat="1" applyFont="1" applyBorder="1" applyAlignment="1">
      <alignment vertical="center"/>
    </xf>
    <xf numFmtId="9" fontId="79" fillId="22" borderId="16" xfId="2" applyFont="1" applyFill="1" applyBorder="1" applyAlignment="1">
      <alignment horizontal="center" vertical="center" wrapText="1"/>
    </xf>
    <xf numFmtId="0" fontId="59" fillId="29" borderId="0" xfId="0" applyFont="1" applyFill="1" applyAlignment="1">
      <alignment horizontal="center" vertical="center"/>
    </xf>
    <xf numFmtId="0" fontId="80" fillId="29" borderId="0" xfId="0" applyFont="1" applyFill="1" applyAlignment="1">
      <alignment horizontal="center"/>
    </xf>
    <xf numFmtId="0" fontId="59" fillId="29" borderId="0" xfId="0" applyFont="1" applyFill="1" applyAlignment="1">
      <alignment horizontal="center"/>
    </xf>
    <xf numFmtId="0" fontId="81" fillId="29" borderId="0" xfId="0" applyFont="1" applyFill="1"/>
    <xf numFmtId="0" fontId="59" fillId="29" borderId="0" xfId="0" applyFont="1" applyFill="1"/>
    <xf numFmtId="0" fontId="81" fillId="0" borderId="0" xfId="0" applyFont="1"/>
    <xf numFmtId="0" fontId="59" fillId="30" borderId="0" xfId="0" applyFont="1" applyFill="1" applyAlignment="1">
      <alignment horizontal="center" vertical="center"/>
    </xf>
    <xf numFmtId="0" fontId="59" fillId="30" borderId="0" xfId="0" applyFont="1" applyFill="1"/>
    <xf numFmtId="0" fontId="59" fillId="19" borderId="0" xfId="0" applyFont="1" applyFill="1" applyAlignment="1">
      <alignment horizontal="center" vertical="center"/>
    </xf>
    <xf numFmtId="0" fontId="80" fillId="19" borderId="0" xfId="0" applyFont="1" applyFill="1" applyAlignment="1">
      <alignment horizontal="center" vertical="center"/>
    </xf>
    <xf numFmtId="0" fontId="59" fillId="19" borderId="0" xfId="0" applyFont="1" applyFill="1"/>
    <xf numFmtId="0" fontId="30" fillId="0" borderId="1" xfId="3" applyFont="1" applyBorder="1" applyAlignment="1">
      <alignment vertical="top" wrapText="1"/>
    </xf>
    <xf numFmtId="0" fontId="30" fillId="8" borderId="1" xfId="3" applyFont="1" applyFill="1" applyBorder="1" applyAlignment="1">
      <alignment vertical="top" wrapText="1"/>
    </xf>
    <xf numFmtId="0" fontId="1" fillId="0" borderId="0" xfId="0" applyFont="1"/>
    <xf numFmtId="9" fontId="79" fillId="18" borderId="16" xfId="2" applyFont="1" applyFill="1" applyBorder="1" applyAlignment="1">
      <alignment horizontal="center" vertical="center" wrapText="1"/>
    </xf>
    <xf numFmtId="9" fontId="79" fillId="33" borderId="16" xfId="2" applyFont="1" applyFill="1" applyBorder="1" applyAlignment="1">
      <alignment horizontal="center" vertical="center" wrapText="1"/>
    </xf>
    <xf numFmtId="0" fontId="30" fillId="8" borderId="57" xfId="3" applyFont="1" applyFill="1" applyBorder="1" applyAlignment="1">
      <alignment vertical="top" wrapText="1"/>
    </xf>
    <xf numFmtId="0" fontId="30" fillId="34" borderId="57" xfId="3" applyFont="1" applyFill="1" applyBorder="1" applyAlignment="1">
      <alignment vertical="top" wrapText="1"/>
    </xf>
    <xf numFmtId="0" fontId="30" fillId="15" borderId="57" xfId="3" applyFont="1" applyFill="1" applyBorder="1" applyAlignment="1">
      <alignment vertical="top" wrapText="1"/>
    </xf>
    <xf numFmtId="0" fontId="84" fillId="15" borderId="117" xfId="0" applyFont="1" applyFill="1" applyBorder="1" applyAlignment="1">
      <alignment horizontal="center" vertical="center" wrapText="1"/>
    </xf>
    <xf numFmtId="0" fontId="84" fillId="0" borderId="120" xfId="0" applyFont="1" applyBorder="1" applyAlignment="1">
      <alignment horizontal="center" vertical="center"/>
    </xf>
    <xf numFmtId="0" fontId="22" fillId="0" borderId="0" xfId="3" applyFont="1" applyAlignment="1">
      <alignment horizontal="center" vertical="center"/>
    </xf>
    <xf numFmtId="0" fontId="22" fillId="6" borderId="141" xfId="3" applyFont="1" applyFill="1" applyBorder="1" applyAlignment="1">
      <alignment horizontal="center" vertical="center"/>
    </xf>
    <xf numFmtId="0" fontId="22" fillId="8" borderId="141" xfId="3" applyFont="1" applyFill="1" applyBorder="1" applyAlignment="1">
      <alignment horizontal="center" vertical="center"/>
    </xf>
    <xf numFmtId="0" fontId="22" fillId="0" borderId="141" xfId="3" applyFont="1" applyBorder="1" applyAlignment="1">
      <alignment horizontal="center" vertical="center"/>
    </xf>
    <xf numFmtId="0" fontId="0" fillId="0" borderId="0" xfId="0" applyAlignment="1">
      <alignment vertical="center" wrapText="1"/>
    </xf>
    <xf numFmtId="0" fontId="85" fillId="15" borderId="86" xfId="0" applyFont="1" applyFill="1" applyBorder="1" applyAlignment="1">
      <alignment horizontal="center" vertical="center" wrapText="1"/>
    </xf>
    <xf numFmtId="0" fontId="85" fillId="15" borderId="116" xfId="0" applyFont="1" applyFill="1" applyBorder="1" applyAlignment="1">
      <alignment horizontal="center" vertical="center" wrapText="1"/>
    </xf>
    <xf numFmtId="14" fontId="13" fillId="0" borderId="36" xfId="0" applyNumberFormat="1" applyFont="1" applyBorder="1" applyAlignment="1">
      <alignment horizontal="center" vertical="center"/>
    </xf>
    <xf numFmtId="0" fontId="0" fillId="16" borderId="0" xfId="0" applyFill="1"/>
    <xf numFmtId="0" fontId="86" fillId="16" borderId="0" xfId="0" applyFont="1" applyFill="1"/>
    <xf numFmtId="0" fontId="87" fillId="16" borderId="0" xfId="0" applyFont="1" applyFill="1" applyAlignment="1">
      <alignment vertical="top"/>
    </xf>
    <xf numFmtId="0" fontId="88" fillId="16" borderId="0" xfId="0" applyFont="1" applyFill="1" applyAlignment="1">
      <alignment horizontal="left" vertical="center" indent="3"/>
    </xf>
    <xf numFmtId="0" fontId="0" fillId="0" borderId="1" xfId="0" applyBorder="1"/>
    <xf numFmtId="0" fontId="0" fillId="26" borderId="8" xfId="0" applyFill="1" applyBorder="1"/>
    <xf numFmtId="0" fontId="51" fillId="26" borderId="8" xfId="0" applyFont="1" applyFill="1" applyBorder="1"/>
    <xf numFmtId="0" fontId="51" fillId="26" borderId="6" xfId="0" applyFont="1" applyFill="1" applyBorder="1"/>
    <xf numFmtId="0" fontId="52" fillId="26" borderId="8" xfId="0" applyFont="1" applyFill="1" applyBorder="1"/>
    <xf numFmtId="0" fontId="0" fillId="0" borderId="126" xfId="0" applyBorder="1"/>
    <xf numFmtId="0" fontId="51" fillId="0" borderId="8" xfId="0" applyFont="1" applyBorder="1"/>
    <xf numFmtId="0" fontId="51" fillId="0" borderId="6" xfId="0" applyFont="1" applyBorder="1"/>
    <xf numFmtId="0" fontId="0" fillId="0" borderId="8" xfId="0" applyBorder="1"/>
    <xf numFmtId="0" fontId="52" fillId="0" borderId="8" xfId="0" applyFont="1" applyBorder="1"/>
    <xf numFmtId="0" fontId="51" fillId="0" borderId="77" xfId="0" applyFont="1" applyBorder="1"/>
    <xf numFmtId="0" fontId="51" fillId="26" borderId="77" xfId="0" applyFont="1" applyFill="1" applyBorder="1"/>
    <xf numFmtId="0" fontId="2" fillId="0" borderId="25" xfId="3" applyBorder="1"/>
    <xf numFmtId="0" fontId="2" fillId="0" borderId="0" xfId="3" applyAlignment="1">
      <alignment vertical="center"/>
    </xf>
    <xf numFmtId="0" fontId="52" fillId="0" borderId="8" xfId="0" applyFont="1" applyBorder="1" applyAlignment="1">
      <alignment wrapText="1"/>
    </xf>
    <xf numFmtId="0" fontId="90" fillId="0" borderId="0" xfId="3" applyFont="1"/>
    <xf numFmtId="0" fontId="90" fillId="0" borderId="0" xfId="3" applyFont="1" applyAlignment="1">
      <alignment horizontal="right"/>
    </xf>
    <xf numFmtId="0" fontId="10" fillId="0" borderId="142" xfId="3" applyFont="1" applyBorder="1"/>
    <xf numFmtId="0" fontId="32" fillId="0" borderId="0" xfId="3" applyFont="1" applyAlignment="1">
      <alignment horizontal="left" indent="1"/>
    </xf>
    <xf numFmtId="0" fontId="19" fillId="0" borderId="0" xfId="0" applyFont="1" applyAlignment="1" applyProtection="1">
      <alignment vertical="center" wrapText="1"/>
      <protection locked="0"/>
    </xf>
    <xf numFmtId="0" fontId="20" fillId="2" borderId="1" xfId="3" applyFont="1" applyFill="1" applyBorder="1" applyAlignment="1" applyProtection="1">
      <alignment horizontal="center" vertical="center" wrapText="1"/>
      <protection locked="0"/>
    </xf>
    <xf numFmtId="0" fontId="21" fillId="0" borderId="1" xfId="3" applyFont="1" applyBorder="1" applyAlignment="1" applyProtection="1">
      <alignment horizontal="center" vertical="center" wrapText="1"/>
      <protection locked="0"/>
    </xf>
    <xf numFmtId="0" fontId="22" fillId="3" borderId="1" xfId="3" applyFont="1" applyFill="1" applyBorder="1" applyAlignment="1" applyProtection="1">
      <alignment vertical="center"/>
      <protection locked="0"/>
    </xf>
    <xf numFmtId="0" fontId="22" fillId="6" borderId="1" xfId="3" applyFont="1" applyFill="1" applyBorder="1" applyAlignment="1" applyProtection="1">
      <alignment horizontal="center" vertical="center"/>
      <protection locked="0"/>
    </xf>
    <xf numFmtId="0" fontId="22" fillId="8" borderId="1" xfId="3" applyFont="1" applyFill="1" applyBorder="1" applyAlignment="1" applyProtection="1">
      <alignment vertical="center"/>
      <protection locked="0"/>
    </xf>
    <xf numFmtId="0" fontId="22" fillId="9" borderId="1" xfId="3" applyFont="1" applyFill="1" applyBorder="1" applyAlignment="1" applyProtection="1">
      <alignment horizontal="center" vertical="center"/>
      <protection locked="0"/>
    </xf>
    <xf numFmtId="0" fontId="22" fillId="9" borderId="134" xfId="3" applyFont="1" applyFill="1" applyBorder="1" applyAlignment="1" applyProtection="1">
      <alignment horizontal="center" vertical="center"/>
      <protection locked="0"/>
    </xf>
    <xf numFmtId="0" fontId="22" fillId="8" borderId="134" xfId="3" applyFont="1" applyFill="1" applyBorder="1" applyAlignment="1" applyProtection="1">
      <alignment horizontal="center" vertical="center"/>
      <protection locked="0"/>
    </xf>
    <xf numFmtId="0" fontId="22" fillId="6" borderId="1" xfId="3" quotePrefix="1" applyFont="1" applyFill="1" applyBorder="1" applyAlignment="1" applyProtection="1">
      <alignment horizontal="center" vertical="center"/>
      <protection locked="0"/>
    </xf>
    <xf numFmtId="0" fontId="22" fillId="0" borderId="1" xfId="3" applyFont="1" applyBorder="1" applyAlignment="1" applyProtection="1">
      <alignment horizontal="center" vertical="center"/>
      <protection locked="0"/>
    </xf>
    <xf numFmtId="0" fontId="22" fillId="0" borderId="134" xfId="3" applyFont="1" applyBorder="1" applyAlignment="1" applyProtection="1">
      <alignment horizontal="center" vertical="center"/>
      <protection locked="0"/>
    </xf>
    <xf numFmtId="9" fontId="10" fillId="0" borderId="0" xfId="2" applyFont="1" applyFill="1" applyBorder="1" applyAlignment="1" applyProtection="1">
      <alignment horizontal="center" vertical="center"/>
    </xf>
    <xf numFmtId="9" fontId="64" fillId="0" borderId="12" xfId="2" applyFont="1" applyFill="1" applyBorder="1" applyAlignment="1" applyProtection="1">
      <alignment horizontal="center" vertical="center"/>
    </xf>
    <xf numFmtId="9" fontId="64" fillId="0" borderId="0" xfId="2" applyFont="1" applyFill="1" applyBorder="1" applyAlignment="1" applyProtection="1">
      <alignment horizontal="center" vertical="center"/>
    </xf>
    <xf numFmtId="0" fontId="10" fillId="0" borderId="12" xfId="3" applyFont="1" applyBorder="1"/>
    <xf numFmtId="0" fontId="25" fillId="11" borderId="92" xfId="3" applyFont="1" applyFill="1" applyBorder="1" applyAlignment="1">
      <alignment horizontal="center" vertical="center" wrapText="1"/>
    </xf>
    <xf numFmtId="0" fontId="10" fillId="3" borderId="92" xfId="0" applyFont="1" applyFill="1" applyBorder="1" applyAlignment="1">
      <alignment vertical="center" wrapText="1"/>
    </xf>
    <xf numFmtId="0" fontId="10" fillId="0" borderId="93" xfId="3" applyFont="1" applyBorder="1" applyAlignment="1">
      <alignment horizontal="center" vertical="center"/>
    </xf>
    <xf numFmtId="0" fontId="10" fillId="0" borderId="94" xfId="3" applyFont="1" applyBorder="1" applyAlignment="1">
      <alignment horizontal="center" vertical="center"/>
    </xf>
    <xf numFmtId="0" fontId="10" fillId="0" borderId="95" xfId="3" applyFont="1" applyBorder="1" applyAlignment="1">
      <alignment horizontal="center" vertical="center"/>
    </xf>
    <xf numFmtId="9" fontId="55" fillId="0" borderId="0" xfId="2" applyFont="1" applyFill="1" applyBorder="1" applyAlignment="1" applyProtection="1">
      <alignment horizontal="center" vertical="center"/>
    </xf>
    <xf numFmtId="0" fontId="10" fillId="3" borderId="152" xfId="3" applyFont="1" applyFill="1" applyBorder="1" applyAlignment="1" applyProtection="1">
      <alignment horizontal="center" vertical="center" wrapText="1"/>
      <protection locked="0"/>
    </xf>
    <xf numFmtId="0" fontId="10" fillId="0" borderId="144" xfId="3" applyFont="1" applyBorder="1" applyAlignment="1" applyProtection="1">
      <alignment vertical="top" wrapText="1"/>
      <protection locked="0"/>
    </xf>
    <xf numFmtId="0" fontId="10" fillId="16" borderId="145" xfId="3" applyFont="1" applyFill="1" applyBorder="1" applyAlignment="1" applyProtection="1">
      <alignment horizontal="center" vertical="center" wrapText="1"/>
      <protection locked="0"/>
    </xf>
    <xf numFmtId="0" fontId="10" fillId="8" borderId="146" xfId="3" applyFont="1" applyFill="1" applyBorder="1" applyAlignment="1" applyProtection="1">
      <alignment vertical="top" wrapText="1"/>
      <protection locked="0"/>
    </xf>
    <xf numFmtId="0" fontId="10" fillId="3" borderId="150" xfId="3" applyFont="1" applyFill="1" applyBorder="1" applyAlignment="1" applyProtection="1">
      <alignment horizontal="center" vertical="center" wrapText="1"/>
      <protection locked="0"/>
    </xf>
    <xf numFmtId="0" fontId="10" fillId="0" borderId="146" xfId="3" applyFont="1" applyBorder="1" applyAlignment="1" applyProtection="1">
      <alignment vertical="top" wrapText="1"/>
      <protection locked="0"/>
    </xf>
    <xf numFmtId="0" fontId="10" fillId="16" borderId="147" xfId="3" applyFont="1" applyFill="1" applyBorder="1" applyAlignment="1" applyProtection="1">
      <alignment horizontal="center" vertical="center" wrapText="1"/>
      <protection locked="0"/>
    </xf>
    <xf numFmtId="0" fontId="10" fillId="8" borderId="148" xfId="3" applyFont="1" applyFill="1" applyBorder="1" applyAlignment="1" applyProtection="1">
      <alignment vertical="top" wrapText="1"/>
      <protection locked="0"/>
    </xf>
    <xf numFmtId="0" fontId="10" fillId="3" borderId="151" xfId="3" applyFont="1" applyFill="1" applyBorder="1" applyAlignment="1" applyProtection="1">
      <alignment horizontal="center" vertical="center" wrapText="1"/>
      <protection locked="0"/>
    </xf>
    <xf numFmtId="0" fontId="30" fillId="3" borderId="149" xfId="3" applyFont="1" applyFill="1" applyBorder="1" applyAlignment="1" applyProtection="1">
      <alignment vertical="top" wrapText="1"/>
      <protection locked="0"/>
    </xf>
    <xf numFmtId="0" fontId="30" fillId="0" borderId="142" xfId="3" applyFont="1" applyBorder="1" applyAlignment="1" applyProtection="1">
      <alignment vertical="top" wrapText="1"/>
      <protection locked="0"/>
    </xf>
    <xf numFmtId="0" fontId="19" fillId="22" borderId="39" xfId="0" applyFont="1" applyFill="1" applyBorder="1" applyAlignment="1" applyProtection="1">
      <alignment vertical="center" wrapText="1"/>
      <protection locked="0"/>
    </xf>
    <xf numFmtId="0" fontId="19" fillId="22" borderId="40" xfId="0" applyFont="1" applyFill="1" applyBorder="1" applyAlignment="1" applyProtection="1">
      <alignment vertical="center" wrapText="1"/>
      <protection locked="0"/>
    </xf>
    <xf numFmtId="0" fontId="10" fillId="22" borderId="40" xfId="3" applyFont="1" applyFill="1" applyBorder="1" applyAlignment="1" applyProtection="1">
      <alignment wrapText="1"/>
      <protection locked="0"/>
    </xf>
    <xf numFmtId="0" fontId="16" fillId="22" borderId="40" xfId="3" applyFont="1" applyFill="1" applyBorder="1" applyAlignment="1" applyProtection="1">
      <alignment vertical="center" wrapText="1"/>
      <protection locked="0"/>
    </xf>
    <xf numFmtId="0" fontId="16" fillId="22" borderId="41" xfId="3" applyFont="1" applyFill="1" applyBorder="1" applyAlignment="1" applyProtection="1">
      <alignment vertical="center" wrapText="1"/>
      <protection locked="0"/>
    </xf>
    <xf numFmtId="0" fontId="19" fillId="22" borderId="42" xfId="0" applyFont="1" applyFill="1" applyBorder="1" applyAlignment="1" applyProtection="1">
      <alignment vertical="center" wrapText="1"/>
      <protection locked="0"/>
    </xf>
    <xf numFmtId="0" fontId="19" fillId="22" borderId="0" xfId="0" applyFont="1" applyFill="1" applyAlignment="1" applyProtection="1">
      <alignment vertical="center" wrapText="1"/>
      <protection locked="0"/>
    </xf>
    <xf numFmtId="0" fontId="22" fillId="22" borderId="0" xfId="3" applyFont="1" applyFill="1" applyAlignment="1" applyProtection="1">
      <alignment horizontal="center" vertical="center"/>
      <protection locked="0"/>
    </xf>
    <xf numFmtId="0" fontId="20" fillId="2" borderId="4" xfId="3" applyFont="1" applyFill="1" applyBorder="1" applyAlignment="1" applyProtection="1">
      <alignment horizontal="center" vertical="center" wrapText="1"/>
      <protection locked="0"/>
    </xf>
    <xf numFmtId="0" fontId="23" fillId="3" borderId="4" xfId="3" applyFont="1" applyFill="1" applyBorder="1" applyAlignment="1" applyProtection="1">
      <alignment horizontal="center" vertical="center"/>
      <protection locked="0"/>
    </xf>
    <xf numFmtId="0" fontId="22" fillId="22" borderId="0" xfId="3" applyFont="1" applyFill="1" applyAlignment="1" applyProtection="1">
      <alignment vertical="center"/>
      <protection locked="0"/>
    </xf>
    <xf numFmtId="0" fontId="24" fillId="4" borderId="2" xfId="3" applyFont="1" applyFill="1" applyBorder="1" applyAlignment="1" applyProtection="1">
      <alignment horizontal="center" vertical="center" wrapText="1"/>
      <protection locked="0"/>
    </xf>
    <xf numFmtId="0" fontId="24" fillId="4" borderId="3" xfId="3" applyFont="1" applyFill="1" applyBorder="1" applyAlignment="1" applyProtection="1">
      <alignment horizontal="center" vertical="center" wrapText="1"/>
      <protection locked="0"/>
    </xf>
    <xf numFmtId="0" fontId="10" fillId="22" borderId="43" xfId="3" applyFont="1" applyFill="1" applyBorder="1" applyAlignment="1" applyProtection="1">
      <alignment vertical="center"/>
      <protection locked="0"/>
    </xf>
    <xf numFmtId="0" fontId="19" fillId="0" borderId="0" xfId="0" applyFont="1" applyAlignment="1" applyProtection="1">
      <alignment horizontal="left" vertical="center" wrapText="1"/>
      <protection locked="0"/>
    </xf>
    <xf numFmtId="0" fontId="10" fillId="22" borderId="0" xfId="3" applyFont="1" applyFill="1" applyAlignment="1" applyProtection="1">
      <alignment vertical="top" wrapText="1"/>
      <protection locked="0"/>
    </xf>
    <xf numFmtId="164" fontId="26" fillId="0" borderId="7" xfId="3" applyNumberFormat="1" applyFont="1" applyBorder="1" applyAlignment="1" applyProtection="1">
      <alignment horizontal="center" vertical="center"/>
      <protection locked="0"/>
    </xf>
    <xf numFmtId="9" fontId="26" fillId="0" borderId="7" xfId="3" applyNumberFormat="1" applyFont="1" applyBorder="1" applyAlignment="1" applyProtection="1">
      <alignment horizontal="center" vertical="center"/>
      <protection locked="0"/>
    </xf>
    <xf numFmtId="0" fontId="22" fillId="8" borderId="1" xfId="3" applyFont="1" applyFill="1" applyBorder="1" applyAlignment="1" applyProtection="1">
      <alignment horizontal="center" vertical="center"/>
      <protection locked="0"/>
    </xf>
    <xf numFmtId="0" fontId="10" fillId="22" borderId="0" xfId="3" applyFont="1" applyFill="1" applyAlignment="1" applyProtection="1">
      <alignment vertical="top"/>
      <protection locked="0"/>
    </xf>
    <xf numFmtId="164" fontId="26" fillId="8" borderId="7" xfId="3" applyNumberFormat="1" applyFont="1" applyFill="1" applyBorder="1" applyAlignment="1" applyProtection="1">
      <alignment horizontal="center" vertical="center"/>
      <protection locked="0"/>
    </xf>
    <xf numFmtId="9" fontId="26" fillId="8" borderId="7" xfId="3" applyNumberFormat="1" applyFont="1" applyFill="1" applyBorder="1" applyAlignment="1" applyProtection="1">
      <alignment horizontal="center" vertical="center"/>
      <protection locked="0"/>
    </xf>
    <xf numFmtId="0" fontId="22" fillId="6" borderId="134" xfId="3" quotePrefix="1" applyFont="1" applyFill="1" applyBorder="1" applyAlignment="1" applyProtection="1">
      <alignment horizontal="center" vertical="center"/>
      <protection locked="0"/>
    </xf>
    <xf numFmtId="0" fontId="22" fillId="6" borderId="134" xfId="3" applyFont="1" applyFill="1" applyBorder="1" applyAlignment="1" applyProtection="1">
      <alignment horizontal="center" vertical="center"/>
      <protection locked="0"/>
    </xf>
    <xf numFmtId="0" fontId="10" fillId="22" borderId="42" xfId="3" applyFont="1" applyFill="1" applyBorder="1" applyAlignment="1" applyProtection="1">
      <alignment horizontal="center" vertical="center" wrapText="1"/>
      <protection locked="0"/>
    </xf>
    <xf numFmtId="0" fontId="10" fillId="0" borderId="0" xfId="3" applyFont="1" applyAlignment="1" applyProtection="1">
      <alignment horizontal="left" vertical="center" wrapText="1"/>
      <protection locked="0"/>
    </xf>
    <xf numFmtId="0" fontId="10" fillId="22" borderId="42" xfId="3" applyFont="1" applyFill="1" applyBorder="1" applyAlignment="1" applyProtection="1">
      <alignment horizontal="center" vertical="center"/>
      <protection locked="0"/>
    </xf>
    <xf numFmtId="0" fontId="10" fillId="0" borderId="0" xfId="3" applyFont="1" applyAlignment="1" applyProtection="1">
      <alignment horizontal="left" vertical="center"/>
      <protection locked="0"/>
    </xf>
    <xf numFmtId="0" fontId="15" fillId="22" borderId="42" xfId="0" applyFont="1" applyFill="1" applyBorder="1" applyAlignment="1" applyProtection="1">
      <alignment vertical="center" wrapText="1"/>
      <protection locked="0"/>
    </xf>
    <xf numFmtId="0" fontId="10" fillId="22" borderId="0" xfId="3" applyFont="1" applyFill="1" applyAlignment="1" applyProtection="1">
      <alignment horizontal="center" vertical="center"/>
      <protection locked="0"/>
    </xf>
    <xf numFmtId="0" fontId="22" fillId="22" borderId="0" xfId="3" applyFont="1" applyFill="1" applyProtection="1">
      <protection locked="0"/>
    </xf>
    <xf numFmtId="0" fontId="10" fillId="22" borderId="0" xfId="3" applyFont="1" applyFill="1" applyAlignment="1" applyProtection="1">
      <alignment horizontal="center" wrapText="1"/>
      <protection locked="0"/>
    </xf>
    <xf numFmtId="0" fontId="10" fillId="22" borderId="0" xfId="3" applyFont="1" applyFill="1" applyProtection="1">
      <protection locked="0"/>
    </xf>
    <xf numFmtId="0" fontId="10" fillId="22" borderId="43" xfId="3" applyFont="1" applyFill="1" applyBorder="1" applyProtection="1">
      <protection locked="0"/>
    </xf>
    <xf numFmtId="0" fontId="28" fillId="22" borderId="42" xfId="0" applyFont="1" applyFill="1" applyBorder="1" applyAlignment="1" applyProtection="1">
      <alignment vertical="center" wrapText="1"/>
      <protection locked="0"/>
    </xf>
    <xf numFmtId="0" fontId="20" fillId="20" borderId="38" xfId="3" applyFont="1" applyFill="1" applyBorder="1" applyAlignment="1" applyProtection="1">
      <alignment horizontal="center" vertical="center" wrapText="1"/>
      <protection locked="0"/>
    </xf>
    <xf numFmtId="0" fontId="10" fillId="22" borderId="0" xfId="3" applyFont="1" applyFill="1" applyAlignment="1" applyProtection="1">
      <alignment vertical="center"/>
      <protection locked="0"/>
    </xf>
    <xf numFmtId="0" fontId="10" fillId="22" borderId="0" xfId="3" applyFont="1" applyFill="1" applyAlignment="1" applyProtection="1">
      <alignment horizontal="center"/>
      <protection locked="0"/>
    </xf>
    <xf numFmtId="0" fontId="24" fillId="20" borderId="99" xfId="3" applyFont="1" applyFill="1" applyBorder="1" applyAlignment="1" applyProtection="1">
      <alignment horizontal="center" vertical="center" wrapText="1"/>
      <protection locked="0"/>
    </xf>
    <xf numFmtId="0" fontId="24" fillId="20" borderId="100" xfId="3" applyFont="1" applyFill="1" applyBorder="1" applyAlignment="1" applyProtection="1">
      <alignment horizontal="center" vertical="center" wrapText="1"/>
      <protection locked="0"/>
    </xf>
    <xf numFmtId="0" fontId="30" fillId="22" borderId="0" xfId="3" applyFont="1" applyFill="1" applyProtection="1">
      <protection locked="0"/>
    </xf>
    <xf numFmtId="164" fontId="26" fillId="0" borderId="101" xfId="3" applyNumberFormat="1" applyFont="1" applyBorder="1" applyAlignment="1" applyProtection="1">
      <alignment horizontal="center" vertical="center"/>
      <protection locked="0"/>
    </xf>
    <xf numFmtId="9" fontId="26" fillId="0" borderId="102" xfId="2" applyFont="1" applyBorder="1" applyAlignment="1" applyProtection="1">
      <alignment horizontal="center" vertical="center"/>
      <protection locked="0"/>
    </xf>
    <xf numFmtId="0" fontId="29" fillId="22" borderId="44" xfId="0" applyFont="1" applyFill="1" applyBorder="1" applyAlignment="1" applyProtection="1">
      <alignment vertical="center" wrapText="1"/>
      <protection locked="0"/>
    </xf>
    <xf numFmtId="0" fontId="10" fillId="22" borderId="45" xfId="3" applyFont="1" applyFill="1" applyBorder="1" applyAlignment="1" applyProtection="1">
      <alignment horizontal="center" vertical="center"/>
      <protection locked="0"/>
    </xf>
    <xf numFmtId="0" fontId="10" fillId="22" borderId="45" xfId="3" applyFont="1" applyFill="1" applyBorder="1" applyProtection="1">
      <protection locked="0"/>
    </xf>
    <xf numFmtId="0" fontId="10" fillId="22" borderId="45" xfId="3" applyFont="1" applyFill="1" applyBorder="1" applyAlignment="1" applyProtection="1">
      <alignment horizontal="center"/>
      <protection locked="0"/>
    </xf>
    <xf numFmtId="0" fontId="10" fillId="22" borderId="46" xfId="3" applyFont="1" applyFill="1" applyBorder="1" applyProtection="1">
      <protection locked="0"/>
    </xf>
    <xf numFmtId="0" fontId="10" fillId="3" borderId="153" xfId="3" applyFont="1" applyFill="1" applyBorder="1" applyAlignment="1" applyProtection="1">
      <alignment horizontal="center" vertical="center" wrapText="1"/>
      <protection locked="0"/>
    </xf>
    <xf numFmtId="0" fontId="10" fillId="0" borderId="148" xfId="3" applyFont="1" applyBorder="1" applyAlignment="1" applyProtection="1">
      <alignment vertical="top" wrapText="1"/>
      <protection locked="0"/>
    </xf>
    <xf numFmtId="0" fontId="10" fillId="3" borderId="143" xfId="3" applyFont="1" applyFill="1" applyBorder="1" applyAlignment="1" applyProtection="1">
      <alignment horizontal="center" vertical="center" wrapText="1"/>
      <protection locked="0"/>
    </xf>
    <xf numFmtId="0" fontId="10" fillId="3" borderId="147" xfId="3" applyFont="1" applyFill="1" applyBorder="1" applyAlignment="1" applyProtection="1">
      <alignment horizontal="center" vertical="center" wrapText="1"/>
      <protection locked="0"/>
    </xf>
    <xf numFmtId="0" fontId="20" fillId="20" borderId="111" xfId="3" applyFont="1" applyFill="1" applyBorder="1" applyAlignment="1" applyProtection="1">
      <alignment horizontal="center" vertical="center" wrapText="1"/>
      <protection locked="0"/>
    </xf>
    <xf numFmtId="0" fontId="19" fillId="18" borderId="28" xfId="0" applyFont="1" applyFill="1" applyBorder="1" applyAlignment="1" applyProtection="1">
      <alignment vertical="center" wrapText="1"/>
      <protection locked="0"/>
    </xf>
    <xf numFmtId="0" fontId="19" fillId="18" borderId="29" xfId="0" applyFont="1" applyFill="1" applyBorder="1" applyAlignment="1" applyProtection="1">
      <alignment vertical="center" wrapText="1"/>
      <protection locked="0"/>
    </xf>
    <xf numFmtId="0" fontId="10" fillId="18" borderId="29" xfId="3" applyFont="1" applyFill="1" applyBorder="1" applyAlignment="1" applyProtection="1">
      <alignment wrapText="1"/>
      <protection locked="0"/>
    </xf>
    <xf numFmtId="0" fontId="16" fillId="18" borderId="29" xfId="3" applyFont="1" applyFill="1" applyBorder="1" applyAlignment="1" applyProtection="1">
      <alignment vertical="center" wrapText="1"/>
      <protection locked="0"/>
    </xf>
    <xf numFmtId="0" fontId="16" fillId="18" borderId="30" xfId="3" applyFont="1" applyFill="1" applyBorder="1" applyAlignment="1" applyProtection="1">
      <alignment vertical="center" wrapText="1"/>
      <protection locked="0"/>
    </xf>
    <xf numFmtId="0" fontId="19" fillId="18" borderId="31" xfId="0" applyFont="1" applyFill="1" applyBorder="1" applyAlignment="1" applyProtection="1">
      <alignment vertical="center" wrapText="1"/>
      <protection locked="0"/>
    </xf>
    <xf numFmtId="0" fontId="19" fillId="18" borderId="0" xfId="0" applyFont="1" applyFill="1" applyAlignment="1" applyProtection="1">
      <alignment vertical="center" wrapText="1"/>
      <protection locked="0"/>
    </xf>
    <xf numFmtId="0" fontId="22" fillId="18" borderId="0" xfId="3" applyFont="1" applyFill="1" applyAlignment="1" applyProtection="1">
      <alignment horizontal="center" vertical="center"/>
      <protection locked="0"/>
    </xf>
    <xf numFmtId="0" fontId="22" fillId="18" borderId="0" xfId="3" applyFont="1" applyFill="1" applyAlignment="1" applyProtection="1">
      <alignment vertical="center"/>
      <protection locked="0"/>
    </xf>
    <xf numFmtId="0" fontId="10" fillId="18" borderId="32" xfId="3" applyFont="1" applyFill="1" applyBorder="1" applyAlignment="1" applyProtection="1">
      <alignment vertical="center"/>
      <protection locked="0"/>
    </xf>
    <xf numFmtId="0" fontId="10" fillId="18" borderId="0" xfId="3" applyFont="1" applyFill="1" applyAlignment="1" applyProtection="1">
      <alignment vertical="top" wrapText="1"/>
      <protection locked="0"/>
    </xf>
    <xf numFmtId="0" fontId="10" fillId="18" borderId="0" xfId="3" applyFont="1" applyFill="1" applyAlignment="1" applyProtection="1">
      <alignment vertical="top"/>
      <protection locked="0"/>
    </xf>
    <xf numFmtId="0" fontId="10" fillId="18" borderId="31" xfId="3" applyFont="1" applyFill="1" applyBorder="1" applyAlignment="1" applyProtection="1">
      <alignment horizontal="center" vertical="center" wrapText="1"/>
      <protection locked="0"/>
    </xf>
    <xf numFmtId="0" fontId="10" fillId="18" borderId="31" xfId="3" applyFont="1" applyFill="1" applyBorder="1" applyAlignment="1" applyProtection="1">
      <alignment horizontal="center" vertical="center"/>
      <protection locked="0"/>
    </xf>
    <xf numFmtId="0" fontId="15" fillId="18" borderId="31" xfId="0" applyFont="1" applyFill="1" applyBorder="1" applyAlignment="1" applyProtection="1">
      <alignment vertical="center" wrapText="1"/>
      <protection locked="0"/>
    </xf>
    <xf numFmtId="0" fontId="10" fillId="18" borderId="0" xfId="3" applyFont="1" applyFill="1" applyAlignment="1" applyProtection="1">
      <alignment horizontal="center" vertical="center"/>
      <protection locked="0"/>
    </xf>
    <xf numFmtId="0" fontId="22" fillId="18" borderId="0" xfId="3" applyFont="1" applyFill="1" applyProtection="1">
      <protection locked="0"/>
    </xf>
    <xf numFmtId="0" fontId="10" fillId="18" borderId="0" xfId="3" applyFont="1" applyFill="1" applyProtection="1">
      <protection locked="0"/>
    </xf>
    <xf numFmtId="0" fontId="10" fillId="18" borderId="32" xfId="3" applyFont="1" applyFill="1" applyBorder="1" applyProtection="1">
      <protection locked="0"/>
    </xf>
    <xf numFmtId="0" fontId="28" fillId="18" borderId="31" xfId="0" applyFont="1" applyFill="1" applyBorder="1" applyAlignment="1" applyProtection="1">
      <alignment vertical="center" wrapText="1"/>
      <protection locked="0"/>
    </xf>
    <xf numFmtId="0" fontId="20" fillId="2" borderId="36" xfId="3" applyFont="1" applyFill="1" applyBorder="1" applyAlignment="1" applyProtection="1">
      <alignment horizontal="center" vertical="center" wrapText="1"/>
      <protection locked="0"/>
    </xf>
    <xf numFmtId="0" fontId="10" fillId="18" borderId="0" xfId="3" applyFont="1" applyFill="1" applyAlignment="1" applyProtection="1">
      <alignment vertical="center"/>
      <protection locked="0"/>
    </xf>
    <xf numFmtId="0" fontId="10" fillId="18" borderId="0" xfId="3" applyFont="1" applyFill="1" applyAlignment="1" applyProtection="1">
      <alignment horizontal="center"/>
      <protection locked="0"/>
    </xf>
    <xf numFmtId="0" fontId="24" fillId="2" borderId="97" xfId="3" applyFont="1" applyFill="1" applyBorder="1" applyAlignment="1" applyProtection="1">
      <alignment horizontal="center" vertical="center" wrapText="1"/>
      <protection locked="0"/>
    </xf>
    <xf numFmtId="0" fontId="24" fillId="2" borderId="98" xfId="3" applyFont="1" applyFill="1" applyBorder="1" applyAlignment="1" applyProtection="1">
      <alignment horizontal="center" vertical="center" wrapText="1"/>
      <protection locked="0"/>
    </xf>
    <xf numFmtId="164" fontId="26" fillId="0" borderId="96" xfId="3" applyNumberFormat="1" applyFont="1" applyBorder="1" applyAlignment="1" applyProtection="1">
      <alignment horizontal="center" vertical="center"/>
      <protection locked="0"/>
    </xf>
    <xf numFmtId="9" fontId="26" fillId="0" borderId="96" xfId="2" applyFont="1" applyBorder="1" applyAlignment="1" applyProtection="1">
      <alignment horizontal="center" vertical="center"/>
      <protection locked="0"/>
    </xf>
    <xf numFmtId="0" fontId="29" fillId="18" borderId="33" xfId="0" applyFont="1" applyFill="1" applyBorder="1" applyAlignment="1" applyProtection="1">
      <alignment vertical="center" wrapText="1"/>
      <protection locked="0"/>
    </xf>
    <xf numFmtId="0" fontId="10" fillId="18" borderId="34" xfId="3" applyFont="1" applyFill="1" applyBorder="1" applyAlignment="1" applyProtection="1">
      <alignment horizontal="center" vertical="center"/>
      <protection locked="0"/>
    </xf>
    <xf numFmtId="0" fontId="10" fillId="18" borderId="34" xfId="3" applyFont="1" applyFill="1" applyBorder="1" applyProtection="1">
      <protection locked="0"/>
    </xf>
    <xf numFmtId="0" fontId="10" fillId="18" borderId="34" xfId="3" applyFont="1" applyFill="1" applyBorder="1" applyAlignment="1" applyProtection="1">
      <alignment horizontal="center"/>
      <protection locked="0"/>
    </xf>
    <xf numFmtId="0" fontId="10" fillId="18" borderId="35" xfId="3" applyFont="1" applyFill="1" applyBorder="1" applyProtection="1">
      <protection locked="0"/>
    </xf>
    <xf numFmtId="0" fontId="10" fillId="18" borderId="0" xfId="3" applyFont="1" applyFill="1" applyAlignment="1" applyProtection="1">
      <alignment horizontal="center" wrapText="1"/>
      <protection locked="0"/>
    </xf>
    <xf numFmtId="0" fontId="19" fillId="21" borderId="47" xfId="0" applyFont="1" applyFill="1" applyBorder="1" applyAlignment="1" applyProtection="1">
      <alignment vertical="center" wrapText="1"/>
      <protection locked="0"/>
    </xf>
    <xf numFmtId="0" fontId="19" fillId="21" borderId="48" xfId="0" applyFont="1" applyFill="1" applyBorder="1" applyAlignment="1" applyProtection="1">
      <alignment vertical="center" wrapText="1"/>
      <protection locked="0"/>
    </xf>
    <xf numFmtId="0" fontId="10" fillId="21" borderId="48" xfId="3" applyFont="1" applyFill="1" applyBorder="1" applyAlignment="1" applyProtection="1">
      <alignment wrapText="1"/>
      <protection locked="0"/>
    </xf>
    <xf numFmtId="0" fontId="16" fillId="21" borderId="48" xfId="3" applyFont="1" applyFill="1" applyBorder="1" applyAlignment="1" applyProtection="1">
      <alignment vertical="center" wrapText="1"/>
      <protection locked="0"/>
    </xf>
    <xf numFmtId="0" fontId="16" fillId="21" borderId="49" xfId="3" applyFont="1" applyFill="1" applyBorder="1" applyAlignment="1" applyProtection="1">
      <alignment vertical="center" wrapText="1"/>
      <protection locked="0"/>
    </xf>
    <xf numFmtId="0" fontId="19" fillId="21" borderId="50" xfId="0" applyFont="1" applyFill="1" applyBorder="1" applyAlignment="1" applyProtection="1">
      <alignment vertical="center" wrapText="1"/>
      <protection locked="0"/>
    </xf>
    <xf numFmtId="0" fontId="19" fillId="21" borderId="0" xfId="0" applyFont="1" applyFill="1" applyAlignment="1" applyProtection="1">
      <alignment vertical="center" wrapText="1"/>
      <protection locked="0"/>
    </xf>
    <xf numFmtId="0" fontId="22" fillId="21" borderId="0" xfId="3" applyFont="1" applyFill="1" applyAlignment="1" applyProtection="1">
      <alignment horizontal="center" vertical="center"/>
      <protection locked="0"/>
    </xf>
    <xf numFmtId="0" fontId="22" fillId="21" borderId="0" xfId="3" applyFont="1" applyFill="1" applyAlignment="1" applyProtection="1">
      <alignment vertical="center"/>
      <protection locked="0"/>
    </xf>
    <xf numFmtId="0" fontId="10" fillId="21" borderId="51" xfId="3" applyFont="1" applyFill="1" applyBorder="1" applyAlignment="1" applyProtection="1">
      <alignment vertical="center"/>
      <protection locked="0"/>
    </xf>
    <xf numFmtId="0" fontId="10" fillId="21" borderId="0" xfId="3" applyFont="1" applyFill="1" applyAlignment="1" applyProtection="1">
      <alignment vertical="top" wrapText="1"/>
      <protection locked="0"/>
    </xf>
    <xf numFmtId="0" fontId="10" fillId="21" borderId="0" xfId="3" applyFont="1" applyFill="1" applyAlignment="1" applyProtection="1">
      <alignment vertical="top"/>
      <protection locked="0"/>
    </xf>
    <xf numFmtId="0" fontId="10" fillId="21" borderId="50" xfId="3" applyFont="1" applyFill="1" applyBorder="1" applyAlignment="1" applyProtection="1">
      <alignment horizontal="center" vertical="center" wrapText="1"/>
      <protection locked="0"/>
    </xf>
    <xf numFmtId="0" fontId="10" fillId="21" borderId="50" xfId="3" applyFont="1" applyFill="1" applyBorder="1" applyAlignment="1" applyProtection="1">
      <alignment horizontal="center" vertical="center"/>
      <protection locked="0"/>
    </xf>
    <xf numFmtId="0" fontId="15" fillId="21" borderId="50" xfId="0" applyFont="1" applyFill="1" applyBorder="1" applyAlignment="1" applyProtection="1">
      <alignment vertical="center" wrapText="1"/>
      <protection locked="0"/>
    </xf>
    <xf numFmtId="0" fontId="10" fillId="21" borderId="0" xfId="3" applyFont="1" applyFill="1" applyAlignment="1" applyProtection="1">
      <alignment horizontal="center" vertical="center"/>
      <protection locked="0"/>
    </xf>
    <xf numFmtId="0" fontId="22" fillId="21" borderId="0" xfId="3" applyFont="1" applyFill="1" applyProtection="1">
      <protection locked="0"/>
    </xf>
    <xf numFmtId="0" fontId="10" fillId="21" borderId="0" xfId="3" applyFont="1" applyFill="1" applyAlignment="1" applyProtection="1">
      <alignment horizontal="center" wrapText="1"/>
      <protection locked="0"/>
    </xf>
    <xf numFmtId="0" fontId="10" fillId="21" borderId="0" xfId="3" applyFont="1" applyFill="1" applyProtection="1">
      <protection locked="0"/>
    </xf>
    <xf numFmtId="0" fontId="10" fillId="21" borderId="51" xfId="3" applyFont="1" applyFill="1" applyBorder="1" applyProtection="1">
      <protection locked="0"/>
    </xf>
    <xf numFmtId="0" fontId="28" fillId="21" borderId="50" xfId="0" applyFont="1" applyFill="1" applyBorder="1" applyAlignment="1" applyProtection="1">
      <alignment vertical="center" wrapText="1"/>
      <protection locked="0"/>
    </xf>
    <xf numFmtId="0" fontId="20" fillId="19" borderId="37" xfId="3" applyFont="1" applyFill="1" applyBorder="1" applyAlignment="1" applyProtection="1">
      <alignment horizontal="center" vertical="center" wrapText="1"/>
      <protection locked="0"/>
    </xf>
    <xf numFmtId="0" fontId="10" fillId="21" borderId="0" xfId="3" applyFont="1" applyFill="1" applyAlignment="1" applyProtection="1">
      <alignment vertical="center"/>
      <protection locked="0"/>
    </xf>
    <xf numFmtId="0" fontId="10" fillId="21" borderId="0" xfId="3" applyFont="1" applyFill="1" applyAlignment="1" applyProtection="1">
      <alignment horizontal="center"/>
      <protection locked="0"/>
    </xf>
    <xf numFmtId="0" fontId="24" fillId="19" borderId="37" xfId="3" applyFont="1" applyFill="1" applyBorder="1" applyAlignment="1" applyProtection="1">
      <alignment horizontal="center" vertical="center" wrapText="1"/>
      <protection locked="0"/>
    </xf>
    <xf numFmtId="0" fontId="29" fillId="21" borderId="52" xfId="0" applyFont="1" applyFill="1" applyBorder="1" applyAlignment="1" applyProtection="1">
      <alignment vertical="center" wrapText="1"/>
      <protection locked="0"/>
    </xf>
    <xf numFmtId="0" fontId="10" fillId="21" borderId="53" xfId="3" applyFont="1" applyFill="1" applyBorder="1" applyAlignment="1" applyProtection="1">
      <alignment horizontal="center" vertical="center"/>
      <protection locked="0"/>
    </xf>
    <xf numFmtId="0" fontId="10" fillId="21" borderId="53" xfId="3" applyFont="1" applyFill="1" applyBorder="1" applyProtection="1">
      <protection locked="0"/>
    </xf>
    <xf numFmtId="0" fontId="10" fillId="21" borderId="53" xfId="3" applyFont="1" applyFill="1" applyBorder="1" applyAlignment="1" applyProtection="1">
      <alignment horizontal="center"/>
      <protection locked="0"/>
    </xf>
    <xf numFmtId="0" fontId="10" fillId="21" borderId="54" xfId="3" applyFont="1" applyFill="1" applyBorder="1" applyProtection="1">
      <protection locked="0"/>
    </xf>
    <xf numFmtId="0" fontId="18" fillId="0" borderId="0" xfId="0" applyFont="1" applyAlignment="1" applyProtection="1">
      <alignment vertical="center" wrapText="1"/>
      <protection locked="0"/>
    </xf>
    <xf numFmtId="0" fontId="10" fillId="0" borderId="0" xfId="3" applyFont="1" applyProtection="1">
      <protection locked="0"/>
    </xf>
    <xf numFmtId="0" fontId="10" fillId="0" borderId="0" xfId="3" applyFont="1" applyAlignment="1" applyProtection="1">
      <alignment horizontal="center"/>
      <protection locked="0"/>
    </xf>
    <xf numFmtId="0" fontId="29" fillId="0" borderId="0" xfId="0" applyFont="1" applyAlignment="1" applyProtection="1">
      <alignment vertical="center" wrapText="1"/>
      <protection locked="0"/>
    </xf>
    <xf numFmtId="0" fontId="10" fillId="0" borderId="0" xfId="3" applyFont="1" applyAlignment="1" applyProtection="1">
      <alignment horizontal="center" vertical="center"/>
      <protection locked="0"/>
    </xf>
    <xf numFmtId="0" fontId="13" fillId="0" borderId="0" xfId="0" applyFont="1" applyProtection="1">
      <protection locked="0"/>
    </xf>
    <xf numFmtId="0" fontId="91" fillId="16" borderId="0" xfId="0" applyFont="1" applyFill="1"/>
    <xf numFmtId="165" fontId="40" fillId="0" borderId="118" xfId="3" applyNumberFormat="1" applyFont="1" applyBorder="1" applyAlignment="1">
      <alignment horizontal="center" vertical="center"/>
    </xf>
    <xf numFmtId="165" fontId="26" fillId="0" borderId="7" xfId="3" applyNumberFormat="1" applyFont="1" applyBorder="1" applyAlignment="1">
      <alignment horizontal="center" vertical="center"/>
    </xf>
    <xf numFmtId="165" fontId="26" fillId="8" borderId="7" xfId="3" applyNumberFormat="1" applyFont="1" applyFill="1" applyBorder="1" applyAlignment="1">
      <alignment horizontal="center" vertical="center"/>
    </xf>
    <xf numFmtId="165" fontId="79" fillId="22" borderId="16" xfId="3" applyNumberFormat="1" applyFont="1" applyFill="1" applyBorder="1" applyAlignment="1">
      <alignment horizontal="center" vertical="center" wrapText="1"/>
    </xf>
    <xf numFmtId="165" fontId="79" fillId="18" borderId="16" xfId="3" applyNumberFormat="1" applyFont="1" applyFill="1" applyBorder="1" applyAlignment="1">
      <alignment horizontal="center" vertical="center" wrapText="1"/>
    </xf>
    <xf numFmtId="165" fontId="79" fillId="33" borderId="16" xfId="3" applyNumberFormat="1" applyFont="1" applyFill="1" applyBorder="1" applyAlignment="1">
      <alignment horizontal="center" vertical="center" wrapText="1"/>
    </xf>
    <xf numFmtId="0" fontId="83" fillId="3" borderId="1" xfId="3" applyFont="1" applyFill="1" applyBorder="1" applyAlignment="1">
      <alignment vertical="center" wrapText="1"/>
    </xf>
    <xf numFmtId="0" fontId="83" fillId="8" borderId="1" xfId="3" applyFont="1" applyFill="1" applyBorder="1" applyAlignment="1">
      <alignment vertical="center" wrapText="1"/>
    </xf>
    <xf numFmtId="0" fontId="1" fillId="0" borderId="0" xfId="0" applyFont="1" applyAlignment="1">
      <alignment wrapText="1"/>
    </xf>
    <xf numFmtId="0" fontId="59" fillId="29" borderId="0" xfId="0" applyFont="1" applyFill="1" applyAlignment="1">
      <alignment horizontal="center" vertical="top"/>
    </xf>
    <xf numFmtId="0" fontId="80" fillId="29" borderId="0" xfId="0" applyFont="1" applyFill="1" applyAlignment="1">
      <alignment horizontal="center" vertical="top"/>
    </xf>
    <xf numFmtId="0" fontId="0" fillId="29" borderId="0" xfId="0" applyFill="1"/>
    <xf numFmtId="0" fontId="80" fillId="30" borderId="0" xfId="0" applyFont="1" applyFill="1" applyAlignment="1">
      <alignment horizontal="center"/>
    </xf>
    <xf numFmtId="0" fontId="59" fillId="30" borderId="0" xfId="0" applyFont="1" applyFill="1" applyAlignment="1">
      <alignment horizontal="center"/>
    </xf>
    <xf numFmtId="0" fontId="80" fillId="30" borderId="0" xfId="0" applyFont="1" applyFill="1" applyAlignment="1">
      <alignment horizontal="center" vertical="top"/>
    </xf>
    <xf numFmtId="0" fontId="59" fillId="30" borderId="0" xfId="0" applyFont="1" applyFill="1" applyAlignment="1">
      <alignment horizontal="center" vertical="top"/>
    </xf>
    <xf numFmtId="0" fontId="80" fillId="19" borderId="0" xfId="0" applyFont="1" applyFill="1" applyAlignment="1">
      <alignment horizontal="center" vertical="top"/>
    </xf>
    <xf numFmtId="0" fontId="82" fillId="19" borderId="0" xfId="0" applyFont="1" applyFill="1" applyAlignment="1">
      <alignment horizontal="center" vertical="top"/>
    </xf>
    <xf numFmtId="0" fontId="59" fillId="19" borderId="0" xfId="0" applyFont="1" applyFill="1" applyAlignment="1">
      <alignment horizontal="center" vertical="top"/>
    </xf>
    <xf numFmtId="0" fontId="80" fillId="19" borderId="0" xfId="0" applyFont="1" applyFill="1" applyAlignment="1">
      <alignment horizontal="center"/>
    </xf>
    <xf numFmtId="0" fontId="82" fillId="19" borderId="0" xfId="0" applyFont="1" applyFill="1" applyAlignment="1">
      <alignment horizontal="center"/>
    </xf>
    <xf numFmtId="0" fontId="69" fillId="31" borderId="122" xfId="0" applyFont="1" applyFill="1" applyBorder="1" applyAlignment="1">
      <alignment horizontal="center" vertical="center" textRotation="255"/>
    </xf>
    <xf numFmtId="0" fontId="69" fillId="31" borderId="0" xfId="0" applyFont="1" applyFill="1" applyAlignment="1">
      <alignment horizontal="center" vertical="center" textRotation="255"/>
    </xf>
    <xf numFmtId="0" fontId="69" fillId="31" borderId="121" xfId="0" applyFont="1" applyFill="1" applyBorder="1" applyAlignment="1">
      <alignment horizontal="center" vertical="center" textRotation="255"/>
    </xf>
    <xf numFmtId="0" fontId="0" fillId="0" borderId="106" xfId="0" applyBorder="1" applyAlignment="1">
      <alignment horizontal="center" vertical="center" wrapText="1"/>
    </xf>
    <xf numFmtId="0" fontId="0" fillId="0" borderId="107" xfId="0" applyBorder="1" applyAlignment="1">
      <alignment horizontal="center" vertical="center" wrapText="1"/>
    </xf>
    <xf numFmtId="0" fontId="0" fillId="0" borderId="103" xfId="0" applyBorder="1" applyAlignment="1">
      <alignment horizontal="center" vertical="center" wrapText="1"/>
    </xf>
    <xf numFmtId="0" fontId="0" fillId="0" borderId="104" xfId="0" applyBorder="1" applyAlignment="1">
      <alignment horizontal="center" vertical="center" wrapText="1"/>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10" xfId="0" applyBorder="1" applyAlignment="1">
      <alignment horizontal="center" vertical="center" wrapText="1"/>
    </xf>
    <xf numFmtId="0" fontId="0" fillId="0" borderId="112" xfId="0" applyBorder="1" applyAlignment="1">
      <alignment horizontal="center" vertical="center" wrapText="1"/>
    </xf>
    <xf numFmtId="0" fontId="0" fillId="0" borderId="113" xfId="0" applyBorder="1" applyAlignment="1">
      <alignment horizontal="center" vertical="center" wrapText="1"/>
    </xf>
    <xf numFmtId="0" fontId="0" fillId="0" borderId="114" xfId="0" applyBorder="1" applyAlignment="1">
      <alignment horizontal="center" vertical="center" wrapText="1"/>
    </xf>
    <xf numFmtId="0" fontId="71" fillId="31" borderId="48" xfId="0" applyFont="1" applyFill="1" applyBorder="1" applyAlignment="1">
      <alignment horizontal="center" vertical="center" textRotation="255"/>
    </xf>
    <xf numFmtId="0" fontId="71" fillId="31" borderId="0" xfId="0" applyFont="1" applyFill="1" applyAlignment="1">
      <alignment horizontal="center" vertical="center" textRotation="255"/>
    </xf>
    <xf numFmtId="0" fontId="0" fillId="0" borderId="115"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70" fillId="31" borderId="123" xfId="0" applyFont="1" applyFill="1" applyBorder="1" applyAlignment="1">
      <alignment horizontal="center" vertical="center" textRotation="255"/>
    </xf>
    <xf numFmtId="0" fontId="70" fillId="31" borderId="0" xfId="0" applyFont="1" applyFill="1" applyAlignment="1">
      <alignment horizontal="center" vertical="center" textRotation="255"/>
    </xf>
    <xf numFmtId="0" fontId="70" fillId="31" borderId="124" xfId="0" applyFont="1" applyFill="1" applyBorder="1" applyAlignment="1">
      <alignment horizontal="center" vertical="center" textRotation="255"/>
    </xf>
    <xf numFmtId="0" fontId="38" fillId="0" borderId="1" xfId="0" applyFont="1" applyBorder="1" applyAlignment="1">
      <alignment horizontal="center" vertical="center"/>
    </xf>
    <xf numFmtId="0" fontId="38" fillId="0" borderId="1" xfId="0" applyFont="1" applyBorder="1" applyAlignment="1">
      <alignment horizontal="center"/>
    </xf>
    <xf numFmtId="0" fontId="48" fillId="2" borderId="61" xfId="3" applyFont="1" applyFill="1" applyBorder="1" applyAlignment="1">
      <alignment horizontal="left" vertical="top" wrapText="1"/>
    </xf>
    <xf numFmtId="0" fontId="48" fillId="2" borderId="62" xfId="3" applyFont="1" applyFill="1" applyBorder="1" applyAlignment="1">
      <alignment horizontal="left" vertical="top" wrapText="1"/>
    </xf>
    <xf numFmtId="0" fontId="48" fillId="2" borderId="63" xfId="3" applyFont="1" applyFill="1" applyBorder="1" applyAlignment="1">
      <alignment horizontal="left" vertical="top" wrapText="1"/>
    </xf>
    <xf numFmtId="9" fontId="10" fillId="0" borderId="62" xfId="2" applyFont="1" applyFill="1" applyBorder="1" applyAlignment="1">
      <alignment horizontal="center" vertical="center"/>
    </xf>
    <xf numFmtId="9" fontId="64" fillId="0" borderId="15" xfId="2" applyFont="1" applyFill="1" applyBorder="1" applyAlignment="1">
      <alignment horizontal="center" vertical="center"/>
    </xf>
    <xf numFmtId="9" fontId="64" fillId="0" borderId="75" xfId="2" applyFont="1" applyFill="1" applyBorder="1" applyAlignment="1">
      <alignment horizontal="center" vertical="center"/>
    </xf>
    <xf numFmtId="9" fontId="10" fillId="0" borderId="13" xfId="2" applyFont="1" applyFill="1" applyBorder="1" applyAlignment="1">
      <alignment horizontal="center" vertical="center"/>
    </xf>
    <xf numFmtId="9" fontId="64" fillId="0" borderId="0" xfId="2" applyFont="1" applyFill="1" applyBorder="1" applyAlignment="1">
      <alignment horizontal="center" vertical="center"/>
    </xf>
    <xf numFmtId="9" fontId="64" fillId="0" borderId="74" xfId="2" applyFont="1" applyFill="1" applyBorder="1" applyAlignment="1">
      <alignment horizontal="center" vertical="center"/>
    </xf>
    <xf numFmtId="9" fontId="10" fillId="0" borderId="0" xfId="2" applyFont="1" applyFill="1" applyBorder="1" applyAlignment="1">
      <alignment horizontal="center" vertical="center"/>
    </xf>
    <xf numFmtId="164" fontId="24" fillId="4" borderId="64" xfId="1" applyNumberFormat="1" applyFont="1" applyFill="1" applyBorder="1" applyAlignment="1">
      <alignment horizontal="center" vertical="center"/>
    </xf>
    <xf numFmtId="164" fontId="24" fillId="4" borderId="68" xfId="1" applyNumberFormat="1" applyFont="1" applyFill="1" applyBorder="1" applyAlignment="1">
      <alignment horizontal="center" vertical="center"/>
    </xf>
    <xf numFmtId="9" fontId="24" fillId="4" borderId="64" xfId="3" applyNumberFormat="1" applyFont="1" applyFill="1" applyBorder="1" applyAlignment="1">
      <alignment horizontal="center" vertical="center"/>
    </xf>
    <xf numFmtId="9" fontId="24" fillId="4" borderId="76" xfId="3" applyNumberFormat="1" applyFont="1" applyFill="1" applyBorder="1" applyAlignment="1">
      <alignment horizontal="center" vertical="center"/>
    </xf>
    <xf numFmtId="9" fontId="24" fillId="4" borderId="68" xfId="3" applyNumberFormat="1" applyFont="1" applyFill="1" applyBorder="1" applyAlignment="1">
      <alignment horizontal="center" vertical="center"/>
    </xf>
    <xf numFmtId="9" fontId="24" fillId="4" borderId="72" xfId="3" applyNumberFormat="1" applyFont="1" applyFill="1" applyBorder="1" applyAlignment="1">
      <alignment horizontal="center" vertical="center"/>
    </xf>
    <xf numFmtId="9" fontId="10" fillId="0" borderId="15" xfId="2" applyFont="1" applyFill="1" applyBorder="1" applyAlignment="1">
      <alignment horizontal="center" vertical="center"/>
    </xf>
    <xf numFmtId="0" fontId="25" fillId="3" borderId="4" xfId="3" applyFont="1" applyFill="1" applyBorder="1" applyAlignment="1">
      <alignment horizontal="center" vertical="center" textRotation="90" wrapText="1"/>
    </xf>
    <xf numFmtId="0" fontId="25" fillId="3" borderId="8" xfId="3" applyFont="1" applyFill="1" applyBorder="1" applyAlignment="1">
      <alignment horizontal="center" vertical="center" textRotation="90" wrapText="1"/>
    </xf>
    <xf numFmtId="164" fontId="20" fillId="4" borderId="88" xfId="3" applyNumberFormat="1" applyFont="1" applyFill="1" applyBorder="1" applyAlignment="1">
      <alignment horizontal="center" vertical="center" wrapText="1"/>
    </xf>
    <xf numFmtId="164" fontId="20" fillId="4" borderId="89" xfId="3" applyNumberFormat="1" applyFont="1" applyFill="1" applyBorder="1" applyAlignment="1">
      <alignment horizontal="center" vertical="center" wrapText="1"/>
    </xf>
    <xf numFmtId="0" fontId="31" fillId="0" borderId="11" xfId="3" applyFont="1" applyBorder="1" applyAlignment="1">
      <alignment horizontal="center" vertical="center"/>
    </xf>
    <xf numFmtId="0" fontId="31" fillId="0" borderId="13" xfId="3" applyFont="1" applyBorder="1" applyAlignment="1">
      <alignment horizontal="center" vertical="center"/>
    </xf>
    <xf numFmtId="0" fontId="31" fillId="0" borderId="14" xfId="3" applyFont="1" applyBorder="1" applyAlignment="1">
      <alignment horizontal="center" vertical="center"/>
    </xf>
    <xf numFmtId="0" fontId="24" fillId="4" borderId="65" xfId="3" applyFont="1" applyFill="1" applyBorder="1" applyAlignment="1">
      <alignment horizontal="center" vertical="center" wrapText="1"/>
    </xf>
    <xf numFmtId="0" fontId="24" fillId="4" borderId="66" xfId="3" applyFont="1" applyFill="1" applyBorder="1" applyAlignment="1">
      <alignment horizontal="center" vertical="center" wrapText="1"/>
    </xf>
    <xf numFmtId="0" fontId="24" fillId="4" borderId="67" xfId="3" applyFont="1" applyFill="1" applyBorder="1" applyAlignment="1">
      <alignment horizontal="center" vertical="center" wrapText="1"/>
    </xf>
    <xf numFmtId="9" fontId="10" fillId="0" borderId="91" xfId="2" applyFont="1" applyFill="1" applyBorder="1" applyAlignment="1">
      <alignment horizontal="center" vertical="center"/>
    </xf>
    <xf numFmtId="0" fontId="40" fillId="0" borderId="11" xfId="3" applyFont="1" applyBorder="1" applyAlignment="1">
      <alignment horizontal="center" vertical="center"/>
    </xf>
    <xf numFmtId="0" fontId="40" fillId="0" borderId="13" xfId="3" applyFont="1" applyBorder="1" applyAlignment="1">
      <alignment horizontal="center" vertical="center"/>
    </xf>
    <xf numFmtId="0" fontId="40" fillId="0" borderId="14" xfId="3" applyFont="1" applyBorder="1" applyAlignment="1">
      <alignment horizontal="center" vertical="center"/>
    </xf>
    <xf numFmtId="9" fontId="10" fillId="0" borderId="90" xfId="2" applyFont="1" applyFill="1" applyBorder="1" applyAlignment="1">
      <alignment horizontal="center" vertical="center"/>
    </xf>
    <xf numFmtId="0" fontId="25" fillId="3" borderId="6" xfId="3" applyFont="1" applyFill="1" applyBorder="1" applyAlignment="1">
      <alignment horizontal="center" vertical="center" textRotation="90" wrapText="1"/>
    </xf>
    <xf numFmtId="9" fontId="64" fillId="0" borderId="13" xfId="2" applyFont="1" applyFill="1" applyBorder="1" applyAlignment="1">
      <alignment horizontal="center" vertical="center"/>
    </xf>
    <xf numFmtId="9" fontId="64" fillId="0" borderId="73" xfId="2" applyFont="1" applyFill="1" applyBorder="1" applyAlignment="1">
      <alignment horizontal="center" vertical="center"/>
    </xf>
    <xf numFmtId="9" fontId="64" fillId="0" borderId="135" xfId="2" applyFont="1" applyFill="1" applyBorder="1" applyAlignment="1">
      <alignment horizontal="center" vertical="center"/>
    </xf>
    <xf numFmtId="9" fontId="64" fillId="0" borderId="136" xfId="2" applyFont="1" applyFill="1" applyBorder="1" applyAlignment="1">
      <alignment horizontal="center" vertical="center"/>
    </xf>
    <xf numFmtId="9" fontId="24" fillId="4" borderId="64" xfId="2" applyFont="1" applyFill="1" applyBorder="1" applyAlignment="1" applyProtection="1">
      <alignment horizontal="center" vertical="center"/>
    </xf>
    <xf numFmtId="9" fontId="24" fillId="4" borderId="132" xfId="2" applyFont="1" applyFill="1" applyBorder="1" applyAlignment="1" applyProtection="1">
      <alignment horizontal="center" vertical="center"/>
    </xf>
    <xf numFmtId="9" fontId="24" fillId="4" borderId="68" xfId="2" applyFont="1" applyFill="1" applyBorder="1" applyAlignment="1" applyProtection="1">
      <alignment horizontal="center" vertical="center"/>
    </xf>
    <xf numFmtId="9" fontId="24" fillId="4" borderId="133" xfId="2" applyFont="1" applyFill="1" applyBorder="1" applyAlignment="1" applyProtection="1">
      <alignment horizontal="center" vertical="center"/>
    </xf>
    <xf numFmtId="9" fontId="64" fillId="0" borderId="11" xfId="2" applyFont="1" applyFill="1" applyBorder="1" applyAlignment="1" applyProtection="1">
      <alignment horizontal="center" vertical="center"/>
    </xf>
    <xf numFmtId="9" fontId="64" fillId="0" borderId="13" xfId="2" applyFont="1" applyFill="1" applyBorder="1" applyAlignment="1" applyProtection="1">
      <alignment horizontal="center" vertical="center"/>
    </xf>
    <xf numFmtId="9" fontId="64" fillId="0" borderId="14" xfId="2" applyFont="1" applyFill="1" applyBorder="1" applyAlignment="1" applyProtection="1">
      <alignment horizontal="center" vertical="center"/>
    </xf>
    <xf numFmtId="9" fontId="64" fillId="0" borderId="12" xfId="2" applyFont="1" applyFill="1" applyBorder="1" applyAlignment="1" applyProtection="1">
      <alignment horizontal="center" vertical="center"/>
    </xf>
    <xf numFmtId="9" fontId="64" fillId="0" borderId="0" xfId="2" applyFont="1" applyFill="1" applyBorder="1" applyAlignment="1" applyProtection="1">
      <alignment horizontal="center" vertical="center"/>
    </xf>
    <xf numFmtId="9" fontId="64" fillId="0" borderId="120" xfId="2" applyFont="1" applyFill="1" applyBorder="1" applyAlignment="1" applyProtection="1">
      <alignment horizontal="center" vertical="center"/>
    </xf>
    <xf numFmtId="9" fontId="64" fillId="0" borderId="139" xfId="2" applyFont="1" applyFill="1" applyBorder="1" applyAlignment="1" applyProtection="1">
      <alignment horizontal="center" vertical="center"/>
    </xf>
    <xf numFmtId="9" fontId="64" fillId="0" borderId="15" xfId="2" applyFont="1" applyFill="1" applyBorder="1" applyAlignment="1" applyProtection="1">
      <alignment horizontal="center" vertical="center"/>
    </xf>
    <xf numFmtId="9" fontId="64" fillId="0" borderId="140" xfId="2" applyFont="1" applyFill="1" applyBorder="1" applyAlignment="1" applyProtection="1">
      <alignment horizontal="center" vertical="center"/>
    </xf>
    <xf numFmtId="9" fontId="10" fillId="0" borderId="0" xfId="2" applyFont="1" applyFill="1" applyBorder="1" applyAlignment="1" applyProtection="1">
      <alignment horizontal="center" vertical="center"/>
    </xf>
    <xf numFmtId="9" fontId="10" fillId="0" borderId="15" xfId="2" applyFont="1" applyFill="1" applyBorder="1" applyAlignment="1" applyProtection="1">
      <alignment horizontal="center" vertical="center"/>
    </xf>
    <xf numFmtId="164" fontId="24" fillId="4" borderId="64" xfId="1" applyNumberFormat="1" applyFont="1" applyFill="1" applyBorder="1" applyAlignment="1" applyProtection="1">
      <alignment horizontal="center" vertical="center"/>
    </xf>
    <xf numFmtId="164" fontId="24" fillId="4" borderId="68" xfId="1" applyNumberFormat="1" applyFont="1" applyFill="1" applyBorder="1" applyAlignment="1" applyProtection="1">
      <alignment horizontal="center" vertical="center"/>
    </xf>
    <xf numFmtId="9" fontId="10" fillId="0" borderId="13" xfId="2" applyFont="1" applyFill="1" applyBorder="1" applyAlignment="1" applyProtection="1">
      <alignment horizontal="center" vertical="center"/>
    </xf>
    <xf numFmtId="9" fontId="64" fillId="0" borderId="137" xfId="2" applyFont="1" applyFill="1" applyBorder="1" applyAlignment="1" applyProtection="1">
      <alignment horizontal="center" vertical="center"/>
    </xf>
    <xf numFmtId="9" fontId="64" fillId="0" borderId="129" xfId="2" applyFont="1" applyFill="1" applyBorder="1" applyAlignment="1" applyProtection="1">
      <alignment horizontal="center" vertical="center"/>
    </xf>
    <xf numFmtId="9" fontId="64" fillId="0" borderId="138" xfId="2" applyFont="1" applyFill="1" applyBorder="1" applyAlignment="1" applyProtection="1">
      <alignment horizontal="center" vertical="center"/>
    </xf>
    <xf numFmtId="9" fontId="10" fillId="0" borderId="90" xfId="2" applyFont="1" applyFill="1" applyBorder="1" applyAlignment="1" applyProtection="1">
      <alignment horizontal="center" vertical="center"/>
    </xf>
    <xf numFmtId="0" fontId="24" fillId="4" borderId="131" xfId="3" applyFont="1" applyFill="1" applyBorder="1" applyAlignment="1">
      <alignment horizontal="center" vertical="center" wrapText="1"/>
    </xf>
    <xf numFmtId="9" fontId="10" fillId="0" borderId="130" xfId="2" applyFont="1" applyFill="1" applyBorder="1" applyAlignment="1">
      <alignment horizontal="center" vertical="center"/>
    </xf>
    <xf numFmtId="9" fontId="10" fillId="0" borderId="129" xfId="2" applyFont="1" applyFill="1" applyBorder="1" applyAlignment="1">
      <alignment horizontal="center" vertical="center"/>
    </xf>
    <xf numFmtId="9" fontId="64" fillId="0" borderId="137" xfId="2" applyFont="1" applyFill="1" applyBorder="1" applyAlignment="1">
      <alignment horizontal="center" vertical="center"/>
    </xf>
    <xf numFmtId="9" fontId="64" fillId="0" borderId="129" xfId="2" applyFont="1" applyFill="1" applyBorder="1" applyAlignment="1">
      <alignment horizontal="center" vertical="center"/>
    </xf>
    <xf numFmtId="9" fontId="64" fillId="0" borderId="138" xfId="2" applyFont="1" applyFill="1" applyBorder="1" applyAlignment="1">
      <alignment horizontal="center" vertical="center"/>
    </xf>
    <xf numFmtId="9" fontId="24" fillId="4" borderId="64" xfId="2" applyFont="1" applyFill="1" applyBorder="1" applyAlignment="1">
      <alignment horizontal="center" vertical="center"/>
    </xf>
    <xf numFmtId="9" fontId="24" fillId="4" borderId="132" xfId="2" applyFont="1" applyFill="1" applyBorder="1" applyAlignment="1">
      <alignment horizontal="center" vertical="center"/>
    </xf>
    <xf numFmtId="9" fontId="24" fillId="4" borderId="68" xfId="2" applyFont="1" applyFill="1" applyBorder="1" applyAlignment="1">
      <alignment horizontal="center" vertical="center"/>
    </xf>
    <xf numFmtId="9" fontId="24" fillId="4" borderId="133" xfId="2" applyFont="1" applyFill="1" applyBorder="1" applyAlignment="1">
      <alignment horizontal="center" vertical="center"/>
    </xf>
    <xf numFmtId="9" fontId="64" fillId="0" borderId="11" xfId="2" applyFont="1" applyFill="1" applyBorder="1" applyAlignment="1">
      <alignment horizontal="center" vertical="center"/>
    </xf>
    <xf numFmtId="9" fontId="64" fillId="0" borderId="14" xfId="2" applyFont="1" applyFill="1" applyBorder="1" applyAlignment="1">
      <alignment horizontal="center" vertical="center"/>
    </xf>
    <xf numFmtId="9" fontId="64" fillId="0" borderId="12" xfId="2" applyFont="1" applyFill="1" applyBorder="1" applyAlignment="1">
      <alignment horizontal="center" vertical="center"/>
    </xf>
    <xf numFmtId="9" fontId="64" fillId="0" borderId="120" xfId="2" applyFont="1" applyFill="1" applyBorder="1" applyAlignment="1">
      <alignment horizontal="center" vertical="center"/>
    </xf>
    <xf numFmtId="9" fontId="64" fillId="0" borderId="139" xfId="2" applyFont="1" applyFill="1" applyBorder="1" applyAlignment="1">
      <alignment horizontal="center" vertical="center"/>
    </xf>
    <xf numFmtId="9" fontId="64" fillId="0" borderId="140" xfId="2" applyFont="1" applyFill="1" applyBorder="1" applyAlignment="1">
      <alignment horizontal="center" vertical="center"/>
    </xf>
    <xf numFmtId="0" fontId="93" fillId="31" borderId="0" xfId="0" applyFont="1" applyFill="1"/>
    <xf numFmtId="0" fontId="93" fillId="0" borderId="0" xfId="0" applyFont="1"/>
    <xf numFmtId="0" fontId="94" fillId="15" borderId="117" xfId="0" applyFont="1" applyFill="1" applyBorder="1" applyAlignment="1">
      <alignment horizontal="center" vertical="center" wrapText="1"/>
    </xf>
    <xf numFmtId="0" fontId="10" fillId="3" borderId="1" xfId="3" applyFont="1" applyFill="1" applyBorder="1" applyAlignment="1">
      <alignment horizontal="center" vertical="center" wrapText="1"/>
    </xf>
    <xf numFmtId="0" fontId="10" fillId="8" borderId="6" xfId="3" applyFont="1" applyFill="1" applyBorder="1" applyAlignment="1">
      <alignment horizontal="center" vertical="center" wrapText="1"/>
    </xf>
    <xf numFmtId="0" fontId="10" fillId="8" borderId="56" xfId="3" applyFont="1" applyFill="1" applyBorder="1" applyAlignment="1">
      <alignment horizontal="center" vertical="center" wrapText="1"/>
    </xf>
    <xf numFmtId="0" fontId="10" fillId="34" borderId="56" xfId="3" applyFont="1" applyFill="1" applyBorder="1" applyAlignment="1">
      <alignment horizontal="center" vertical="center" wrapText="1"/>
    </xf>
    <xf numFmtId="0" fontId="10" fillId="15" borderId="56" xfId="3" applyFont="1" applyFill="1" applyBorder="1" applyAlignment="1">
      <alignment horizontal="center" vertical="center" wrapText="1"/>
    </xf>
    <xf numFmtId="0" fontId="93" fillId="0" borderId="0" xfId="0" applyFont="1" applyAlignment="1">
      <alignment wrapText="1"/>
    </xf>
  </cellXfs>
  <cellStyles count="7">
    <cellStyle name="Lien hypertexte" xfId="4" builtinId="8"/>
    <cellStyle name="Milliers" xfId="1" builtinId="3"/>
    <cellStyle name="Milliers 2" xfId="6" xr:uid="{D3999E00-D135-4680-A7EF-1053E562924E}"/>
    <cellStyle name="Normal" xfId="0" builtinId="0"/>
    <cellStyle name="Normal 2" xfId="3" xr:uid="{CAF6317A-1974-4A19-8FD2-F029EC112B05}"/>
    <cellStyle name="Normal 2 2" xfId="5" xr:uid="{5717B9F1-F92F-427B-BD45-A2234ED8601C}"/>
    <cellStyle name="Pourcentage" xfId="2" builtinId="5"/>
  </cellStyles>
  <dxfs count="215">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border>
        <left style="thin">
          <color auto="1"/>
        </left>
        <right style="thin">
          <color auto="1"/>
        </right>
        <top style="thin">
          <color auto="1"/>
        </top>
        <bottom style="thin">
          <color auto="1"/>
        </bottom>
        <vertical/>
        <horizontal/>
      </border>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b/>
        <i val="0"/>
        <color rgb="FFC00000"/>
      </font>
      <fill>
        <patternFill>
          <bgColor rgb="FFFFFF99"/>
        </patternFill>
      </fill>
      <border>
        <left style="thin">
          <color rgb="FFC00000"/>
        </left>
        <right style="thin">
          <color rgb="FFC00000"/>
        </right>
        <top style="thin">
          <color rgb="FFC00000"/>
        </top>
        <bottom style="thin">
          <color rgb="FFC00000"/>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ill>
        <patternFill>
          <bgColor rgb="FF92D050"/>
        </patternFill>
      </fill>
    </dxf>
    <dxf>
      <fill>
        <patternFill>
          <bgColor rgb="FFFFFF00"/>
        </patternFill>
      </fill>
    </dxf>
    <dxf>
      <fill>
        <patternFill>
          <bgColor rgb="FFFF0000"/>
        </patternFill>
      </fill>
    </dxf>
    <dxf>
      <font>
        <color theme="0"/>
      </font>
      <fill>
        <patternFill>
          <bgColor theme="0" tint="-0.499984740745262"/>
        </patternFill>
      </fill>
    </dxf>
    <dxf>
      <border>
        <left style="thin">
          <color auto="1"/>
        </left>
        <right style="thin">
          <color auto="1"/>
        </right>
        <top style="thin">
          <color auto="1"/>
        </top>
        <bottom style="thin">
          <color auto="1"/>
        </bottom>
        <vertical/>
        <horizontal/>
      </border>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s>
  <tableStyles count="0" defaultTableStyle="TableStyleMedium2" defaultPivotStyle="PivotStyleLight16"/>
  <colors>
    <mruColors>
      <color rgb="FF0097CC"/>
      <color rgb="FF45413F"/>
      <color rgb="FF0079A4"/>
      <color rgb="FF1C3D79"/>
      <color rgb="FF69625F"/>
      <color rgb="FF376C99"/>
      <color rgb="FFFFFF99"/>
      <color rgb="FFBFCDEF"/>
      <color rgb="FF2858AE"/>
      <color rgb="FFACBE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cat>
            <c:strRef>
              <c:f>'Synthèse globale'!$F$6:$F$18</c:f>
              <c:strCache>
                <c:ptCount val="13"/>
                <c:pt idx="0">
                  <c:v>Stratégies</c:v>
                </c:pt>
                <c:pt idx="1">
                  <c:v>Innovation</c:v>
                </c:pt>
                <c:pt idx="2">
                  <c:v>Risques &amp; conformité</c:v>
                </c:pt>
                <c:pt idx="3">
                  <c:v>RSE</c:v>
                </c:pt>
                <c:pt idx="4">
                  <c:v>Données &amp; IA</c:v>
                </c:pt>
                <c:pt idx="5">
                  <c:v>Architecture</c:v>
                </c:pt>
                <c:pt idx="6">
                  <c:v>Portefeuille de projets</c:v>
                </c:pt>
                <c:pt idx="7">
                  <c:v>Projets</c:v>
                </c:pt>
                <c:pt idx="8">
                  <c:v>Services</c:v>
                </c:pt>
                <c:pt idx="9">
                  <c:v>Ressources humaines </c:v>
                </c:pt>
                <c:pt idx="10">
                  <c:v>Prestataires &amp; fournisseurs</c:v>
                </c:pt>
                <c:pt idx="11">
                  <c:v>Budget &amp; performance</c:v>
                </c:pt>
                <c:pt idx="12">
                  <c:v>Marketing &amp; communication</c:v>
                </c:pt>
              </c:strCache>
            </c:strRef>
          </c:cat>
          <c:val>
            <c:numRef>
              <c:f>'Synthèse globale'!$F$6:$F$18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72F-4621-8424-DE5795E83156}"/>
            </c:ext>
          </c:extLst>
        </c:ser>
        <c:ser>
          <c:idx val="1"/>
          <c:order val="1"/>
          <c:spPr>
            <a:ln w="22225" cap="rnd">
              <a:solidFill>
                <a:schemeClr val="bg1">
                  <a:lumMod val="95000"/>
                </a:schemeClr>
              </a:solidFill>
              <a:round/>
            </a:ln>
            <a:effectLst/>
          </c:spPr>
          <c:marker>
            <c:symbol val="diamond"/>
            <c:size val="8"/>
            <c:spPr>
              <a:solidFill>
                <a:srgbClr val="203B7D"/>
              </a:solidFill>
              <a:ln w="22225">
                <a:solidFill>
                  <a:srgbClr val="203B7D"/>
                </a:solidFill>
                <a:headEnd type="diamond"/>
              </a:ln>
              <a:effectLst/>
            </c:spPr>
          </c:marker>
          <c:dPt>
            <c:idx val="0"/>
            <c:marker>
              <c:symbol val="diamond"/>
              <c:size val="8"/>
              <c:spPr>
                <a:solidFill>
                  <a:srgbClr val="0097CC"/>
                </a:solidFill>
                <a:ln w="22225">
                  <a:solidFill>
                    <a:srgbClr val="0097CC"/>
                  </a:solidFill>
                  <a:headEnd type="diamond"/>
                </a:ln>
                <a:effectLst/>
              </c:spPr>
            </c:marker>
            <c:bubble3D val="0"/>
            <c:spPr>
              <a:ln w="22225" cap="rnd">
                <a:solidFill>
                  <a:srgbClr val="45413F"/>
                </a:solidFill>
                <a:round/>
              </a:ln>
              <a:effectLst/>
            </c:spPr>
            <c:extLst>
              <c:ext xmlns:c16="http://schemas.microsoft.com/office/drawing/2014/chart" uri="{C3380CC4-5D6E-409C-BE32-E72D297353CC}">
                <c16:uniqueId val="{00000004-273E-4C1F-A358-321468051D74}"/>
              </c:ext>
            </c:extLst>
          </c:dPt>
          <c:dPt>
            <c:idx val="1"/>
            <c:marker>
              <c:symbol val="diamond"/>
              <c:size val="8"/>
              <c:spPr>
                <a:solidFill>
                  <a:srgbClr val="0097CC"/>
                </a:solidFill>
                <a:ln w="22225">
                  <a:solidFill>
                    <a:srgbClr val="0097CC"/>
                  </a:solidFill>
                  <a:headEnd type="diamond"/>
                </a:ln>
                <a:effectLst/>
              </c:spPr>
            </c:marker>
            <c:bubble3D val="0"/>
            <c:spPr>
              <a:ln w="22225" cap="rnd">
                <a:solidFill>
                  <a:srgbClr val="0097CC"/>
                </a:solidFill>
                <a:round/>
              </a:ln>
              <a:effectLst/>
            </c:spPr>
            <c:extLst>
              <c:ext xmlns:c16="http://schemas.microsoft.com/office/drawing/2014/chart" uri="{C3380CC4-5D6E-409C-BE32-E72D297353CC}">
                <c16:uniqueId val="{00000000-273E-4C1F-A358-321468051D74}"/>
              </c:ext>
            </c:extLst>
          </c:dPt>
          <c:dPt>
            <c:idx val="2"/>
            <c:marker>
              <c:symbol val="diamond"/>
              <c:size val="8"/>
              <c:spPr>
                <a:solidFill>
                  <a:srgbClr val="0097CC"/>
                </a:solidFill>
                <a:ln w="22225">
                  <a:solidFill>
                    <a:srgbClr val="0097CC"/>
                  </a:solidFill>
                  <a:headEnd type="diamond"/>
                </a:ln>
                <a:effectLst/>
              </c:spPr>
            </c:marker>
            <c:bubble3D val="0"/>
            <c:spPr>
              <a:ln w="22225" cap="rnd">
                <a:solidFill>
                  <a:srgbClr val="0097CC"/>
                </a:solidFill>
                <a:round/>
              </a:ln>
              <a:effectLst/>
            </c:spPr>
            <c:extLst>
              <c:ext xmlns:c16="http://schemas.microsoft.com/office/drawing/2014/chart" uri="{C3380CC4-5D6E-409C-BE32-E72D297353CC}">
                <c16:uniqueId val="{00000001-273E-4C1F-A358-321468051D74}"/>
              </c:ext>
            </c:extLst>
          </c:dPt>
          <c:dPt>
            <c:idx val="3"/>
            <c:marker>
              <c:symbol val="diamond"/>
              <c:size val="8"/>
              <c:spPr>
                <a:solidFill>
                  <a:srgbClr val="0097CC"/>
                </a:solidFill>
                <a:ln w="22225">
                  <a:solidFill>
                    <a:srgbClr val="0097CC"/>
                  </a:solidFill>
                  <a:headEnd type="diamond"/>
                </a:ln>
                <a:effectLst/>
              </c:spPr>
            </c:marker>
            <c:bubble3D val="0"/>
            <c:spPr>
              <a:ln w="22225" cap="rnd">
                <a:solidFill>
                  <a:srgbClr val="0097CC"/>
                </a:solidFill>
                <a:round/>
              </a:ln>
              <a:effectLst/>
            </c:spPr>
            <c:extLst>
              <c:ext xmlns:c16="http://schemas.microsoft.com/office/drawing/2014/chart" uri="{C3380CC4-5D6E-409C-BE32-E72D297353CC}">
                <c16:uniqueId val="{00000002-273E-4C1F-A358-321468051D74}"/>
              </c:ext>
            </c:extLst>
          </c:dPt>
          <c:dPt>
            <c:idx val="4"/>
            <c:marker>
              <c:symbol val="diamond"/>
              <c:size val="8"/>
              <c:spPr>
                <a:solidFill>
                  <a:srgbClr val="1C3D79"/>
                </a:solidFill>
                <a:ln w="22225">
                  <a:solidFill>
                    <a:srgbClr val="1C3D79"/>
                  </a:solidFill>
                  <a:headEnd type="diamond"/>
                </a:ln>
                <a:effectLst/>
              </c:spPr>
            </c:marker>
            <c:bubble3D val="0"/>
            <c:spPr>
              <a:ln w="22225" cap="rnd">
                <a:solidFill>
                  <a:srgbClr val="0097CC"/>
                </a:solidFill>
                <a:round/>
              </a:ln>
              <a:effectLst/>
            </c:spPr>
            <c:extLst>
              <c:ext xmlns:c16="http://schemas.microsoft.com/office/drawing/2014/chart" uri="{C3380CC4-5D6E-409C-BE32-E72D297353CC}">
                <c16:uniqueId val="{00000003-273E-4C1F-A358-321468051D74}"/>
              </c:ext>
            </c:extLst>
          </c:dPt>
          <c:dPt>
            <c:idx val="5"/>
            <c:marker>
              <c:symbol val="diamond"/>
              <c:size val="8"/>
              <c:spPr>
                <a:solidFill>
                  <a:srgbClr val="203B7D"/>
                </a:solidFill>
                <a:ln w="22225">
                  <a:solidFill>
                    <a:srgbClr val="203B7D"/>
                  </a:solidFill>
                  <a:headEnd type="diamond"/>
                </a:ln>
                <a:effectLst/>
              </c:spPr>
            </c:marker>
            <c:bubble3D val="0"/>
            <c:spPr>
              <a:ln w="22225" cap="rnd">
                <a:solidFill>
                  <a:srgbClr val="1C3D79"/>
                </a:solidFill>
                <a:round/>
              </a:ln>
              <a:effectLst/>
            </c:spPr>
            <c:extLst>
              <c:ext xmlns:c16="http://schemas.microsoft.com/office/drawing/2014/chart" uri="{C3380CC4-5D6E-409C-BE32-E72D297353CC}">
                <c16:uniqueId val="{00000008-273E-4C1F-A358-321468051D74}"/>
              </c:ext>
            </c:extLst>
          </c:dPt>
          <c:dPt>
            <c:idx val="6"/>
            <c:marker>
              <c:symbol val="diamond"/>
              <c:size val="8"/>
              <c:spPr>
                <a:solidFill>
                  <a:srgbClr val="203B7D"/>
                </a:solidFill>
                <a:ln w="22225">
                  <a:solidFill>
                    <a:srgbClr val="203B7D"/>
                  </a:solidFill>
                  <a:headEnd type="diamond"/>
                </a:ln>
                <a:effectLst/>
              </c:spPr>
            </c:marker>
            <c:bubble3D val="0"/>
            <c:spPr>
              <a:ln w="22225" cap="rnd">
                <a:solidFill>
                  <a:srgbClr val="1C3D79"/>
                </a:solidFill>
                <a:round/>
              </a:ln>
              <a:effectLst/>
            </c:spPr>
            <c:extLst>
              <c:ext xmlns:c16="http://schemas.microsoft.com/office/drawing/2014/chart" uri="{C3380CC4-5D6E-409C-BE32-E72D297353CC}">
                <c16:uniqueId val="{00000005-273E-4C1F-A358-321468051D74}"/>
              </c:ext>
            </c:extLst>
          </c:dPt>
          <c:dPt>
            <c:idx val="7"/>
            <c:marker>
              <c:symbol val="diamond"/>
              <c:size val="8"/>
              <c:spPr>
                <a:solidFill>
                  <a:srgbClr val="203B7D"/>
                </a:solidFill>
                <a:ln w="22225">
                  <a:solidFill>
                    <a:srgbClr val="203B7D"/>
                  </a:solidFill>
                  <a:headEnd type="diamond"/>
                </a:ln>
                <a:effectLst/>
              </c:spPr>
            </c:marker>
            <c:bubble3D val="0"/>
            <c:spPr>
              <a:ln w="22225" cap="rnd">
                <a:solidFill>
                  <a:srgbClr val="1C3D79"/>
                </a:solidFill>
                <a:round/>
              </a:ln>
              <a:effectLst/>
            </c:spPr>
            <c:extLst>
              <c:ext xmlns:c16="http://schemas.microsoft.com/office/drawing/2014/chart" uri="{C3380CC4-5D6E-409C-BE32-E72D297353CC}">
                <c16:uniqueId val="{00000006-273E-4C1F-A358-321468051D74}"/>
              </c:ext>
            </c:extLst>
          </c:dPt>
          <c:dPt>
            <c:idx val="8"/>
            <c:marker>
              <c:symbol val="diamond"/>
              <c:size val="8"/>
              <c:spPr>
                <a:solidFill>
                  <a:srgbClr val="203B7D"/>
                </a:solidFill>
                <a:ln w="22225">
                  <a:solidFill>
                    <a:srgbClr val="203B7D"/>
                  </a:solidFill>
                  <a:headEnd type="diamond"/>
                </a:ln>
                <a:effectLst/>
              </c:spPr>
            </c:marker>
            <c:bubble3D val="0"/>
            <c:spPr>
              <a:ln w="22225" cap="rnd">
                <a:solidFill>
                  <a:srgbClr val="1C3D79"/>
                </a:solidFill>
                <a:round/>
              </a:ln>
              <a:effectLst/>
            </c:spPr>
            <c:extLst>
              <c:ext xmlns:c16="http://schemas.microsoft.com/office/drawing/2014/chart" uri="{C3380CC4-5D6E-409C-BE32-E72D297353CC}">
                <c16:uniqueId val="{00000007-273E-4C1F-A358-321468051D74}"/>
              </c:ext>
            </c:extLst>
          </c:dPt>
          <c:dPt>
            <c:idx val="9"/>
            <c:marker>
              <c:symbol val="diamond"/>
              <c:size val="8"/>
              <c:spPr>
                <a:solidFill>
                  <a:srgbClr val="203B7D"/>
                </a:solidFill>
                <a:ln w="22225">
                  <a:solidFill>
                    <a:srgbClr val="203B7D"/>
                  </a:solidFill>
                  <a:headEnd type="diamond"/>
                </a:ln>
                <a:effectLst/>
              </c:spPr>
            </c:marker>
            <c:bubble3D val="0"/>
            <c:spPr>
              <a:ln w="22225" cap="rnd">
                <a:solidFill>
                  <a:srgbClr val="1C3D79"/>
                </a:solidFill>
                <a:round/>
              </a:ln>
              <a:effectLst/>
            </c:spPr>
            <c:extLst>
              <c:ext xmlns:c16="http://schemas.microsoft.com/office/drawing/2014/chart" uri="{C3380CC4-5D6E-409C-BE32-E72D297353CC}">
                <c16:uniqueId val="{00000009-273E-4C1F-A358-321468051D74}"/>
              </c:ext>
            </c:extLst>
          </c:dPt>
          <c:dPt>
            <c:idx val="10"/>
            <c:marker>
              <c:symbol val="diamond"/>
              <c:size val="8"/>
              <c:spPr>
                <a:solidFill>
                  <a:srgbClr val="45413F"/>
                </a:solidFill>
                <a:ln w="22225">
                  <a:solidFill>
                    <a:srgbClr val="45413F"/>
                  </a:solidFill>
                  <a:headEnd type="diamond"/>
                </a:ln>
                <a:effectLst/>
              </c:spPr>
            </c:marker>
            <c:bubble3D val="0"/>
            <c:spPr>
              <a:ln w="22225" cap="rnd">
                <a:solidFill>
                  <a:srgbClr val="45413F"/>
                </a:solidFill>
                <a:round/>
              </a:ln>
              <a:effectLst/>
            </c:spPr>
            <c:extLst>
              <c:ext xmlns:c16="http://schemas.microsoft.com/office/drawing/2014/chart" uri="{C3380CC4-5D6E-409C-BE32-E72D297353CC}">
                <c16:uniqueId val="{0000000A-273E-4C1F-A358-321468051D74}"/>
              </c:ext>
            </c:extLst>
          </c:dPt>
          <c:dPt>
            <c:idx val="11"/>
            <c:marker>
              <c:symbol val="diamond"/>
              <c:size val="8"/>
              <c:spPr>
                <a:solidFill>
                  <a:srgbClr val="45413F"/>
                </a:solidFill>
                <a:ln w="22225">
                  <a:solidFill>
                    <a:srgbClr val="45413F"/>
                  </a:solidFill>
                  <a:headEnd type="diamond"/>
                </a:ln>
                <a:effectLst/>
              </c:spPr>
            </c:marker>
            <c:bubble3D val="0"/>
            <c:spPr>
              <a:ln w="22225" cap="rnd">
                <a:solidFill>
                  <a:srgbClr val="45413F"/>
                </a:solidFill>
                <a:round/>
              </a:ln>
              <a:effectLst/>
            </c:spPr>
            <c:extLst>
              <c:ext xmlns:c16="http://schemas.microsoft.com/office/drawing/2014/chart" uri="{C3380CC4-5D6E-409C-BE32-E72D297353CC}">
                <c16:uniqueId val="{0000000B-273E-4C1F-A358-321468051D74}"/>
              </c:ext>
            </c:extLst>
          </c:dPt>
          <c:dPt>
            <c:idx val="12"/>
            <c:marker>
              <c:symbol val="diamond"/>
              <c:size val="8"/>
              <c:spPr>
                <a:solidFill>
                  <a:srgbClr val="45413F"/>
                </a:solidFill>
                <a:ln w="22225">
                  <a:solidFill>
                    <a:srgbClr val="45413F"/>
                  </a:solidFill>
                  <a:headEnd type="diamond"/>
                </a:ln>
                <a:effectLst/>
              </c:spPr>
            </c:marker>
            <c:bubble3D val="0"/>
            <c:spPr>
              <a:ln w="22225" cap="rnd">
                <a:solidFill>
                  <a:srgbClr val="45413F"/>
                </a:solidFill>
                <a:round/>
              </a:ln>
              <a:effectLst/>
            </c:spPr>
            <c:extLst>
              <c:ext xmlns:c16="http://schemas.microsoft.com/office/drawing/2014/chart" uri="{C3380CC4-5D6E-409C-BE32-E72D297353CC}">
                <c16:uniqueId val="{0000000C-273E-4C1F-A358-321468051D74}"/>
              </c:ext>
            </c:extLst>
          </c:dPt>
          <c:cat>
            <c:strRef>
              <c:f>'Synthèse globale'!$F$6:$F$18</c:f>
              <c:strCache>
                <c:ptCount val="13"/>
                <c:pt idx="0">
                  <c:v>Stratégies</c:v>
                </c:pt>
                <c:pt idx="1">
                  <c:v>Innovation</c:v>
                </c:pt>
                <c:pt idx="2">
                  <c:v>Risques &amp; conformité</c:v>
                </c:pt>
                <c:pt idx="3">
                  <c:v>RSE</c:v>
                </c:pt>
                <c:pt idx="4">
                  <c:v>Données &amp; IA</c:v>
                </c:pt>
                <c:pt idx="5">
                  <c:v>Architecture</c:v>
                </c:pt>
                <c:pt idx="6">
                  <c:v>Portefeuille de projets</c:v>
                </c:pt>
                <c:pt idx="7">
                  <c:v>Projets</c:v>
                </c:pt>
                <c:pt idx="8">
                  <c:v>Services</c:v>
                </c:pt>
                <c:pt idx="9">
                  <c:v>Ressources humaines </c:v>
                </c:pt>
                <c:pt idx="10">
                  <c:v>Prestataires &amp; fournisseurs</c:v>
                </c:pt>
                <c:pt idx="11">
                  <c:v>Budget &amp; performance</c:v>
                </c:pt>
                <c:pt idx="12">
                  <c:v>Marketing &amp; communication</c:v>
                </c:pt>
              </c:strCache>
            </c:strRef>
          </c:cat>
          <c:val>
            <c:numRef>
              <c:f>'Synthèse globale'!$G$6:$G$18</c:f>
              <c:numCache>
                <c:formatCode>#\ ##0.0" / 5"</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72F-4621-8424-DE5795E83156}"/>
            </c:ext>
          </c:extLst>
        </c:ser>
        <c:dLbls>
          <c:showLegendKey val="0"/>
          <c:showVal val="0"/>
          <c:showCatName val="0"/>
          <c:showSerName val="0"/>
          <c:showPercent val="0"/>
          <c:showBubbleSize val="0"/>
        </c:dLbls>
        <c:axId val="1416718288"/>
        <c:axId val="1154438384"/>
      </c:radarChart>
      <c:catAx>
        <c:axId val="141671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rgbClr val="203B7D"/>
                </a:solidFill>
                <a:latin typeface="+mn-lt"/>
                <a:ea typeface="+mn-ea"/>
                <a:cs typeface="+mn-cs"/>
              </a:defRPr>
            </a:pPr>
            <a:endParaRPr lang="fr-FR"/>
          </a:p>
        </c:txPr>
        <c:crossAx val="1154438384"/>
        <c:crosses val="autoZero"/>
        <c:auto val="1"/>
        <c:lblAlgn val="ctr"/>
        <c:lblOffset val="100"/>
        <c:noMultiLvlLbl val="0"/>
      </c:catAx>
      <c:valAx>
        <c:axId val="11544383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in"/>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ln>
                  <a:noFill/>
                </a:ln>
                <a:solidFill>
                  <a:srgbClr val="203B7D"/>
                </a:solidFill>
                <a:effectLst/>
                <a:latin typeface="+mn-lt"/>
                <a:ea typeface="+mn-ea"/>
                <a:cs typeface="+mn-cs"/>
              </a:defRPr>
            </a:pPr>
            <a:endParaRPr lang="fr-FR"/>
          </a:p>
        </c:txPr>
        <c:crossAx val="1416718288"/>
        <c:crosses val="autoZero"/>
        <c:crossBetween val="between"/>
        <c:majorUnit val="0.5"/>
        <c:min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Suppl!$C3"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Radio" firstButton="1" fmlaLink="Suppl!$I37"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Radio" firstButton="1" fmlaLink="Suppl!$I41"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firstButton="1" fmlaLink="Suppl!$I40"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firstButton="1" fmlaLink="Suppl!$I39"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Radio" firstButton="1" fmlaLink="Suppl!$J$3" lockText="1" noThreeD="1"/>
</file>

<file path=xl/ctrlProps/ctrlProp1023.xml><?xml version="1.0" encoding="utf-8"?>
<formControlPr xmlns="http://schemas.microsoft.com/office/spreadsheetml/2009/9/main" objectType="Radio"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Radio" lockText="1"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Radio" firstButton="1" fmlaLink="Suppl!$J$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firstButton="1" fmlaLink="Suppl!$J10"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fmlaLink="Suppl!$J14"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firstButton="1" fmlaLink="Suppl!$C26"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Radio" firstButton="1" fmlaLink="Suppl!$J13"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Radio" firstButton="1" fmlaLink="Suppl!$J12"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Radio" firstButton="1" fmlaLink="Suppl!$J11" lockText="1" noThreeD="1"/>
</file>

<file path=xl/ctrlProps/ctrlProp1053.xml><?xml version="1.0" encoding="utf-8"?>
<formControlPr xmlns="http://schemas.microsoft.com/office/spreadsheetml/2009/9/main" objectType="Radio"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fmlaLink="Suppl!$J16"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Radio" firstButton="1" fmlaLink="Suppl!$J17"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Radio" firstButton="1" fmlaLink="Suppl!$J19"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Radio" firstButton="1" fmlaLink="Suppl!$J18"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Radio" firstButton="1" fmlaLink="Suppl!$J24"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Radio" firstButton="1" fmlaLink="Suppl!$J23"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lockText="1"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Radio" firstButton="1" fmlaLink="Suppl!$J26"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firstButton="1" fmlaLink="Suppl!$C25"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Radio" firstButton="1" fmlaLink="Suppl!$J25"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Radio" firstButton="1" fmlaLink="Suppl!$J31"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Radio" firstButton="1" fmlaLink="Suppl!$J30"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fmlaLink="Suppl!$J34"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Radio" firstButton="1" fmlaLink="Suppl!$J33"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fmlaLink="Suppl!$J32"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firstButton="1" fmlaLink="Suppl!$J$9"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fmlaLink="Suppl!$J20"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Radio" firstButton="1" fmlaLink="Suppl!$J38"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Radio" firstButton="1" fmlaLink="Suppl!$J37"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Suppl!$C28"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Radio" firstButton="1" fmlaLink="Suppl!$J41"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Radio"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Radio" firstButton="1" fmlaLink="Suppl!$J40" lockText="1" noThreeD="1"/>
</file>

<file path=xl/ctrlProps/ctrlProp1149.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lockText="1"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Radio" firstButton="1" fmlaLink="Suppl!$J39" lockText="1" noThreeD="1"/>
</file>

<file path=xl/ctrlProps/ctrlProp1154.xml><?xml version="1.0" encoding="utf-8"?>
<formControlPr xmlns="http://schemas.microsoft.com/office/spreadsheetml/2009/9/main" objectType="Radio" lockText="1" noThreeD="1"/>
</file>

<file path=xl/ctrlProps/ctrlProp1155.xml><?xml version="1.0" encoding="utf-8"?>
<formControlPr xmlns="http://schemas.microsoft.com/office/spreadsheetml/2009/9/main" objectType="Radio" lockText="1" noThreeD="1"/>
</file>

<file path=xl/ctrlProps/ctrlProp1156.xml><?xml version="1.0" encoding="utf-8"?>
<formControlPr xmlns="http://schemas.microsoft.com/office/spreadsheetml/2009/9/main" objectType="Radio" lockText="1"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Radio" firstButton="1" fmlaLink="Suppl!$J45"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Radio" firstButton="1" fmlaLink="Suppl!$J44"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Radio" firstButton="1" fmlaLink="Suppl!$J46"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Radio" firstButton="1" fmlaLink="Suppl!$K$3"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firstButton="1" fmlaLink="Suppl!$K$2"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firstButton="1" fmlaLink="Suppl!$K$7"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Radio" firstButton="1" fmlaLink="Suppl!$K$6" lockText="1" noThreeD="1"/>
</file>

<file path=xl/ctrlProps/ctrlProp119.xml><?xml version="1.0" encoding="utf-8"?>
<formControlPr xmlns="http://schemas.microsoft.com/office/spreadsheetml/2009/9/main" objectType="Radio" firstButton="1" fmlaLink="Suppl!$C31"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fmlaLink="Suppl!$K$5"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Radio" firstButton="1" fmlaLink="Suppl!$K$4" lockText="1" noThreeD="1"/>
</file>

<file path=xl/ctrlProps/ctrlProp12.xml><?xml version="1.0" encoding="utf-8"?>
<formControlPr xmlns="http://schemas.microsoft.com/office/spreadsheetml/2009/9/main" objectType="Radio" firstButton="1" fmlaLink="Suppl!$C$8" lockText="1" noThreeD="1"/>
</file>

<file path=xl/ctrlProps/ctrlProp120.xml><?xml version="1.0" encoding="utf-8"?>
<formControlPr xmlns="http://schemas.microsoft.com/office/spreadsheetml/2009/9/main" objectType="Radio"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Radio" firstButton="1" fmlaLink="Suppl!$K10"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Radio" firstButton="1" fmlaLink="Suppl!$K11" lockText="1" noThreeD="1"/>
</file>

<file path=xl/ctrlProps/ctrlProp121.xml><?xml version="1.0" encoding="utf-8"?>
<formControlPr xmlns="http://schemas.microsoft.com/office/spreadsheetml/2009/9/main" objectType="Radio"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Radio" firstButton="1" fmlaLink="Suppl!$K16"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fmlaLink="Suppl!$K17" lockText="1" noThreeD="1"/>
</file>

<file path=xl/ctrlProps/ctrlProp122.xml><?xml version="1.0" encoding="utf-8"?>
<formControlPr xmlns="http://schemas.microsoft.com/office/spreadsheetml/2009/9/main" objectType="Radio"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Radio" firstButton="1" fmlaLink="Suppl!$K19"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Radio" firstButton="1" fmlaLink="Suppl!$K18" lockText="1"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Radio" firstButton="1" fmlaLink="Suppl!$K24"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Radio" firstButton="1" fmlaLink="Suppl!$K23" lockText="1" noThreeD="1"/>
</file>

<file path=xl/ctrlProps/ctrlProp124.xml><?xml version="1.0" encoding="utf-8"?>
<formControlPr xmlns="http://schemas.microsoft.com/office/spreadsheetml/2009/9/main" objectType="Radio" firstButton="1" fmlaLink="Suppl!$C30"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Radio" firstButton="1" fmlaLink="Suppl!$K25"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Radio" firstButton="1" fmlaLink="Suppl!$K31" lockText="1" noThreeD="1"/>
</file>

<file path=xl/ctrlProps/ctrlProp125.xml><?xml version="1.0" encoding="utf-8"?>
<formControlPr xmlns="http://schemas.microsoft.com/office/spreadsheetml/2009/9/main" objectType="Radio"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fmlaLink="Suppl!$K30"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Radio"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Radio" firstButton="1" fmlaLink="Suppl!$K34" lockText="1" noThreeD="1"/>
</file>

<file path=xl/ctrlProps/ctrlProp126.xml><?xml version="1.0" encoding="utf-8"?>
<formControlPr xmlns="http://schemas.microsoft.com/office/spreadsheetml/2009/9/main" objectType="Radio"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Radio" firstButton="1" fmlaLink="Suppl!$K33"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Radio" firstButton="1" fmlaLink="Suppl!$K32" lockText="1" noThreeD="1"/>
</file>

<file path=xl/ctrlProps/ctrlProp127.xml><?xml version="1.0" encoding="utf-8"?>
<formControlPr xmlns="http://schemas.microsoft.com/office/spreadsheetml/2009/9/main" objectType="Radio"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Radio" firstButton="1" fmlaLink="Suppl!$K$9"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Radio" firstButton="1" fmlaLink="Suppl!$K20" lockText="1"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Radio"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Radio" firstButton="1" fmlaLink="Suppl!$K36" lockText="1" noThreeD="1"/>
</file>

<file path=xl/ctrlProps/ctrlProp1285.xml><?xml version="1.0" encoding="utf-8"?>
<formControlPr xmlns="http://schemas.microsoft.com/office/spreadsheetml/2009/9/main" objectType="Radio"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Radio" firstButton="1" fmlaLink="Suppl!$K35" lockText="1" noThreeD="1"/>
</file>

<file path=xl/ctrlProps/ctrlProp129.xml><?xml version="1.0" encoding="utf-8"?>
<formControlPr xmlns="http://schemas.microsoft.com/office/spreadsheetml/2009/9/main" objectType="Radio" firstButton="1" fmlaLink="Suppl!$C34" lockText="1" noThreeD="1"/>
</file>

<file path=xl/ctrlProps/ctrlProp1290.xml><?xml version="1.0" encoding="utf-8"?>
<formControlPr xmlns="http://schemas.microsoft.com/office/spreadsheetml/2009/9/main" objectType="Radio" lockText="1" noThreeD="1"/>
</file>

<file path=xl/ctrlProps/ctrlProp1291.xml><?xml version="1.0" encoding="utf-8"?>
<formControlPr xmlns="http://schemas.microsoft.com/office/spreadsheetml/2009/9/main" objectType="Radio"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Radio" firstButton="1" fmlaLink="Suppl!$K21"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Radio" firstButton="1" fmlaLink="Suppl!$L$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Radio" firstButton="1" fmlaLink="Suppl!$L$2"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10.xml><?xml version="1.0" encoding="utf-8"?>
<formControlPr xmlns="http://schemas.microsoft.com/office/spreadsheetml/2009/9/main" objectType="Radio" firstButton="1" fmlaLink="Suppl!$L$7"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Radio" firstButton="1" fmlaLink="Suppl!$L$6"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Radio" firstButton="1" fmlaLink="Suppl!$L$5"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Radio" firstButton="1" fmlaLink="Suppl!$L$4"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Radio" firstButton="1" fmlaLink="Suppl!$L10"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Radio" firstButton="1" fmlaLink="Suppl!$L11"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Suppl!$C33" lockText="1" noThreeD="1"/>
</file>

<file path=xl/ctrlProps/ctrlProp1340.xml><?xml version="1.0" encoding="utf-8"?>
<formControlPr xmlns="http://schemas.microsoft.com/office/spreadsheetml/2009/9/main" objectType="Radio" firstButton="1" fmlaLink="Suppl!$L16"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Radio" firstButton="1" fmlaLink="Suppl!$L17"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Radio" firstButton="1" fmlaLink="Suppl!$L18"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Radio" firstButton="1" fmlaLink="Suppl!$L24" lockText="1" noThreeD="1"/>
</file>

<file path=xl/ctrlProps/ctrlProp1356.xml><?xml version="1.0" encoding="utf-8"?>
<formControlPr xmlns="http://schemas.microsoft.com/office/spreadsheetml/2009/9/main" objectType="Radio"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firstButton="1" fmlaLink="Suppl!$L23"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Radio" firstButton="1" fmlaLink="Suppl!$L27"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Radio" firstButton="1" fmlaLink="Suppl!$L26"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Radio" firstButton="1" fmlaLink="Suppl!$L25"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Radio" firstButton="1" fmlaLink="Suppl!$L28"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fmlaLink="Suppl!$L31"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firstButton="1" fmlaLink="Suppl!$C32" lockText="1"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Radio" firstButton="1" fmlaLink="Suppl!$L30"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Radio" firstButton="1" fmlaLink="Suppl!$L32"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fmlaLink="Suppl!$L$9"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Radio" firstButton="1" fmlaLink="Suppl!$L38"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Radio" firstButton="1" fmlaLink="Suppl!$L37"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Radio" firstButton="1" fmlaLink="Suppl!$L41"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Radio" firstButton="1" fmlaLink="Suppl!$L40"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Radio" firstButton="1" fmlaLink="Suppl!$L39"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Radio" firstButton="1" fmlaLink="Suppl!$L42"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Radio" firstButton="1" fmlaLink="Suppl!$M$3"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fmlaLink="Suppl!$M$2"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firstButton="1" fmlaLink="Suppl!$M10"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firstButton="1" fmlaLink="Suppl!$C$9" lockText="1"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Radio" firstButton="1" fmlaLink="Suppl!$M14"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Radio" firstButton="1" fmlaLink="Suppl!$M13"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fmlaLink="Suppl!$M12"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Radio" firstButton="1" fmlaLink="Suppl!$M11"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Radio" firstButton="1" fmlaLink="Suppl!$M16"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Radio" firstButton="1" fmlaLink="Suppl!$M17"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Radio" firstButton="1" fmlaLink="Suppl!$M19"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Radio" firstButton="1" fmlaLink="Suppl!$M18"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Radio" firstButton="1" fmlaLink="Suppl!$M24"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Radio" firstButton="1" fmlaLink="Suppl!$M23"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firstButton="1" fmlaLink="Suppl!$D$3" lockText="1"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Radio" firstButton="1" fmlaLink="Suppl!$M27"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Radio" firstButton="1" fmlaLink="Suppl!$M26"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Radio" firstButton="1" fmlaLink="Suppl!$M25"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Radio" firstButton="1" fmlaLink="Suppl!$M31"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Radio" firstButton="1" fmlaLink="Suppl!$M30"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Radio" firstButton="1" fmlaLink="Suppl!$M34"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Radio" firstButton="1" fmlaLink="Suppl!$M33"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Radio" firstButton="1" fmlaLink="Suppl!$M32"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Radio" firstButton="1" fmlaLink="Suppl!$M$9"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lockText="1"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Radio" firstButton="1" fmlaLink="Suppl!$M20"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Radio" firstButton="1" fmlaLink="Suppl!$M36"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Radio" firstButton="1" fmlaLink="Suppl!$M35"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firstButton="1" fmlaLink="Suppl!$D$2"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Radio" firstButton="1" fmlaLink="Suppl!$M38"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Radio" firstButton="1" fmlaLink="Suppl!$M37"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Radio" firstButton="1" fmlaLink="Suppl!$M40"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Radio" firstButton="1" fmlaLink="Suppl!$M39"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Radio" firstButton="1" fmlaLink="Suppl!$M45"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Radio" firstButton="1" fmlaLink="Suppl!$M44"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Radio" firstButton="1" fmlaLink="Suppl!$M48"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Radio" firstButton="1" fmlaLink="Suppl!$M47"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Radio" firstButton="1" fmlaLink="Suppl!$D10"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Radio" firstButton="1" fmlaLink="Suppl!$M46"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Radio" firstButton="1" fmlaLink="Suppl!$N$3"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Radio" firstButton="1" fmlaLink="Suppl!$N$2"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firstButton="1" fmlaLink="Suppl!$N$7"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Radio" firstButton="1" fmlaLink="Suppl!$N$6"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Radio" firstButton="1" fmlaLink="Suppl!$N$5"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lockText="1"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Radio" firstButton="1" fmlaLink="Suppl!$N$4"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Radio" firstButton="1" fmlaLink="Suppl!$N11" lockText="1" noThreeD="1"/>
</file>

<file path=xl/ctrlProps/ctrlProp1639.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Radio" lockText="1"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Radio" firstButton="1" fmlaLink="Suppl!$N14" lockText="1" noThreeD="1"/>
</file>

<file path=xl/ctrlProps/ctrlProp1644.xml><?xml version="1.0" encoding="utf-8"?>
<formControlPr xmlns="http://schemas.microsoft.com/office/spreadsheetml/2009/9/main" objectType="Radio"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Radio" firstButton="1" fmlaLink="Suppl!$N13"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firstButton="1" fmlaLink="Suppl!$D14"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Radio" firstButton="1" fmlaLink="Suppl!$N12"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Radio" firstButton="1" fmlaLink="Suppl!$N16" lockText="1" noThreeD="1"/>
</file>

<file path=xl/ctrlProps/ctrlProp1659.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60.xml><?xml version="1.0" encoding="utf-8"?>
<formControlPr xmlns="http://schemas.microsoft.com/office/spreadsheetml/2009/9/main" objectType="Radio"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Radio" firstButton="1" fmlaLink="Suppl!$N17"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Radio" firstButton="1" fmlaLink="Suppl!$N19"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70.xml><?xml version="1.0" encoding="utf-8"?>
<formControlPr xmlns="http://schemas.microsoft.com/office/spreadsheetml/2009/9/main" objectType="Radio" lockText="1"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Radio" firstButton="1" fmlaLink="Suppl!$N18"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Radio" firstButton="1" fmlaLink="Suppl!$N24"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Radio" firstButton="1" fmlaLink="Suppl!$N23"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Radio" firstButton="1" fmlaLink="Suppl!$N27"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Radio" firstButton="1" fmlaLink="Suppl!$N26"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Radio" firstButton="1" fmlaLink="Suppl!$N25"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firstButton="1" fmlaLink="Suppl!$C$7" lockText="1" noThreeD="1"/>
</file>

<file path=xl/ctrlProps/ctrlProp170.xml><?xml version="1.0" encoding="utf-8"?>
<formControlPr xmlns="http://schemas.microsoft.com/office/spreadsheetml/2009/9/main" objectType="Radio" firstButton="1" fmlaLink="Suppl!$D13"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Radio" firstButton="1" fmlaLink="Suppl!$N31"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Radio" firstButton="1" fmlaLink="Suppl!$N30"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Radio" firstButton="1" fmlaLink="Suppl!$N34"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Radio" firstButton="1" fmlaLink="Suppl!$N33"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Radio" firstButton="1" fmlaLink="Suppl!$N32"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Radio" firstButton="1" fmlaLink="Suppl!$N$10"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30.xml><?xml version="1.0" encoding="utf-8"?>
<formControlPr xmlns="http://schemas.microsoft.com/office/spreadsheetml/2009/9/main" objectType="Radio"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Radio" firstButton="1" fmlaLink="Suppl!$N20" lockText="1" noThreeD="1"/>
</file>

<file path=xl/ctrlProps/ctrlProp1734.xml><?xml version="1.0" encoding="utf-8"?>
<formControlPr xmlns="http://schemas.microsoft.com/office/spreadsheetml/2009/9/main" objectType="Radio"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Radio" firstButton="1" fmlaLink="Suppl!$N22" lockText="1" noThreeD="1"/>
</file>

<file path=xl/ctrlProps/ctrlProp1739.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Radio" firstButton="1" fmlaLink="Suppl!$N35"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Radio" firstButton="1" fmlaLink="Suppl!$N38"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firstButton="1" fmlaLink="Suppl!$D12"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lockText="1"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Radio" firstButton="1" fmlaLink="Suppl!$N37"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Radio" lockText="1"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Radio" firstButton="1" fmlaLink="Suppl!$N40" lockText="1" noThreeD="1"/>
</file>

<file path=xl/ctrlProps/ctrlProp1759.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Radio" firstButton="1" fmlaLink="Suppl!$N39"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Radio" firstButton="1" fmlaLink="Suppl!$N21" lockText="1" noThreeD="1"/>
</file>

<file path=xl/ctrlProps/ctrlProp1769.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Radio" firstButton="1" fmlaLink="Suppl!$N$9"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Radio" firstButton="1" fmlaLink="Suppl!$N$8" lockText="1" noThreeD="1"/>
</file>

<file path=xl/ctrlProps/ctrlProp178.xml><?xml version="1.0" encoding="utf-8"?>
<formControlPr xmlns="http://schemas.microsoft.com/office/spreadsheetml/2009/9/main" objectType="Radio" lockText="1"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Radio" firstButton="1" fmlaLink="Suppl!$O$3"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Radio" firstButton="1" fmlaLink="Suppl!$O$2"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firstButton="1" fmlaLink="Suppl!$O$7"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firstButton="1" fmlaLink="Suppl!$D11" lockText="1" noThreeD="1"/>
</file>

<file path=xl/ctrlProps/ctrlProp1800.xml><?xml version="1.0" encoding="utf-8"?>
<formControlPr xmlns="http://schemas.microsoft.com/office/spreadsheetml/2009/9/main" objectType="Radio" firstButton="1" fmlaLink="Suppl!$O$6"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lockText="1"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Radio" firstButton="1" fmlaLink="Suppl!$O$5"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Suppl!$O$4"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Radio" firstButton="1" fmlaLink="Suppl!$O10"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Radio" lockText="1" noThreeD="1"/>
</file>

<file path=xl/ctrlProps/ctrlProp1820.xml><?xml version="1.0" encoding="utf-8"?>
<formControlPr xmlns="http://schemas.microsoft.com/office/spreadsheetml/2009/9/main" objectType="Radio" firstButton="1" fmlaLink="Suppl!$O13"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Radio" firstButton="1" fmlaLink="Suppl!$O12"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Radio" firstButton="1" fmlaLink="Suppl!$O11"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Radio" lockText="1"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Radio" firstButton="1" fmlaLink="Suppl!$O16" lockText="1" noThreeD="1"/>
</file>

<file path=xl/ctrlProps/ctrlProp1836.xml><?xml version="1.0" encoding="utf-8"?>
<formControlPr xmlns="http://schemas.microsoft.com/office/spreadsheetml/2009/9/main" objectType="Radio" lockText="1" noThreeD="1"/>
</file>

<file path=xl/ctrlProps/ctrlProp1837.xml><?xml version="1.0" encoding="utf-8"?>
<formControlPr xmlns="http://schemas.microsoft.com/office/spreadsheetml/2009/9/main" objectType="Radio"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Radio" firstButton="1" fmlaLink="Suppl!$O17" lockText="1" noThreeD="1"/>
</file>

<file path=xl/ctrlProps/ctrlProp1841.xml><?xml version="1.0" encoding="utf-8"?>
<formControlPr xmlns="http://schemas.microsoft.com/office/spreadsheetml/2009/9/main" objectType="Radio"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lockText="1"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Radio" firstButton="1" fmlaLink="Suppl!$O19"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lockText="1" noThreeD="1"/>
</file>

<file path=xl/ctrlProps/ctrlProp1848.xml><?xml version="1.0" encoding="utf-8"?>
<formControlPr xmlns="http://schemas.microsoft.com/office/spreadsheetml/2009/9/main" objectType="Radio" lockText="1"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Suppl!$D16" lockText="1" noThreeD="1"/>
</file>

<file path=xl/ctrlProps/ctrlProp1850.xml><?xml version="1.0" encoding="utf-8"?>
<formControlPr xmlns="http://schemas.microsoft.com/office/spreadsheetml/2009/9/main" objectType="Radio" firstButton="1" fmlaLink="Suppl!$O18" lockText="1" noThreeD="1"/>
</file>

<file path=xl/ctrlProps/ctrlProp1851.xml><?xml version="1.0" encoding="utf-8"?>
<formControlPr xmlns="http://schemas.microsoft.com/office/spreadsheetml/2009/9/main" objectType="Radio" lockText="1" noThreeD="1"/>
</file>

<file path=xl/ctrlProps/ctrlProp1852.xml><?xml version="1.0" encoding="utf-8"?>
<formControlPr xmlns="http://schemas.microsoft.com/office/spreadsheetml/2009/9/main" objectType="Radio" lockText="1" noThreeD="1"/>
</file>

<file path=xl/ctrlProps/ctrlProp1853.xml><?xml version="1.0" encoding="utf-8"?>
<formControlPr xmlns="http://schemas.microsoft.com/office/spreadsheetml/2009/9/main" objectType="Radio" lockText="1"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Radio" firstButton="1" fmlaLink="Suppl!$O25" lockText="1" noThreeD="1"/>
</file>

<file path=xl/ctrlProps/ctrlProp1856.xml><?xml version="1.0" encoding="utf-8"?>
<formControlPr xmlns="http://schemas.microsoft.com/office/spreadsheetml/2009/9/main" objectType="Radio"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Radio" lockText="1" noThreeD="1"/>
</file>

<file path=xl/ctrlProps/ctrlProp1860.xml><?xml version="1.0" encoding="utf-8"?>
<formControlPr xmlns="http://schemas.microsoft.com/office/spreadsheetml/2009/9/main" objectType="Radio" firstButton="1" fmlaLink="Suppl!$O24" lockText="1" noThreeD="1"/>
</file>

<file path=xl/ctrlProps/ctrlProp1861.xml><?xml version="1.0" encoding="utf-8"?>
<formControlPr xmlns="http://schemas.microsoft.com/office/spreadsheetml/2009/9/main" objectType="Radio"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lockText="1"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Radio" firstButton="1" fmlaLink="Suppl!$O28"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lockText="1"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Radio" lockText="1" noThreeD="1"/>
</file>

<file path=xl/ctrlProps/ctrlProp1870.xml><?xml version="1.0" encoding="utf-8"?>
<formControlPr xmlns="http://schemas.microsoft.com/office/spreadsheetml/2009/9/main" objectType="Radio" firstButton="1" fmlaLink="Suppl!$O27"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Radio" lockText="1" noThreeD="1"/>
</file>

<file path=xl/ctrlProps/ctrlProp1873.xml><?xml version="1.0" encoding="utf-8"?>
<formControlPr xmlns="http://schemas.microsoft.com/office/spreadsheetml/2009/9/main" objectType="Radio" lockText="1"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Radio" firstButton="1" fmlaLink="Suppl!$O26" lockText="1" noThreeD="1"/>
</file>

<file path=xl/ctrlProps/ctrlProp1876.xml><?xml version="1.0" encoding="utf-8"?>
<formControlPr xmlns="http://schemas.microsoft.com/office/spreadsheetml/2009/9/main" objectType="Radio" lockText="1" noThreeD="1"/>
</file>

<file path=xl/ctrlProps/ctrlProp1877.xml><?xml version="1.0" encoding="utf-8"?>
<formControlPr xmlns="http://schemas.microsoft.com/office/spreadsheetml/2009/9/main" objectType="Radio"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Radio" lockText="1" noThreeD="1"/>
</file>

<file path=xl/ctrlProps/ctrlProp1880.xml><?xml version="1.0" encoding="utf-8"?>
<formControlPr xmlns="http://schemas.microsoft.com/office/spreadsheetml/2009/9/main" objectType="Radio" firstButton="1" fmlaLink="Suppl!$O$9"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Radio" firstButton="1" fmlaLink="Suppl!$O20" lockText="1" noThreeD="1"/>
</file>

<file path=xl/ctrlProps/ctrlProp1886.xml><?xml version="1.0" encoding="utf-8"?>
<formControlPr xmlns="http://schemas.microsoft.com/office/spreadsheetml/2009/9/main" objectType="Radio" lockText="1" noThreeD="1"/>
</file>

<file path=xl/ctrlProps/ctrlProp1887.xml><?xml version="1.0" encoding="utf-8"?>
<formControlPr xmlns="http://schemas.microsoft.com/office/spreadsheetml/2009/9/main" objectType="Radio" lockText="1" noThreeD="1"/>
</file>

<file path=xl/ctrlProps/ctrlProp1888.xml><?xml version="1.0" encoding="utf-8"?>
<formControlPr xmlns="http://schemas.microsoft.com/office/spreadsheetml/2009/9/main" objectType="Radio" lockText="1"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Radio" firstButton="1" fmlaLink="Suppl!$O22" lockText="1" noThreeD="1"/>
</file>

<file path=xl/ctrlProps/ctrlProp1891.xml><?xml version="1.0" encoding="utf-8"?>
<formControlPr xmlns="http://schemas.microsoft.com/office/spreadsheetml/2009/9/main" objectType="Radio" lockText="1" noThreeD="1"/>
</file>

<file path=xl/ctrlProps/ctrlProp1892.xml><?xml version="1.0" encoding="utf-8"?>
<formControlPr xmlns="http://schemas.microsoft.com/office/spreadsheetml/2009/9/main" objectType="Radio" lockText="1" noThreeD="1"/>
</file>

<file path=xl/ctrlProps/ctrlProp1893.xml><?xml version="1.0" encoding="utf-8"?>
<formControlPr xmlns="http://schemas.microsoft.com/office/spreadsheetml/2009/9/main" objectType="Radio" lockText="1"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Radio" firstButton="1" fmlaLink="Suppl!$O21" lockText="1" noThreeD="1"/>
</file>

<file path=xl/ctrlProps/ctrlProp1896.xml><?xml version="1.0" encoding="utf-8"?>
<formControlPr xmlns="http://schemas.microsoft.com/office/spreadsheetml/2009/9/main" objectType="Radio" lockText="1" noThreeD="1"/>
</file>

<file path=xl/ctrlProps/ctrlProp1897.xml><?xml version="1.0" encoding="utf-8"?>
<formControlPr xmlns="http://schemas.microsoft.com/office/spreadsheetml/2009/9/main" objectType="Radio" lockText="1" noThreeD="1"/>
</file>

<file path=xl/ctrlProps/ctrlProp1898.xml><?xml version="1.0" encoding="utf-8"?>
<formControlPr xmlns="http://schemas.microsoft.com/office/spreadsheetml/2009/9/main" objectType="Radio" lockText="1"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firstButton="1" fmlaLink="Suppl!$D17" lockText="1" noThreeD="1"/>
</file>

<file path=xl/ctrlProps/ctrlProp1900.xml><?xml version="1.0" encoding="utf-8"?>
<formControlPr xmlns="http://schemas.microsoft.com/office/spreadsheetml/2009/9/main" objectType="Radio" firstButton="1" fmlaLink="Suppl!$O23" lockText="1" noThreeD="1"/>
</file>

<file path=xl/ctrlProps/ctrlProp1901.xml><?xml version="1.0" encoding="utf-8"?>
<formControlPr xmlns="http://schemas.microsoft.com/office/spreadsheetml/2009/9/main" objectType="Radio" lockText="1" noThreeD="1"/>
</file>

<file path=xl/ctrlProps/ctrlProp1902.xml><?xml version="1.0" encoding="utf-8"?>
<formControlPr xmlns="http://schemas.microsoft.com/office/spreadsheetml/2009/9/main" objectType="Radio"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Radio" checked="Checked" firstButton="1" fmlaLink="Suppl!$U$3"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lockText="1" noThreeD="1"/>
</file>

<file path=xl/ctrlProps/ctrlProp1908.xml><?xml version="1.0" encoding="utf-8"?>
<formControlPr xmlns="http://schemas.microsoft.com/office/spreadsheetml/2009/9/main" objectType="Radio" lockText="1"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Radio" lockText="1"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Radio" checked="Checked" firstButton="1" fmlaLink="Suppl!$U$2"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lockText="1" noThreeD="1"/>
</file>

<file path=xl/ctrlProps/ctrlProp1916.xml><?xml version="1.0" encoding="utf-8"?>
<formControlPr xmlns="http://schemas.microsoft.com/office/spreadsheetml/2009/9/main" objectType="Radio" checked="Checked" firstButton="1" fmlaLink="Suppl!$U$8"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Radio" checked="Checked" firstButton="1" fmlaLink="Suppl!$U$7"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Radio"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Radio" checked="Checked" firstButton="1" fmlaLink="Suppl!$U$6" lockText="1" noThreeD="1"/>
</file>

<file path=xl/ctrlProps/ctrlProp1927.xml><?xml version="1.0" encoding="utf-8"?>
<formControlPr xmlns="http://schemas.microsoft.com/office/spreadsheetml/2009/9/main" objectType="Radio" lockText="1" noThreeD="1"/>
</file>

<file path=xl/ctrlProps/ctrlProp1928.xml><?xml version="1.0" encoding="utf-8"?>
<formControlPr xmlns="http://schemas.microsoft.com/office/spreadsheetml/2009/9/main" objectType="Radio" lockText="1" noThreeD="1"/>
</file>

<file path=xl/ctrlProps/ctrlProp1929.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Radio" checked="Checked" firstButton="1" fmlaLink="Suppl!$U$5" lockText="1" noThreeD="1"/>
</file>

<file path=xl/ctrlProps/ctrlProp1932.xml><?xml version="1.0" encoding="utf-8"?>
<formControlPr xmlns="http://schemas.microsoft.com/office/spreadsheetml/2009/9/main" objectType="Radio"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Radio" lockText="1"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Radio" checked="Checked" firstButton="1" fmlaLink="Suppl!$U$4" lockText="1" noThreeD="1"/>
</file>

<file path=xl/ctrlProps/ctrlProp1937.xml><?xml version="1.0" encoding="utf-8"?>
<formControlPr xmlns="http://schemas.microsoft.com/office/spreadsheetml/2009/9/main" objectType="Radio"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Radio" checked="Checked" firstButton="1" fmlaLink="Suppl!$U10"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lockText="1" noThreeD="1"/>
</file>

<file path=xl/ctrlProps/ctrlProp1944.xml><?xml version="1.0" encoding="utf-8"?>
<formControlPr xmlns="http://schemas.microsoft.com/office/spreadsheetml/2009/9/main" objectType="Radio" lockText="1" noThreeD="1"/>
</file>

<file path=xl/ctrlProps/ctrlProp1945.xml><?xml version="1.0" encoding="utf-8"?>
<formControlPr xmlns="http://schemas.microsoft.com/office/spreadsheetml/2009/9/main" objectType="GBox" noThreeD="1"/>
</file>

<file path=xl/ctrlProps/ctrlProp1946.xml><?xml version="1.0" encoding="utf-8"?>
<formControlPr xmlns="http://schemas.microsoft.com/office/spreadsheetml/2009/9/main" objectType="GBox" noThreeD="1"/>
</file>

<file path=xl/ctrlProps/ctrlProp1947.xml><?xml version="1.0" encoding="utf-8"?>
<formControlPr xmlns="http://schemas.microsoft.com/office/spreadsheetml/2009/9/main" objectType="Radio" checked="Checked" firstButton="1" fmlaLink="Suppl!$U15" lockText="1" noThreeD="1"/>
</file>

<file path=xl/ctrlProps/ctrlProp1948.xml><?xml version="1.0" encoding="utf-8"?>
<formControlPr xmlns="http://schemas.microsoft.com/office/spreadsheetml/2009/9/main" objectType="Radio" lockText="1" noThreeD="1"/>
</file>

<file path=xl/ctrlProps/ctrlProp1949.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firstButton="1" fmlaLink="Suppl!$D19" lockText="1" noThreeD="1"/>
</file>

<file path=xl/ctrlProps/ctrlProp1950.xml><?xml version="1.0" encoding="utf-8"?>
<formControlPr xmlns="http://schemas.microsoft.com/office/spreadsheetml/2009/9/main" objectType="Radio" lockText="1"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Radio" checked="Checked" firstButton="1" fmlaLink="Suppl!$U14" lockText="1" noThreeD="1"/>
</file>

<file path=xl/ctrlProps/ctrlProp1953.xml><?xml version="1.0" encoding="utf-8"?>
<formControlPr xmlns="http://schemas.microsoft.com/office/spreadsheetml/2009/9/main" objectType="Radio"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lockText="1"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Radio" checked="Checked" firstButton="1" fmlaLink="Suppl!$U13"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GBox" noThreeD="1"/>
</file>

<file path=xl/ctrlProps/ctrlProp1962.xml><?xml version="1.0" encoding="utf-8"?>
<formControlPr xmlns="http://schemas.microsoft.com/office/spreadsheetml/2009/9/main" objectType="Radio" checked="Checked" firstButton="1" fmlaLink="Suppl!$U12"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Radio" checked="Checked" firstButton="1" fmlaLink="Suppl!$U11"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Radio" lockText="1"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Radio" checked="Checked" firstButton="1" fmlaLink="Suppl!$U16" lockText="1" noThreeD="1"/>
</file>

<file path=xl/ctrlProps/ctrlProp1973.xml><?xml version="1.0" encoding="utf-8"?>
<formControlPr xmlns="http://schemas.microsoft.com/office/spreadsheetml/2009/9/main" objectType="Radio" lockText="1" noThreeD="1"/>
</file>

<file path=xl/ctrlProps/ctrlProp1974.xml><?xml version="1.0" encoding="utf-8"?>
<formControlPr xmlns="http://schemas.microsoft.com/office/spreadsheetml/2009/9/main" objectType="Radio" lockText="1" noThreeD="1"/>
</file>

<file path=xl/ctrlProps/ctrlProp1975.xml><?xml version="1.0" encoding="utf-8"?>
<formControlPr xmlns="http://schemas.microsoft.com/office/spreadsheetml/2009/9/main" objectType="Radio" lockText="1"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Radio" checked="Checked" firstButton="1" fmlaLink="Suppl!$U17" lockText="1" noThreeD="1"/>
</file>

<file path=xl/ctrlProps/ctrlProp1978.xml><?xml version="1.0" encoding="utf-8"?>
<formControlPr xmlns="http://schemas.microsoft.com/office/spreadsheetml/2009/9/main" objectType="Radio"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GBox" noThreeD="1"/>
</file>

<file path=xl/ctrlProps/ctrlProp1982.xml><?xml version="1.0" encoding="utf-8"?>
<formControlPr xmlns="http://schemas.microsoft.com/office/spreadsheetml/2009/9/main" objectType="Radio" checked="Checked" firstButton="1" fmlaLink="Suppl!$U19" lockText="1" noThreeD="1"/>
</file>

<file path=xl/ctrlProps/ctrlProp1983.xml><?xml version="1.0" encoding="utf-8"?>
<formControlPr xmlns="http://schemas.microsoft.com/office/spreadsheetml/2009/9/main" objectType="Radio"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lockText="1" noThreeD="1"/>
</file>

<file path=xl/ctrlProps/ctrlProp1986.xml><?xml version="1.0" encoding="utf-8"?>
<formControlPr xmlns="http://schemas.microsoft.com/office/spreadsheetml/2009/9/main" objectType="GBox" noThreeD="1"/>
</file>

<file path=xl/ctrlProps/ctrlProp1987.xml><?xml version="1.0" encoding="utf-8"?>
<formControlPr xmlns="http://schemas.microsoft.com/office/spreadsheetml/2009/9/main" objectType="Radio" checked="Checked" firstButton="1" fmlaLink="Suppl!$U18" lockText="1" noThreeD="1"/>
</file>

<file path=xl/ctrlProps/ctrlProp1988.xml><?xml version="1.0" encoding="utf-8"?>
<formControlPr xmlns="http://schemas.microsoft.com/office/spreadsheetml/2009/9/main" objectType="Radio" lockText="1" noThreeD="1"/>
</file>

<file path=xl/ctrlProps/ctrlProp1989.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GBox" noThreeD="1"/>
</file>

<file path=xl/ctrlProps/ctrlProp1992.xml><?xml version="1.0" encoding="utf-8"?>
<formControlPr xmlns="http://schemas.microsoft.com/office/spreadsheetml/2009/9/main" objectType="Radio" checked="Checked" firstButton="1" fmlaLink="Suppl!$U24" lockText="1" noThreeD="1"/>
</file>

<file path=xl/ctrlProps/ctrlProp1993.xml><?xml version="1.0" encoding="utf-8"?>
<formControlPr xmlns="http://schemas.microsoft.com/office/spreadsheetml/2009/9/main" objectType="Radio"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lockText="1"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Radio" checked="Checked" firstButton="1" fmlaLink="Suppl!$U23"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firstButton="1" fmlaLink="Suppl!$D18"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GBox" noThreeD="1"/>
</file>

<file path=xl/ctrlProps/ctrlProp2002.xml><?xml version="1.0" encoding="utf-8"?>
<formControlPr xmlns="http://schemas.microsoft.com/office/spreadsheetml/2009/9/main" objectType="GBox" noThreeD="1"/>
</file>

<file path=xl/ctrlProps/ctrlProp2003.xml><?xml version="1.0" encoding="utf-8"?>
<formControlPr xmlns="http://schemas.microsoft.com/office/spreadsheetml/2009/9/main" objectType="Radio" checked="Checked" firstButton="1" fmlaLink="Suppl!$U27" lockText="1" noThreeD="1"/>
</file>

<file path=xl/ctrlProps/ctrlProp2004.xml><?xml version="1.0" encoding="utf-8"?>
<formControlPr xmlns="http://schemas.microsoft.com/office/spreadsheetml/2009/9/main" objectType="Radio" lockText="1" noThreeD="1"/>
</file>

<file path=xl/ctrlProps/ctrlProp2005.xml><?xml version="1.0" encoding="utf-8"?>
<formControlPr xmlns="http://schemas.microsoft.com/office/spreadsheetml/2009/9/main" objectType="Radio"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GBox" noThreeD="1"/>
</file>

<file path=xl/ctrlProps/ctrlProp2008.xml><?xml version="1.0" encoding="utf-8"?>
<formControlPr xmlns="http://schemas.microsoft.com/office/spreadsheetml/2009/9/main" objectType="Radio" checked="Checked" firstButton="1" fmlaLink="Suppl!$U26" lockText="1" noThreeD="1"/>
</file>

<file path=xl/ctrlProps/ctrlProp2009.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lockText="1"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Radio" checked="Checked" firstButton="1" fmlaLink="Suppl!$U25" lockText="1" noThreeD="1"/>
</file>

<file path=xl/ctrlProps/ctrlProp2014.xml><?xml version="1.0" encoding="utf-8"?>
<formControlPr xmlns="http://schemas.microsoft.com/office/spreadsheetml/2009/9/main" objectType="Radio" lockText="1" noThreeD="1"/>
</file>

<file path=xl/ctrlProps/ctrlProp2015.xml><?xml version="1.0" encoding="utf-8"?>
<formControlPr xmlns="http://schemas.microsoft.com/office/spreadsheetml/2009/9/main" objectType="Radio" lockText="1" noThreeD="1"/>
</file>

<file path=xl/ctrlProps/ctrlProp2016.xml><?xml version="1.0" encoding="utf-8"?>
<formControlPr xmlns="http://schemas.microsoft.com/office/spreadsheetml/2009/9/main" objectType="Radio" lockText="1"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Radio" checked="Checked" firstButton="1" fmlaLink="Suppl!$U28" lockText="1" noThreeD="1"/>
</file>

<file path=xl/ctrlProps/ctrlProp2019.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20.xml><?xml version="1.0" encoding="utf-8"?>
<formControlPr xmlns="http://schemas.microsoft.com/office/spreadsheetml/2009/9/main" objectType="Radio" lockText="1" noThreeD="1"/>
</file>

<file path=xl/ctrlProps/ctrlProp2021.xml><?xml version="1.0" encoding="utf-8"?>
<formControlPr xmlns="http://schemas.microsoft.com/office/spreadsheetml/2009/9/main" objectType="Radio" lockText="1"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Radio" checked="Checked" firstButton="1" fmlaLink="Suppl!$U31" lockText="1" noThreeD="1"/>
</file>

<file path=xl/ctrlProps/ctrlProp2024.xml><?xml version="1.0" encoding="utf-8"?>
<formControlPr xmlns="http://schemas.microsoft.com/office/spreadsheetml/2009/9/main" objectType="Radio" lockText="1" noThreeD="1"/>
</file>

<file path=xl/ctrlProps/ctrlProp2025.xml><?xml version="1.0" encoding="utf-8"?>
<formControlPr xmlns="http://schemas.microsoft.com/office/spreadsheetml/2009/9/main" objectType="Radio" lockText="1" noThreeD="1"/>
</file>

<file path=xl/ctrlProps/ctrlProp2026.xml><?xml version="1.0" encoding="utf-8"?>
<formControlPr xmlns="http://schemas.microsoft.com/office/spreadsheetml/2009/9/main" objectType="Radio" lockText="1"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Radio" checked="Checked" firstButton="1" fmlaLink="Suppl!$U30" lockText="1" noThreeD="1"/>
</file>

<file path=xl/ctrlProps/ctrlProp2029.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30.xml><?xml version="1.0" encoding="utf-8"?>
<formControlPr xmlns="http://schemas.microsoft.com/office/spreadsheetml/2009/9/main" objectType="Radio" lockText="1" noThreeD="1"/>
</file>

<file path=xl/ctrlProps/ctrlProp2031.xml><?xml version="1.0" encoding="utf-8"?>
<formControlPr xmlns="http://schemas.microsoft.com/office/spreadsheetml/2009/9/main" objectType="Radio" lockText="1"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Radio" checked="Checked" firstButton="1" fmlaLink="Suppl!$U34"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Radio" checked="Checked" firstButton="1" fmlaLink="Suppl!$U33" lockText="1" noThreeD="1"/>
</file>

<file path=xl/ctrlProps/ctrlProp2039.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Radio" lockText="1" noThreeD="1"/>
</file>

<file path=xl/ctrlProps/ctrlProp2041.xml><?xml version="1.0" encoding="utf-8"?>
<formControlPr xmlns="http://schemas.microsoft.com/office/spreadsheetml/2009/9/main" objectType="Radio" lockText="1"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Radio" checked="Checked" firstButton="1" fmlaLink="Suppl!$U32" lockText="1" noThreeD="1"/>
</file>

<file path=xl/ctrlProps/ctrlProp2044.xml><?xml version="1.0" encoding="utf-8"?>
<formControlPr xmlns="http://schemas.microsoft.com/office/spreadsheetml/2009/9/main" objectType="Radio" lockText="1" noThreeD="1"/>
</file>

<file path=xl/ctrlProps/ctrlProp2045.xml><?xml version="1.0" encoding="utf-8"?>
<formControlPr xmlns="http://schemas.microsoft.com/office/spreadsheetml/2009/9/main" objectType="Radio"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Radio" checked="Checked" firstButton="1" fmlaLink="Suppl!$U$9" lockText="1" noThreeD="1"/>
</file>

<file path=xl/ctrlProps/ctrlProp205.xml><?xml version="1.0" encoding="utf-8"?>
<formControlPr xmlns="http://schemas.microsoft.com/office/spreadsheetml/2009/9/main" objectType="Radio" firstButton="1" fmlaLink="Suppl!$D24"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lockText="1" noThreeD="1"/>
</file>

<file path=xl/ctrlProps/ctrlProp2052.xml><?xml version="1.0" encoding="utf-8"?>
<formControlPr xmlns="http://schemas.microsoft.com/office/spreadsheetml/2009/9/main" objectType="Radio" lockText="1"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Radio" checked="Checked" firstButton="1" fmlaLink="Suppl!$U29" lockText="1" noThreeD="1"/>
</file>

<file path=xl/ctrlProps/ctrlProp2055.xml><?xml version="1.0" encoding="utf-8"?>
<formControlPr xmlns="http://schemas.microsoft.com/office/spreadsheetml/2009/9/main" objectType="Radio" lockText="1" noThreeD="1"/>
</file>

<file path=xl/ctrlProps/ctrlProp2056.xml><?xml version="1.0" encoding="utf-8"?>
<formControlPr xmlns="http://schemas.microsoft.com/office/spreadsheetml/2009/9/main" objectType="Radio" lockText="1" noThreeD="1"/>
</file>

<file path=xl/ctrlProps/ctrlProp2057.xml><?xml version="1.0" encoding="utf-8"?>
<formControlPr xmlns="http://schemas.microsoft.com/office/spreadsheetml/2009/9/main" objectType="Radio" lockText="1"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Radio" checked="Checked" firstButton="1" fmlaLink="Suppl!$U20" lockText="1" noThreeD="1"/>
</file>

<file path=xl/ctrlProps/ctrlProp206.xml><?xml version="1.0" encoding="utf-8"?>
<formControlPr xmlns="http://schemas.microsoft.com/office/spreadsheetml/2009/9/main" objectType="Radio" lockText="1" noThreeD="1"/>
</file>

<file path=xl/ctrlProps/ctrlProp2060.xml><?xml version="1.0" encoding="utf-8"?>
<formControlPr xmlns="http://schemas.microsoft.com/office/spreadsheetml/2009/9/main" objectType="Radio" lockText="1" noThreeD="1"/>
</file>

<file path=xl/ctrlProps/ctrlProp2061.xml><?xml version="1.0" encoding="utf-8"?>
<formControlPr xmlns="http://schemas.microsoft.com/office/spreadsheetml/2009/9/main" objectType="Radio" lockText="1" noThreeD="1"/>
</file>

<file path=xl/ctrlProps/ctrlProp2062.xml><?xml version="1.0" encoding="utf-8"?>
<formControlPr xmlns="http://schemas.microsoft.com/office/spreadsheetml/2009/9/main" objectType="Radio" lockText="1"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Radio" checked="Checked" firstButton="1" fmlaLink="Suppl!$U22" lockText="1" noThreeD="1"/>
</file>

<file path=xl/ctrlProps/ctrlProp2065.xml><?xml version="1.0" encoding="utf-8"?>
<formControlPr xmlns="http://schemas.microsoft.com/office/spreadsheetml/2009/9/main" objectType="Radio"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lockText="1"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Radio" checked="Checked" firstButton="1" fmlaLink="Suppl!$U36" lockText="1" noThreeD="1"/>
</file>

<file path=xl/ctrlProps/ctrlProp207.xml><?xml version="1.0" encoding="utf-8"?>
<formControlPr xmlns="http://schemas.microsoft.com/office/spreadsheetml/2009/9/main" objectType="Radio"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lockText="1" noThreeD="1"/>
</file>

<file path=xl/ctrlProps/ctrlProp2072.xml><?xml version="1.0" encoding="utf-8"?>
<formControlPr xmlns="http://schemas.microsoft.com/office/spreadsheetml/2009/9/main" objectType="Radio" lockText="1"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Radio" checked="Checked" firstButton="1" fmlaLink="Suppl!$U35" lockText="1" noThreeD="1"/>
</file>

<file path=xl/ctrlProps/ctrlProp2075.xml><?xml version="1.0" encoding="utf-8"?>
<formControlPr xmlns="http://schemas.microsoft.com/office/spreadsheetml/2009/9/main" objectType="Radio" lockText="1" noThreeD="1"/>
</file>

<file path=xl/ctrlProps/ctrlProp2076.xml><?xml version="1.0" encoding="utf-8"?>
<formControlPr xmlns="http://schemas.microsoft.com/office/spreadsheetml/2009/9/main" objectType="Radio" lockText="1" noThreeD="1"/>
</file>

<file path=xl/ctrlProps/ctrlProp2077.xml><?xml version="1.0" encoding="utf-8"?>
<formControlPr xmlns="http://schemas.microsoft.com/office/spreadsheetml/2009/9/main" objectType="Radio" lockText="1"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Radio" checked="Checked" firstButton="1" fmlaLink="Suppl!$U38" lockText="1" noThreeD="1"/>
</file>

<file path=xl/ctrlProps/ctrlProp208.xml><?xml version="1.0" encoding="utf-8"?>
<formControlPr xmlns="http://schemas.microsoft.com/office/spreadsheetml/2009/9/main" objectType="Radio" lockText="1" noThreeD="1"/>
</file>

<file path=xl/ctrlProps/ctrlProp2080.xml><?xml version="1.0" encoding="utf-8"?>
<formControlPr xmlns="http://schemas.microsoft.com/office/spreadsheetml/2009/9/main" objectType="Radio" lockText="1" noThreeD="1"/>
</file>

<file path=xl/ctrlProps/ctrlProp2081.xml><?xml version="1.0" encoding="utf-8"?>
<formControlPr xmlns="http://schemas.microsoft.com/office/spreadsheetml/2009/9/main" objectType="Radio"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Radio" checked="Checked" firstButton="1" fmlaLink="Suppl!$U37" lockText="1" noThreeD="1"/>
</file>

<file path=xl/ctrlProps/ctrlProp2085.xml><?xml version="1.0" encoding="utf-8"?>
<formControlPr xmlns="http://schemas.microsoft.com/office/spreadsheetml/2009/9/main" objectType="Radio"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lockText="1"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Radio" checked="Checked" firstButton="1" fmlaLink="Suppl!$U41" lockText="1"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Radio" lockText="1" noThreeD="1"/>
</file>

<file path=xl/ctrlProps/ctrlProp2091.xml><?xml version="1.0" encoding="utf-8"?>
<formControlPr xmlns="http://schemas.microsoft.com/office/spreadsheetml/2009/9/main" objectType="Radio" lockText="1" noThreeD="1"/>
</file>

<file path=xl/ctrlProps/ctrlProp2092.xml><?xml version="1.0" encoding="utf-8"?>
<formControlPr xmlns="http://schemas.microsoft.com/office/spreadsheetml/2009/9/main" objectType="Radio" lockText="1"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Radio" checked="Checked" firstButton="1" fmlaLink="Suppl!$U40" lockText="1" noThreeD="1"/>
</file>

<file path=xl/ctrlProps/ctrlProp2095.xml><?xml version="1.0" encoding="utf-8"?>
<formControlPr xmlns="http://schemas.microsoft.com/office/spreadsheetml/2009/9/main" objectType="Radio" lockText="1" noThreeD="1"/>
</file>

<file path=xl/ctrlProps/ctrlProp2096.xml><?xml version="1.0" encoding="utf-8"?>
<formControlPr xmlns="http://schemas.microsoft.com/office/spreadsheetml/2009/9/main" objectType="Radio" lockText="1" noThreeD="1"/>
</file>

<file path=xl/ctrlProps/ctrlProp2097.xml><?xml version="1.0" encoding="utf-8"?>
<formControlPr xmlns="http://schemas.microsoft.com/office/spreadsheetml/2009/9/main" objectType="Radio" lockText="1"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Radio" checked="Checked" firstButton="1" fmlaLink="Suppl!$U39"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firstButton="1" fmlaLink="Suppl!$D23" lockText="1" noThreeD="1"/>
</file>

<file path=xl/ctrlProps/ctrlProp2100.xml><?xml version="1.0" encoding="utf-8"?>
<formControlPr xmlns="http://schemas.microsoft.com/office/spreadsheetml/2009/9/main" objectType="Radio" lockText="1" noThreeD="1"/>
</file>

<file path=xl/ctrlProps/ctrlProp2101.xml><?xml version="1.0" encoding="utf-8"?>
<formControlPr xmlns="http://schemas.microsoft.com/office/spreadsheetml/2009/9/main" objectType="Radio"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Radio" checked="Checked" firstButton="1" fmlaLink="Suppl!$U43" lockText="1" noThreeD="1"/>
</file>

<file path=xl/ctrlProps/ctrlProp2105.xml><?xml version="1.0" encoding="utf-8"?>
<formControlPr xmlns="http://schemas.microsoft.com/office/spreadsheetml/2009/9/main" objectType="Radio"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lockText="1"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Radio" checked="Checked" firstButton="1" fmlaLink="Suppl!$U42" lockText="1" noThreeD="1"/>
</file>

<file path=xl/ctrlProps/ctrlProp211.xml><?xml version="1.0" encoding="utf-8"?>
<formControlPr xmlns="http://schemas.microsoft.com/office/spreadsheetml/2009/9/main" objectType="Radio" lockText="1"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lockText="1" noThreeD="1"/>
</file>

<file path=xl/ctrlProps/ctrlProp2112.xml><?xml version="1.0" encoding="utf-8"?>
<formControlPr xmlns="http://schemas.microsoft.com/office/spreadsheetml/2009/9/main" objectType="Radio" lockText="1"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Radio" checked="Checked" firstButton="1" fmlaLink="Suppl!$U45" lockText="1" noThreeD="1"/>
</file>

<file path=xl/ctrlProps/ctrlProp2115.xml><?xml version="1.0" encoding="utf-8"?>
<formControlPr xmlns="http://schemas.microsoft.com/office/spreadsheetml/2009/9/main" objectType="Radio" lockText="1" noThreeD="1"/>
</file>

<file path=xl/ctrlProps/ctrlProp2116.xml><?xml version="1.0" encoding="utf-8"?>
<formControlPr xmlns="http://schemas.microsoft.com/office/spreadsheetml/2009/9/main" objectType="Radio" lockText="1" noThreeD="1"/>
</file>

<file path=xl/ctrlProps/ctrlProp2117.xml><?xml version="1.0" encoding="utf-8"?>
<formControlPr xmlns="http://schemas.microsoft.com/office/spreadsheetml/2009/9/main" objectType="Radio" lockText="1"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Radio" checked="Checked" firstButton="1" fmlaLink="Suppl!$U44" lockText="1" noThreeD="1"/>
</file>

<file path=xl/ctrlProps/ctrlProp212.xml><?xml version="1.0" encoding="utf-8"?>
<formControlPr xmlns="http://schemas.microsoft.com/office/spreadsheetml/2009/9/main" objectType="Radio" lockText="1" noThreeD="1"/>
</file>

<file path=xl/ctrlProps/ctrlProp2120.xml><?xml version="1.0" encoding="utf-8"?>
<formControlPr xmlns="http://schemas.microsoft.com/office/spreadsheetml/2009/9/main" objectType="Radio" lockText="1" noThreeD="1"/>
</file>

<file path=xl/ctrlProps/ctrlProp2121.xml><?xml version="1.0" encoding="utf-8"?>
<formControlPr xmlns="http://schemas.microsoft.com/office/spreadsheetml/2009/9/main" objectType="Radio"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Radio" checked="Checked" firstButton="1" fmlaLink="Suppl!$U48" lockText="1" noThreeD="1"/>
</file>

<file path=xl/ctrlProps/ctrlProp2125.xml><?xml version="1.0" encoding="utf-8"?>
<formControlPr xmlns="http://schemas.microsoft.com/office/spreadsheetml/2009/9/main" objectType="Radio" lockText="1" noThreeD="1"/>
</file>

<file path=xl/ctrlProps/ctrlProp2126.xml><?xml version="1.0" encoding="utf-8"?>
<formControlPr xmlns="http://schemas.microsoft.com/office/spreadsheetml/2009/9/main" objectType="Radio" lockText="1" noThreeD="1"/>
</file>

<file path=xl/ctrlProps/ctrlProp2127.xml><?xml version="1.0" encoding="utf-8"?>
<formControlPr xmlns="http://schemas.microsoft.com/office/spreadsheetml/2009/9/main" objectType="Radio" lockText="1"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Radio" checked="Checked" firstButton="1" fmlaLink="Suppl!$U47" lockText="1" noThreeD="1"/>
</file>

<file path=xl/ctrlProps/ctrlProp213.xml><?xml version="1.0" encoding="utf-8"?>
<formControlPr xmlns="http://schemas.microsoft.com/office/spreadsheetml/2009/9/main" objectType="Radio" lockText="1" noThreeD="1"/>
</file>

<file path=xl/ctrlProps/ctrlProp2130.xml><?xml version="1.0" encoding="utf-8"?>
<formControlPr xmlns="http://schemas.microsoft.com/office/spreadsheetml/2009/9/main" objectType="Radio" lockText="1" noThreeD="1"/>
</file>

<file path=xl/ctrlProps/ctrlProp2131.xml><?xml version="1.0" encoding="utf-8"?>
<formControlPr xmlns="http://schemas.microsoft.com/office/spreadsheetml/2009/9/main" objectType="Radio" lockText="1" noThreeD="1"/>
</file>

<file path=xl/ctrlProps/ctrlProp2132.xml><?xml version="1.0" encoding="utf-8"?>
<formControlPr xmlns="http://schemas.microsoft.com/office/spreadsheetml/2009/9/main" objectType="Radio" lockText="1"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Radio" checked="Checked" firstButton="1" fmlaLink="Suppl!$U46" lockText="1" noThreeD="1"/>
</file>

<file path=xl/ctrlProps/ctrlProp2135.xml><?xml version="1.0" encoding="utf-8"?>
<formControlPr xmlns="http://schemas.microsoft.com/office/spreadsheetml/2009/9/main" objectType="Radio" lockText="1" noThreeD="1"/>
</file>

<file path=xl/ctrlProps/ctrlProp2136.xml><?xml version="1.0" encoding="utf-8"?>
<formControlPr xmlns="http://schemas.microsoft.com/office/spreadsheetml/2009/9/main" objectType="Radio" lockText="1" noThreeD="1"/>
</file>

<file path=xl/ctrlProps/ctrlProp2137.xml><?xml version="1.0" encoding="utf-8"?>
<formControlPr xmlns="http://schemas.microsoft.com/office/spreadsheetml/2009/9/main" objectType="Radio" lockText="1"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Radio" checked="Checked" firstButton="1" fmlaLink="Suppl!$U50" lockText="1"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Radio" lockText="1" noThreeD="1"/>
</file>

<file path=xl/ctrlProps/ctrlProp2141.xml><?xml version="1.0" encoding="utf-8"?>
<formControlPr xmlns="http://schemas.microsoft.com/office/spreadsheetml/2009/9/main" objectType="Radio"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Radio" checked="Checked" firstButton="1" fmlaLink="Suppl!$U49" lockText="1" noThreeD="1"/>
</file>

<file path=xl/ctrlProps/ctrlProp2145.xml><?xml version="1.0" encoding="utf-8"?>
<formControlPr xmlns="http://schemas.microsoft.com/office/spreadsheetml/2009/9/main" objectType="Radio" lockText="1" noThreeD="1"/>
</file>

<file path=xl/ctrlProps/ctrlProp2146.xml><?xml version="1.0" encoding="utf-8"?>
<formControlPr xmlns="http://schemas.microsoft.com/office/spreadsheetml/2009/9/main" objectType="Radio" lockText="1" noThreeD="1"/>
</file>

<file path=xl/ctrlProps/ctrlProp2147.xml><?xml version="1.0" encoding="utf-8"?>
<formControlPr xmlns="http://schemas.microsoft.com/office/spreadsheetml/2009/9/main" objectType="Radio" lockText="1"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Radio" checked="Checked" firstButton="1" fmlaLink="Suppl!$U21" lockText="1" noThreeD="1"/>
</file>

<file path=xl/ctrlProps/ctrlProp215.xml><?xml version="1.0" encoding="utf-8"?>
<formControlPr xmlns="http://schemas.microsoft.com/office/spreadsheetml/2009/9/main" objectType="Radio" firstButton="1" fmlaLink="Suppl!$D27" lockText="1" noThreeD="1"/>
</file>

<file path=xl/ctrlProps/ctrlProp2150.xml><?xml version="1.0" encoding="utf-8"?>
<formControlPr xmlns="http://schemas.microsoft.com/office/spreadsheetml/2009/9/main" objectType="Radio" lockText="1" noThreeD="1"/>
</file>

<file path=xl/ctrlProps/ctrlProp2151.xml><?xml version="1.0" encoding="utf-8"?>
<formControlPr xmlns="http://schemas.microsoft.com/office/spreadsheetml/2009/9/main" objectType="Radio" lockText="1" noThreeD="1"/>
</file>

<file path=xl/ctrlProps/ctrlProp2152.xml><?xml version="1.0" encoding="utf-8"?>
<formControlPr xmlns="http://schemas.microsoft.com/office/spreadsheetml/2009/9/main" objectType="Radio" lockText="1" noThreeD="1"/>
</file>

<file path=xl/ctrlProps/ctrlProp2153.xml><?xml version="1.0" encoding="utf-8"?>
<formControlPr xmlns="http://schemas.microsoft.com/office/spreadsheetml/2009/9/main" objectType="GBox"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Suppl!$C$6" lockText="1" noThreeD="1"/>
</file>

<file path=xl/ctrlProps/ctrlProp220.xml><?xml version="1.0" encoding="utf-8"?>
<formControlPr xmlns="http://schemas.microsoft.com/office/spreadsheetml/2009/9/main" objectType="Radio" firstButton="1" fmlaLink="Suppl!$D26"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fmlaLink="Suppl!$D25"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firstButton="1" fmlaLink="Suppl!$D31"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fmlaLink="Suppl!$D30"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firstButton="1" fmlaLink="Suppl!$D3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Suppl!$D32"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Suppl!$D$9"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Suppl!$D38"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Radio" firstButton="1" fmlaLink="Suppl!$D37"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Suppl!$D40"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Suppl!$C$5"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fmlaLink="Suppl!$D39"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Suppl!$E$3"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Suppl!$E$2"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Suppl!$E$8"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fmlaLink="Suppl!$E$7"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Radio" firstButton="1" fmlaLink="Suppl!$E$6"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firstButton="1" fmlaLink="Suppl!$E$5"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fmlaLink="Suppl!$E$4"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firstButton="1" fmlaLink="Suppl!$E10"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firstButton="1" fmlaLink="Suppl!$E15"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fmlaLink="Suppl!$C$4"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Suppl!$E14"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Suppl!$E13"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Radio" firstButton="1" fmlaLink="Suppl!$E12"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Suppl!$E11"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uppl!$E16"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Radio" firstButton="1" fmlaLink="Suppl!$E17"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Radio" firstButton="1" fmlaLink="Suppl!$E18"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Radio" firstButton="1" fmlaLink="Suppl!$E24"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Suppl!$E2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Radio" firstButton="1" fmlaLink="Suppl!$E27"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firstButton="1" fmlaLink="Suppl!$C10"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firstButton="1" fmlaLink="Suppl!$E26"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firstButton="1"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Radio" firstButton="1" fmlaLink="Suppl!$E25"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Radio" firstButton="1" fmlaLink="Suppl!$E28"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firstButton="1"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Radio" firstButton="1" fmlaLink="Suppl!$E31"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Radio" firstButton="1" fmlaLink="Suppl!$E30"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Radio" firstButton="1" fmlaLink="Suppl!$E34"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Radio" firstButton="1" fmlaLink="Suppl!$E33"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fmlaLink="Suppl!$E32"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Suppl!$E$9"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Radio" firstButton="1" fmlaLink="Suppl!$E38"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Suppl!$E37"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Radio" firstButton="1" fmlaLink="Suppl!$E41" lockText="1" noThreeD="1"/>
</file>

<file path=xl/ctrlProps/ctrlProp43.xml><?xml version="1.0" encoding="utf-8"?>
<formControlPr xmlns="http://schemas.microsoft.com/office/spreadsheetml/2009/9/main" objectType="Radio" firstButton="1" fmlaLink="Suppl!$C15"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Radio" firstButton="1" fmlaLink="Suppl!$E40"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Radio" firstButton="1" fmlaLink="Suppl!$E39"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Radio" firstButton="1" fmlaLink="Suppl!$E45"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Radio" firstButton="1" fmlaLink="Suppl!$E44"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Radio" firstButton="1" fmlaLink="Suppl!$E48"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Radio" firstButton="1" fmlaLink="Suppl!$E47"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Radio" firstButton="1" fmlaLink="Suppl!$E46"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fmlaLink="Suppl!$E52" lockText="1"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Radio"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Radio" firstButton="1" fmlaLink="Suppl!$E57"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Radio" firstButton="1" fmlaLink="Suppl!$E56" lockText="1" noThreeD="1"/>
</file>

<file path=xl/ctrlProps/ctrlProp48.xml><?xml version="1.0" encoding="utf-8"?>
<formControlPr xmlns="http://schemas.microsoft.com/office/spreadsheetml/2009/9/main" objectType="Radio" firstButton="1" fmlaLink="Suppl!$C14"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Radio" firstButton="1" fmlaLink="Suppl!$E55"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Radio" firstButton="1" fmlaLink="Suppl!$E54"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Radio" firstButton="1" fmlaLink="Suppl!$E53"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Radio" firstButton="1" fmlaLink="Suppl!$E$51"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Suppl!$F$3"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firstButton="1" fmlaLink="Suppl!$F$2"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firstButton="1" fmlaLink="Suppl!$F$4"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Radio" firstButton="1" fmlaLink="Suppl!$F10"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Radio" firstButton="1" fmlaLink="Suppl!$F11"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Radio" firstButton="1" fmlaLink="Suppl!$F16" lockText="1" noThreeD="1"/>
</file>

<file path=xl/ctrlProps/ctrlProp53.xml><?xml version="1.0" encoding="utf-8"?>
<formControlPr xmlns="http://schemas.microsoft.com/office/spreadsheetml/2009/9/main" objectType="Radio" firstButton="1" fmlaLink="Suppl!$C13"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Radio" firstButton="1" fmlaLink="Suppl!$F17"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firstButton="1" fmlaLink="Suppl!$F19"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Radio" firstButton="1" fmlaLink="Suppl!$F18"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Radio" firstButton="1" fmlaLink="Suppl!$F24"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Radio" firstButton="1" fmlaLink="Suppl!$F23"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Radio" firstButton="1" fmlaLink="Suppl!$F31"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Radio" firstButton="1" fmlaLink="Suppl!$F30"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Radio" firstButton="1" fmlaLink="Suppl!$F32" lockText="1"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Suppl!$F$9"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Radio" firstButton="1" fmlaLink="Suppl!$F20" lockText="1" noThreeD="1"/>
</file>

<file path=xl/ctrlProps/ctrlProp58.xml><?xml version="1.0" encoding="utf-8"?>
<formControlPr xmlns="http://schemas.microsoft.com/office/spreadsheetml/2009/9/main" objectType="Radio" firstButton="1" fmlaLink="Suppl!$C12"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Radio" firstButton="1" fmlaLink="Suppl!$F22"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Suppl!$F21"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fmlaLink="Suppl!$G$3"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firstButton="1" fmlaLink="Suppl!$G$2"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firstButton="1" fmlaLink="Suppl!$G$6"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Radio" firstButton="1" fmlaLink="Suppl!$G$5"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Suppl!$G$4"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Suppl!$G10" lockText="1"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Suppl!$G15"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Suppl!$C11" lockText="1" noThreeD="1"/>
</file>

<file path=xl/ctrlProps/ctrlProp630.xml><?xml version="1.0" encoding="utf-8"?>
<formControlPr xmlns="http://schemas.microsoft.com/office/spreadsheetml/2009/9/main" objectType="Radio" firstButton="1" fmlaLink="Suppl!$G14"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Suppl!$G13"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firstButton="1" fmlaLink="Suppl!$G12"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Suppl!$G11"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Radio" lockText="1" noThreeD="1"/>
</file>

<file path=xl/ctrlProps/ctrlProp650.xml><?xml version="1.0" encoding="utf-8"?>
<formControlPr xmlns="http://schemas.microsoft.com/office/spreadsheetml/2009/9/main" objectType="Radio" firstButton="1" fmlaLink="Suppl!$G16"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Suppl!$G17"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firstButton="1" fmlaLink="Suppl!$G19"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fmlaLink="Suppl!$G18"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Radio" firstButton="1" fmlaLink="Suppl!$G24"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fmlaLink="Suppl!$G23"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Suppl!$C16" lockText="1" noThreeD="1"/>
</file>

<file path=xl/ctrlProps/ctrlProp680.xml><?xml version="1.0" encoding="utf-8"?>
<formControlPr xmlns="http://schemas.microsoft.com/office/spreadsheetml/2009/9/main" objectType="Radio" firstButton="1" fmlaLink="Suppl!$G27"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fmlaLink="Suppl!$G26"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lockText="1"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Radio" firstButton="1" fmlaLink="Suppl!$G25"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Suppl!$G31"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Radio" lockText="1"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Radio" firstButton="1" fmlaLink="Suppl!$G30"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fmlaLink="Suppl!$G34"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Radio" firstButton="1" fmlaLink="Suppl!$G33"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Radio" firstButton="1" fmlaLink="Suppl!$G32"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Radio" firstButton="1" fmlaLink="Suppl!$G$9"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Radio" firstButton="1" fmlaLink="Suppl!$G20"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Radio"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fmlaLink="Suppl!$C17"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fmlaLink="Suppl!$G36"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lockText="1"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Radio" firstButton="1" fmlaLink="Suppl!$G35"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Radio" firstButton="1" fmlaLink="Suppl!$H$3"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Suppl!$H$2" lockText="1" noThreeD="1"/>
</file>

<file path=xl/ctrlProps/ctrlProp748.xml><?xml version="1.0" encoding="utf-8"?>
<formControlPr xmlns="http://schemas.microsoft.com/office/spreadsheetml/2009/9/main" objectType="Radio"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firstButton="1" fmlaLink="Suppl!$H$5"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Radio" lockText="1"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fmlaLink="Suppl!$H$4"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Radio" lockText="1" noThreeD="1"/>
</file>

<file path=xl/ctrlProps/ctrlProp759.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fmlaLink="Suppl!$H10" lockText="1" noThreeD="1"/>
</file>

<file path=xl/ctrlProps/ctrlProp762.xml><?xml version="1.0" encoding="utf-8"?>
<formControlPr xmlns="http://schemas.microsoft.com/office/spreadsheetml/2009/9/main" objectType="Radio" lockText="1"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Radio" firstButton="1" fmlaLink="Suppl!$H12" lockText="1" noThreeD="1"/>
</file>

<file path=xl/ctrlProps/ctrlProp767.xml><?xml version="1.0" encoding="utf-8"?>
<formControlPr xmlns="http://schemas.microsoft.com/office/spreadsheetml/2009/9/main" objectType="Radio"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Radio" firstButton="1" fmlaLink="Suppl!$H11"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Radio" firstButton="1" fmlaLink="Suppl!$H16"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firstButton="1" fmlaLink="Suppl!$C19"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Radio" firstButton="1" fmlaLink="Suppl!$H17"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Suppl!$H19"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fmlaLink="Suppl!$H18"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Radio" firstButton="1" fmlaLink="Suppl!$H24"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Suppl!$C$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Suppl!$H23"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fmlaLink="Suppl!$H26"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Radio" firstButton="1" fmlaLink="Suppl!$H25"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fmlaLink="Suppl!$H31"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fmlaLink="Suppl!$H30"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firstButton="1" fmlaLink="Suppl!$H34"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Suppl!$C18"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fmlaLink="Suppl!$H33"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fmlaLink="Suppl!$H32"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firstButton="1" fmlaLink="Suppl!$H$9"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fmlaLink="Suppl!$H20"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Radio" firstButton="1" fmlaLink="Suppl!$H35"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firstButton="1" fmlaLink="Suppl!$H38"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fmlaLink="Suppl!$H37"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fmlaLink="Suppl!$H41"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Radio" firstButton="1" fmlaLink="Suppl!$H40"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fmlaLink="Suppl!$H39"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firstButton="1" fmlaLink="Suppl!$C24" lockText="1"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Radio" firstButton="1" fmlaLink="Suppl!$H43"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Radio" firstButton="1" fmlaLink="Suppl!$H42"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Radio" firstButton="1" fmlaLink="Suppl!$I$3"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Radio" firstButton="1" fmlaLink="Suppl!$I$2"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firstButton="1" fmlaLink="Suppl!$I$5"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Radio" firstButton="1" fmlaLink="Suppl!$I$4"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firstButton="1" fmlaLink="Suppl!$I10"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Radio" firstButton="1" fmlaLink="Suppl!$I14"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Radio" firstButton="1" fmlaLink="Suppl!$I13"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Radio" firstButton="1" fmlaLink="Suppl!$I12"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Suppl!$C23" lockText="1"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Radio" firstButton="1" fmlaLink="Suppl!$I11"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Radio" firstButton="1" fmlaLink="Suppl!$I16"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Radio" firstButton="1" fmlaLink="Suppl!$I17"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Radio" firstButton="1" fmlaLink="Suppl!$I24"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firstButton="1" fmlaLink="Suppl!$I23"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Radio" firstButton="1" fmlaLink="Suppl!$I27"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fmlaLink="Suppl!$I26"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Radio" firstButton="1" fmlaLink="Suppl!$I25"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Radio" firstButton="1" fmlaLink="Suppl!$I31"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Radio" firstButton="1" fmlaLink="Suppl!$I30"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fmlaLink="Suppl!$I33"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Radio" firstButton="1" fmlaLink="Suppl!$I32"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Suppl!$C27"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Radio" firstButton="1" fmlaLink="Suppl!$I$9"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fmlaLink="Suppl!$I38"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396238</xdr:colOff>
      <xdr:row>3</xdr:row>
      <xdr:rowOff>77392</xdr:rowOff>
    </xdr:from>
    <xdr:to>
      <xdr:col>10</xdr:col>
      <xdr:colOff>349873</xdr:colOff>
      <xdr:row>24</xdr:row>
      <xdr:rowOff>117232</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396238" y="1582342"/>
          <a:ext cx="7859385" cy="3840315"/>
        </a:xfrm>
        <a:prstGeom prst="rect">
          <a:avLst/>
        </a:prstGeom>
        <a:solidFill>
          <a:sysClr val="window" lastClr="FFFFFF"/>
        </a:solidFill>
        <a:ln>
          <a:solidFill>
            <a:srgbClr val="1C3D7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1" u="sng">
              <a:solidFill>
                <a:srgbClr val="1C3D79"/>
              </a:solidFill>
              <a:latin typeface="Sitka Banner" panose="02000505000000020004" pitchFamily="2" charset="0"/>
              <a:ea typeface="Ebrima" panose="02000000000000000000" pitchFamily="2" charset="0"/>
              <a:cs typeface="Ebrima" panose="02000000000000000000" pitchFamily="2" charset="0"/>
            </a:rPr>
            <a:t>Présentation générale</a:t>
          </a:r>
        </a:p>
        <a:p>
          <a:pPr algn="ctr"/>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ctr"/>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a:solidFill>
                <a:srgbClr val="1C3D79"/>
              </a:solidFill>
              <a:latin typeface="Sitka Banner" panose="02000505000000020004" pitchFamily="2" charset="0"/>
              <a:ea typeface="Ebrima" panose="02000000000000000000" pitchFamily="2" charset="0"/>
              <a:cs typeface="Ebrima" panose="02000000000000000000" pitchFamily="2" charset="0"/>
            </a:rPr>
            <a:t>L'objectif de cette grille et de permettre à chaque entreprise d'auto-évaluer sa gouvernance du numérique sur une échelle de 1 à 5 à travers 13 vecteurs stratégiques ou grands axes de gouvernance ci-après classés en trois volets</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 </a:t>
          </a:r>
          <a:endParaRPr lang="fr-FR" sz="120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1" baseline="0">
              <a:solidFill>
                <a:srgbClr val="0097CC"/>
              </a:solidFill>
              <a:latin typeface="Sitka Banner" panose="02000505000000020004" pitchFamily="2" charset="0"/>
              <a:ea typeface="Ebrima" panose="02000000000000000000" pitchFamily="2" charset="0"/>
              <a:cs typeface="Ebrima" panose="02000000000000000000" pitchFamily="2" charset="0"/>
            </a:rPr>
            <a:t>Volet 1</a:t>
          </a:r>
          <a:r>
            <a:rPr lang="fr-FR" sz="1200" baseline="0">
              <a:solidFill>
                <a:srgbClr val="0097CC"/>
              </a:solidFill>
              <a:latin typeface="Sitka Banner" panose="02000505000000020004" pitchFamily="2" charset="0"/>
              <a:ea typeface="Ebrima" panose="02000000000000000000" pitchFamily="2" charset="0"/>
              <a:cs typeface="Ebrima" panose="02000000000000000000" pitchFamily="2" charset="0"/>
            </a:rPr>
            <a:t> : </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les vecteurs liés à la </a:t>
          </a:r>
          <a:r>
            <a:rPr lang="fr-FR" sz="1200" b="1" baseline="0">
              <a:solidFill>
                <a:srgbClr val="0097CC"/>
              </a:solidFill>
              <a:latin typeface="Sitka Banner" panose="02000505000000020004" pitchFamily="2" charset="0"/>
              <a:ea typeface="Ebrima" panose="02000000000000000000" pitchFamily="2" charset="0"/>
              <a:cs typeface="Ebrima" panose="02000000000000000000" pitchFamily="2" charset="0"/>
            </a:rPr>
            <a:t>Stratégie</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de l'entreprise (</a:t>
          </a:r>
          <a:r>
            <a:rPr lang="fr-FR" sz="1200" baseline="0">
              <a:solidFill>
                <a:srgbClr val="0097CC"/>
              </a:solidFill>
              <a:latin typeface="Sitka Banner" panose="02000505000000020004" pitchFamily="2" charset="0"/>
              <a:ea typeface="Ebrima" panose="02000000000000000000" pitchFamily="2" charset="0"/>
              <a:cs typeface="Ebrima" panose="02000000000000000000" pitchFamily="2" charset="0"/>
            </a:rPr>
            <a:t>Stratégie</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aseline="0">
              <a:solidFill>
                <a:srgbClr val="0097CC"/>
              </a:solidFill>
              <a:latin typeface="Sitka Banner" panose="02000505000000020004" pitchFamily="2" charset="0"/>
              <a:ea typeface="Ebrima" panose="02000000000000000000" pitchFamily="2" charset="0"/>
              <a:cs typeface="Ebrima" panose="02000000000000000000" pitchFamily="2" charset="0"/>
            </a:rPr>
            <a:t>Innovation</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aseline="0">
              <a:solidFill>
                <a:srgbClr val="0097CC"/>
              </a:solidFill>
              <a:latin typeface="Sitka Banner" panose="02000505000000020004" pitchFamily="2" charset="0"/>
              <a:ea typeface="Ebrima" panose="02000000000000000000" pitchFamily="2" charset="0"/>
              <a:cs typeface="Ebrima" panose="02000000000000000000" pitchFamily="2" charset="0"/>
            </a:rPr>
            <a:t>Risques &amp; Conformité</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aseline="0">
              <a:solidFill>
                <a:srgbClr val="0097CC"/>
              </a:solidFill>
              <a:latin typeface="Sitka Banner" panose="02000505000000020004" pitchFamily="2" charset="0"/>
              <a:ea typeface="Ebrima" panose="02000000000000000000" pitchFamily="2" charset="0"/>
              <a:cs typeface="Ebrima" panose="02000000000000000000" pitchFamily="2" charset="0"/>
            </a:rPr>
            <a:t>RSE</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a:t>
          </a:r>
        </a:p>
        <a:p>
          <a:pPr algn="l"/>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1" baseline="0">
              <a:solidFill>
                <a:srgbClr val="1C3D79"/>
              </a:solidFill>
              <a:latin typeface="Sitka Banner" panose="02000505000000020004" pitchFamily="2" charset="0"/>
              <a:ea typeface="Ebrima" panose="02000000000000000000" pitchFamily="2" charset="0"/>
              <a:cs typeface="Ebrima" panose="02000000000000000000" pitchFamily="2" charset="0"/>
            </a:rPr>
            <a:t>Volet 2 </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les vecteurs liés aux </a:t>
          </a:r>
          <a:r>
            <a:rPr lang="fr-FR" sz="1200" b="1" baseline="0">
              <a:solidFill>
                <a:srgbClr val="1C3D79"/>
              </a:solidFill>
              <a:latin typeface="Sitka Banner" panose="02000505000000020004" pitchFamily="2" charset="0"/>
              <a:ea typeface="Ebrima" panose="02000000000000000000" pitchFamily="2" charset="0"/>
              <a:cs typeface="Ebrima" panose="02000000000000000000" pitchFamily="2" charset="0"/>
            </a:rPr>
            <a:t>Opérations</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IT de l'entreprise (Données &amp; IA, Architecture, Portefeuille de projets, Projets, Services),</a:t>
          </a:r>
        </a:p>
        <a:p>
          <a:pPr algn="l"/>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1" baseline="0">
              <a:solidFill>
                <a:srgbClr val="45413F"/>
              </a:solidFill>
              <a:latin typeface="Sitka Banner" panose="02000505000000020004" pitchFamily="2" charset="0"/>
              <a:ea typeface="Ebrima" panose="02000000000000000000" pitchFamily="2" charset="0"/>
              <a:cs typeface="Ebrima" panose="02000000000000000000" pitchFamily="2" charset="0"/>
            </a:rPr>
            <a:t>Volet 3</a:t>
          </a:r>
          <a:r>
            <a:rPr lang="fr-FR" sz="1200" baseline="0">
              <a:solidFill>
                <a:srgbClr val="1C3D79"/>
              </a:solidFill>
              <a:latin typeface="Sitka Banner" panose="02000505000000020004" pitchFamily="2" charset="0"/>
              <a:ea typeface="Ebrima" panose="02000000000000000000" pitchFamily="2" charset="0"/>
              <a:cs typeface="Ebrima" panose="02000000000000000000" pitchFamily="2" charset="0"/>
            </a:rPr>
            <a:t> : les vecteurs liés aux fonctions </a:t>
          </a:r>
          <a:r>
            <a:rPr lang="fr-FR" sz="1200" b="1" baseline="0">
              <a:solidFill>
                <a:srgbClr val="45413F"/>
              </a:solidFill>
              <a:latin typeface="Sitka Banner" panose="02000505000000020004" pitchFamily="2" charset="0"/>
              <a:ea typeface="Ebrima" panose="02000000000000000000" pitchFamily="2" charset="0"/>
              <a:cs typeface="Ebrima" panose="02000000000000000000" pitchFamily="2" charset="0"/>
            </a:rPr>
            <a:t>Support</a:t>
          </a:r>
          <a:r>
            <a:rPr lang="fr-FR" sz="1200" b="1"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 </a:t>
          </a:r>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de l'entreprise (</a:t>
          </a:r>
          <a:r>
            <a:rPr lang="fr-FR" sz="1200" b="0" baseline="0">
              <a:solidFill>
                <a:srgbClr val="45413F"/>
              </a:solidFill>
              <a:latin typeface="Sitka Banner" panose="02000505000000020004" pitchFamily="2" charset="0"/>
              <a:ea typeface="Ebrima" panose="02000000000000000000" pitchFamily="2" charset="0"/>
              <a:cs typeface="Ebrima" panose="02000000000000000000" pitchFamily="2" charset="0"/>
            </a:rPr>
            <a:t>Ressources humaines</a:t>
          </a:r>
          <a:r>
            <a:rPr lang="fr-FR" sz="1200" b="0"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 </a:t>
          </a:r>
          <a:r>
            <a:rPr lang="fr-FR" sz="1200" b="0" baseline="0">
              <a:solidFill>
                <a:srgbClr val="45413F"/>
              </a:solidFill>
              <a:latin typeface="Sitka Banner" panose="02000505000000020004" pitchFamily="2" charset="0"/>
              <a:ea typeface="Ebrima" panose="02000000000000000000" pitchFamily="2" charset="0"/>
              <a:cs typeface="Ebrima" panose="02000000000000000000" pitchFamily="2" charset="0"/>
            </a:rPr>
            <a:t>Prestataires &amp; fournisseurs</a:t>
          </a:r>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0" baseline="0">
              <a:solidFill>
                <a:srgbClr val="45413F"/>
              </a:solidFill>
              <a:latin typeface="Sitka Banner" panose="02000505000000020004" pitchFamily="2" charset="0"/>
              <a:ea typeface="Ebrima" panose="02000000000000000000" pitchFamily="2" charset="0"/>
              <a:cs typeface="Ebrima" panose="02000000000000000000" pitchFamily="2" charset="0"/>
            </a:rPr>
            <a:t>Budget &amp; performance</a:t>
          </a:r>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0" baseline="0">
              <a:solidFill>
                <a:srgbClr val="45413F"/>
              </a:solidFill>
              <a:latin typeface="Sitka Banner" panose="02000505000000020004" pitchFamily="2" charset="0"/>
              <a:ea typeface="Ebrima" panose="02000000000000000000" pitchFamily="2" charset="0"/>
              <a:cs typeface="Ebrima" panose="02000000000000000000" pitchFamily="2" charset="0"/>
            </a:rPr>
            <a:t>Marketing &amp; communication</a:t>
          </a:r>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a:t>
          </a:r>
        </a:p>
        <a:p>
          <a:pPr algn="l"/>
          <a:endPar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Chaque vecteur est décliné à travers une série de "bonnes pratiques" thématiques.</a:t>
          </a:r>
        </a:p>
        <a:p>
          <a:pPr algn="l"/>
          <a:endPar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Chaque bonne pratique comprend une liste de critères auxquels sont attribués des niveaux de maturité. </a:t>
          </a:r>
        </a:p>
        <a:p>
          <a:pPr algn="l"/>
          <a:endPar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rPr>
            <a:t>L'évaluation se fait à travers le constat de la réalisation partielle, totale, ou nulle de chacun de ces critères et permet de calculer les taux de complétude et niveau de maturité par bonne pratique ou par vecteur.</a:t>
          </a:r>
        </a:p>
        <a:p>
          <a:pPr algn="l"/>
          <a:endParaRPr lang="fr-FR" sz="1200" b="0"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a:solidFill>
              <a:srgbClr val="1C3D79"/>
            </a:solidFill>
            <a:latin typeface="Sitka Banner" panose="02000505000000020004" pitchFamily="2" charset="0"/>
            <a:ea typeface="Ebrima" panose="02000000000000000000" pitchFamily="2" charset="0"/>
            <a:cs typeface="Ebrima" panose="02000000000000000000" pitchFamily="2" charset="0"/>
          </a:endParaRPr>
        </a:p>
      </xdr:txBody>
    </xdr:sp>
    <xdr:clientData/>
  </xdr:twoCellAnchor>
  <xdr:twoCellAnchor>
    <xdr:from>
      <xdr:col>0</xdr:col>
      <xdr:colOff>399470</xdr:colOff>
      <xdr:row>26</xdr:row>
      <xdr:rowOff>180974</xdr:rowOff>
    </xdr:from>
    <xdr:to>
      <xdr:col>10</xdr:col>
      <xdr:colOff>349873</xdr:colOff>
      <xdr:row>73</xdr:row>
      <xdr:rowOff>142874</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399470" y="5848349"/>
          <a:ext cx="7856153" cy="8467725"/>
        </a:xfrm>
        <a:prstGeom prst="rect">
          <a:avLst/>
        </a:prstGeom>
        <a:solidFill>
          <a:sysClr val="window" lastClr="FFFFFF"/>
        </a:solidFill>
        <a:ln>
          <a:solidFill>
            <a:srgbClr val="1C3D7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u="sng">
              <a:solidFill>
                <a:srgbClr val="1C3D79"/>
              </a:solidFill>
              <a:latin typeface="Sitka Banner" panose="02000505000000020004" pitchFamily="2" charset="0"/>
              <a:ea typeface="Ebrima" panose="02000000000000000000" pitchFamily="2" charset="0"/>
              <a:cs typeface="Ebrima" panose="02000000000000000000" pitchFamily="2" charset="0"/>
            </a:rPr>
            <a:t>Présentation détaillée des différents onglets</a:t>
          </a:r>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chemeClr val="accent6"/>
              </a:solidFill>
              <a:latin typeface="Sitka Banner" panose="02000505000000020004" pitchFamily="2" charset="0"/>
              <a:ea typeface="Ebrima" panose="02000000000000000000" pitchFamily="2" charset="0"/>
              <a:cs typeface="Ebrima" panose="02000000000000000000" pitchFamily="2" charset="0"/>
            </a:rPr>
            <a:t>	</a:t>
          </a:r>
          <a:r>
            <a:rPr lang="fr-FR" sz="1200" b="0" i="0" u="sng" baseline="0">
              <a:solidFill>
                <a:srgbClr val="1C3D79"/>
              </a:solidFill>
              <a:latin typeface="Sitka Banner" panose="02000505000000020004" pitchFamily="2" charset="0"/>
              <a:ea typeface="Ebrima" panose="02000000000000000000" pitchFamily="2" charset="0"/>
              <a:cs typeface="Ebrima" panose="02000000000000000000" pitchFamily="2" charset="0"/>
            </a:rPr>
            <a:t>Onglet </a:t>
          </a:r>
          <a:r>
            <a:rPr lang="fr-FR" sz="1200" b="1" i="0" u="sng" baseline="0">
              <a:solidFill>
                <a:srgbClr val="C00000"/>
              </a:solidFill>
              <a:latin typeface="Sitka Banner" panose="02000505000000020004" pitchFamily="2" charset="0"/>
              <a:ea typeface="Ebrima" panose="02000000000000000000" pitchFamily="2" charset="0"/>
              <a:cs typeface="Ebrima" panose="02000000000000000000" pitchFamily="2" charset="0"/>
            </a:rPr>
            <a:t>Synthèse détaillée</a:t>
          </a:r>
          <a:endParaRPr lang="fr-FR" sz="1200" b="1" i="0" u="sng"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i="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i="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Cet onglet recense :</a:t>
          </a:r>
        </a:p>
        <a:p>
          <a:pPr algn="l"/>
          <a:r>
            <a:rPr lang="fr-FR" sz="1200" b="0" i="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tous les résultats d'évaluation des bonnes pratiques par critère, </a:t>
          </a:r>
        </a:p>
        <a:p>
          <a:pPr algn="l"/>
          <a:r>
            <a:rPr lang="fr-FR" sz="1200" b="0" i="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 niveau de maturité de chaque bonne pratique et de chaque vecteur,</a:t>
          </a:r>
        </a:p>
        <a:p>
          <a:pPr algn="l"/>
          <a:r>
            <a:rPr lang="fr-FR" sz="1200" b="0" i="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 pourcentage de complétude de chaque bonne pratique et de chaque vecteur qui ont été remplis dans </a:t>
          </a:r>
          <a:r>
            <a:rPr lang="fr-FR" sz="1200" b="0" i="0" u="none" baseline="0">
              <a:solidFill>
                <a:srgbClr val="376C99"/>
              </a:solidFill>
              <a:latin typeface="Sitka Banner" panose="02000505000000020004" pitchFamily="2" charset="0"/>
              <a:ea typeface="Ebrima" panose="02000000000000000000" pitchFamily="2" charset="0"/>
              <a:cs typeface="Ebrima" panose="02000000000000000000" pitchFamily="2" charset="0"/>
            </a:rPr>
            <a:t>les </a:t>
          </a:r>
          <a:r>
            <a:rPr lang="fr-FR" sz="1200" b="1" i="0" u="none" baseline="0">
              <a:solidFill>
                <a:srgbClr val="0079A4"/>
              </a:solidFill>
              <a:latin typeface="Sitka Banner" panose="02000505000000020004" pitchFamily="2" charset="0"/>
              <a:ea typeface="Ebrima" panose="02000000000000000000" pitchFamily="2" charset="0"/>
              <a:cs typeface="Ebrima" panose="02000000000000000000" pitchFamily="2" charset="0"/>
            </a:rPr>
            <a:t>VQuest</a:t>
          </a:r>
          <a:r>
            <a:rPr lang="fr-FR" sz="1200" b="1" i="0" u="none" baseline="0">
              <a:solidFill>
                <a:srgbClr val="0097CC"/>
              </a:solidFill>
              <a:latin typeface="Sitka Banner" panose="02000505000000020004" pitchFamily="2" charset="0"/>
              <a:ea typeface="Ebrima" panose="02000000000000000000" pitchFamily="2" charset="0"/>
              <a:cs typeface="Ebrima" panose="02000000000000000000" pitchFamily="2" charset="0"/>
            </a:rPr>
            <a:t>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et toutes les commentaires des encadrés "</a:t>
          </a:r>
          <a:r>
            <a:rPr lang="fr-FR" sz="1200" b="1" u="none" baseline="0">
              <a:solidFill>
                <a:srgbClr val="0097CC"/>
              </a:solidFill>
              <a:latin typeface="Sitka Banner" panose="02000505000000020004" pitchFamily="2" charset="0"/>
              <a:ea typeface="Ebrima" panose="02000000000000000000" pitchFamily="2" charset="0"/>
              <a:cs typeface="Ebrima" panose="02000000000000000000" pitchFamily="2" charset="0"/>
            </a:rPr>
            <a:t>Synthèse d'évaluation</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0" u="sng" baseline="0">
              <a:solidFill>
                <a:srgbClr val="1C3D79"/>
              </a:solidFill>
              <a:latin typeface="Sitka Banner" panose="02000505000000020004" pitchFamily="2" charset="0"/>
              <a:ea typeface="Ebrima" panose="02000000000000000000" pitchFamily="2" charset="0"/>
              <a:cs typeface="Ebrima" panose="02000000000000000000" pitchFamily="2" charset="0"/>
            </a:rPr>
            <a:t>Onglet </a:t>
          </a:r>
          <a:r>
            <a:rPr lang="fr-FR" sz="1200" b="1" i="0" u="sng" baseline="0">
              <a:solidFill>
                <a:srgbClr val="C00000"/>
              </a:solidFill>
              <a:latin typeface="Sitka Banner" panose="02000505000000020004" pitchFamily="2" charset="0"/>
              <a:ea typeface="Ebrima" panose="02000000000000000000" pitchFamily="2" charset="0"/>
              <a:cs typeface="Ebrima" panose="02000000000000000000" pitchFamily="2" charset="0"/>
            </a:rPr>
            <a:t>Synthèse globale</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Cette onglet affiche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 taux de complétude et le niveau de maturité de chaque vecteur,</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un radar qui représente les niveaux de maturité par vecteur.</a:t>
          </a:r>
        </a:p>
        <a:p>
          <a:pPr algn="l"/>
          <a:endParaRPr lang="fr-FR" sz="1200" b="0" i="0" u="sng" baseline="0">
            <a:solidFill>
              <a:schemeClr val="accent6"/>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i="0" u="none" baseline="0">
              <a:solidFill>
                <a:schemeClr val="accent6"/>
              </a:solidFill>
              <a:latin typeface="Sitka Banner" panose="02000505000000020004" pitchFamily="2" charset="0"/>
              <a:ea typeface="Ebrima" panose="02000000000000000000" pitchFamily="2" charset="0"/>
              <a:cs typeface="Ebrima" panose="02000000000000000000" pitchFamily="2" charset="0"/>
            </a:rPr>
            <a:t>	</a:t>
          </a:r>
          <a:r>
            <a:rPr lang="fr-FR" sz="1200" b="0" i="0" u="sng" baseline="0">
              <a:solidFill>
                <a:srgbClr val="1C3D79"/>
              </a:solidFill>
              <a:latin typeface="Sitka Banner" panose="02000505000000020004" pitchFamily="2" charset="0"/>
              <a:ea typeface="Ebrima" panose="02000000000000000000" pitchFamily="2" charset="0"/>
              <a:cs typeface="Ebrima" panose="02000000000000000000" pitchFamily="2" charset="0"/>
            </a:rPr>
            <a:t>Onglets </a:t>
          </a:r>
          <a:r>
            <a:rPr lang="fr-FR" sz="1200" b="1" i="0" u="sng" baseline="0">
              <a:solidFill>
                <a:srgbClr val="0079A4"/>
              </a:solidFill>
              <a:latin typeface="Sitka Banner" panose="02000505000000020004" pitchFamily="2" charset="0"/>
              <a:ea typeface="Ebrima" panose="02000000000000000000" pitchFamily="2" charset="0"/>
              <a:cs typeface="Ebrima" panose="02000000000000000000" pitchFamily="2" charset="0"/>
            </a:rPr>
            <a:t>VQuest</a:t>
          </a:r>
          <a:r>
            <a:rPr lang="fr-FR" sz="1200" b="1" i="0" u="sng" baseline="0">
              <a:solidFill>
                <a:srgbClr val="0097CC"/>
              </a:solidFill>
              <a:latin typeface="Sitka Banner" panose="02000505000000020004" pitchFamily="2" charset="0"/>
              <a:ea typeface="Ebrima" panose="02000000000000000000" pitchFamily="2" charset="0"/>
              <a:cs typeface="Ebrima" panose="02000000000000000000" pitchFamily="2" charset="0"/>
            </a:rPr>
            <a:t>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Cette page contient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 détail de chaque bonne pratique, de chaque critère et des informations complémentaires,</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les questionnaires à remplir pour évaluer la maturité d'un vecteur,</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les notes de l'auditeur.</a:t>
          </a:r>
        </a:p>
        <a:p>
          <a:pPr algn="l"/>
          <a:endParaRPr lang="fr-FR" sz="1200" b="0" u="sng"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Chaque critère peut être évalué selon 4 notations :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Exigences </a:t>
          </a:r>
          <a:r>
            <a:rPr lang="fr-FR" sz="1200" b="0" u="none" baseline="0">
              <a:solidFill>
                <a:srgbClr val="C00000"/>
              </a:solidFill>
              <a:latin typeface="Sitka Banner" panose="02000505000000020004" pitchFamily="2" charset="0"/>
              <a:ea typeface="Ebrima" panose="02000000000000000000" pitchFamily="2" charset="0"/>
              <a:cs typeface="Ebrima" panose="02000000000000000000" pitchFamily="2" charset="0"/>
            </a:rPr>
            <a:t>non respectées</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Exigences </a:t>
          </a:r>
          <a:r>
            <a:rPr lang="fr-FR" sz="1200" b="0" u="none" baseline="0">
              <a:solidFill>
                <a:schemeClr val="accent4">
                  <a:lumMod val="75000"/>
                </a:schemeClr>
              </a:solidFill>
              <a:latin typeface="Sitka Banner" panose="02000505000000020004" pitchFamily="2" charset="0"/>
              <a:ea typeface="Ebrima" panose="02000000000000000000" pitchFamily="2" charset="0"/>
              <a:cs typeface="Ebrima" panose="02000000000000000000" pitchFamily="2" charset="0"/>
            </a:rPr>
            <a:t>partiellement respectées</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Exigences </a:t>
          </a:r>
          <a:r>
            <a:rPr lang="fr-FR" sz="1200" b="0" u="none" baseline="0">
              <a:solidFill>
                <a:srgbClr val="00B050"/>
              </a:solidFill>
              <a:latin typeface="Sitka Banner" panose="02000505000000020004" pitchFamily="2" charset="0"/>
              <a:ea typeface="Ebrima" panose="02000000000000000000" pitchFamily="2" charset="0"/>
              <a:cs typeface="Ebrima" panose="02000000000000000000" pitchFamily="2" charset="0"/>
            </a:rPr>
            <a:t>respectées</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a:t>
          </a:r>
          <a:r>
            <a:rPr lang="fr-FR" sz="1200" b="0" u="none" baseline="0">
              <a:solidFill>
                <a:schemeClr val="tx1"/>
              </a:solidFill>
              <a:latin typeface="Sitka Banner" panose="02000505000000020004" pitchFamily="2" charset="0"/>
              <a:ea typeface="Ebrima" panose="02000000000000000000" pitchFamily="2" charset="0"/>
              <a:cs typeface="Ebrima" panose="02000000000000000000" pitchFamily="2" charset="0"/>
            </a:rPr>
            <a:t>Non évalué</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0" u="sng" baseline="0">
              <a:solidFill>
                <a:srgbClr val="1C3D79"/>
              </a:solidFill>
              <a:latin typeface="Sitka Banner" panose="02000505000000020004" pitchFamily="2" charset="0"/>
              <a:ea typeface="Ebrima" panose="02000000000000000000" pitchFamily="2" charset="0"/>
              <a:cs typeface="Ebrima" panose="02000000000000000000" pitchFamily="2" charset="0"/>
            </a:rPr>
            <a:t>Onglets </a:t>
          </a:r>
          <a:r>
            <a:rPr lang="fr-FR" sz="1200" b="1" u="sng" baseline="0">
              <a:solidFill>
                <a:srgbClr val="0097CC"/>
              </a:solidFill>
              <a:latin typeface="Sitka Banner" panose="02000505000000020004" pitchFamily="2" charset="0"/>
              <a:ea typeface="Ebrima" panose="02000000000000000000" pitchFamily="2" charset="0"/>
              <a:cs typeface="Ebrima" panose="02000000000000000000" pitchFamily="2" charset="0"/>
            </a:rPr>
            <a:t>VN_NomDuVecteur </a:t>
          </a:r>
          <a:r>
            <a:rPr lang="fr-FR" sz="1200" b="0" u="sng"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Cette page affiche :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les résultats de tous les critères évalués dans les onglets VN_Quest avec leur niveau de maturité et de complétude*,</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un encadré "</a:t>
          </a:r>
          <a:r>
            <a:rPr lang="fr-FR" sz="1200" b="1" u="none" baseline="0">
              <a:solidFill>
                <a:srgbClr val="0097CC"/>
              </a:solidFill>
              <a:latin typeface="Sitka Banner" panose="02000505000000020004" pitchFamily="2" charset="0"/>
              <a:ea typeface="Ebrima" panose="02000000000000000000" pitchFamily="2" charset="0"/>
              <a:cs typeface="Ebrima" panose="02000000000000000000" pitchFamily="2" charset="0"/>
            </a:rPr>
            <a:t>Synthèse d'évaluation</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dans lequel des commentaires peuvent être ajoutés par l'éditeur,</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le bouton de calcul de la maturité.</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NB : le niveau de maturité est affiché accolé à un taux de complétude. Le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niveau de complétude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calcule le nombre de critères respectés, indépendamment du niveau qui leur est associé. </a:t>
          </a:r>
        </a:p>
        <a:p>
          <a:pPr algn="l"/>
          <a:r>
            <a:rPr lang="fr-FR" sz="1200" b="0"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Exemple :  Critère 1 (N2 - respecté), Critère 2 (N5 - respecté), Critère 3 (N2 - non respecté), Critère 4 (N1 - non respecté). Le </a:t>
          </a:r>
          <a:r>
            <a:rPr lang="fr-FR" sz="1200" b="1"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taux de complétude est de 25% + 25% = 50%.</a:t>
          </a:r>
          <a:br>
            <a:rPr lang="fr-FR" sz="1200" b="0"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br>
          <a:r>
            <a:rPr lang="fr-FR" sz="1200" b="0"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Exemple 2 :  Critère 1 (N2 - respecté), Critère 2 (N5 - partiellement respecté), Critère 3 (N2 - non respecté), Critère 4 (N1 - non évalué), Critère 5 (N1 - respecté). </a:t>
          </a:r>
          <a:r>
            <a:rPr lang="fr-FR" sz="1200" b="1"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Le taux de complétude est de 20% + 10% + 0% + 0% + 20% </a:t>
          </a:r>
          <a:r>
            <a:rPr lang="fr-FR" sz="1200" b="0"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 50%.</a:t>
          </a:r>
        </a:p>
        <a:p>
          <a:pPr algn="l"/>
          <a:endParaRPr lang="fr-FR" sz="1200" b="0" i="1"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endParaRPr>
        </a:p>
      </xdr:txBody>
    </xdr:sp>
    <xdr:clientData/>
  </xdr:twoCellAnchor>
  <xdr:twoCellAnchor editAs="oneCell">
    <xdr:from>
      <xdr:col>0</xdr:col>
      <xdr:colOff>175182</xdr:colOff>
      <xdr:row>1</xdr:row>
      <xdr:rowOff>18129</xdr:rowOff>
    </xdr:from>
    <xdr:to>
      <xdr:col>1</xdr:col>
      <xdr:colOff>234147</xdr:colOff>
      <xdr:row>1</xdr:row>
      <xdr:rowOff>432954</xdr:rowOff>
    </xdr:to>
    <xdr:pic>
      <xdr:nvPicPr>
        <xdr:cNvPr id="15" name="Imag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182" y="199970"/>
          <a:ext cx="855601" cy="41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398334</xdr:colOff>
      <xdr:row>1</xdr:row>
      <xdr:rowOff>4178</xdr:rowOff>
    </xdr:from>
    <xdr:to>
      <xdr:col>4</xdr:col>
      <xdr:colOff>744687</xdr:colOff>
      <xdr:row>1</xdr:row>
      <xdr:rowOff>486161</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8243" y="186019"/>
          <a:ext cx="1142989" cy="481983"/>
        </a:xfrm>
        <a:prstGeom prst="rect">
          <a:avLst/>
        </a:prstGeom>
      </xdr:spPr>
    </xdr:pic>
    <xdr:clientData/>
  </xdr:twoCellAnchor>
  <xdr:twoCellAnchor editAs="oneCell">
    <xdr:from>
      <xdr:col>1</xdr:col>
      <xdr:colOff>424296</xdr:colOff>
      <xdr:row>0</xdr:row>
      <xdr:rowOff>49496</xdr:rowOff>
    </xdr:from>
    <xdr:to>
      <xdr:col>3</xdr:col>
      <xdr:colOff>429896</xdr:colOff>
      <xdr:row>1</xdr:row>
      <xdr:rowOff>502227</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0932" y="49496"/>
          <a:ext cx="1598873" cy="634572"/>
        </a:xfrm>
        <a:prstGeom prst="rect">
          <a:avLst/>
        </a:prstGeom>
      </xdr:spPr>
    </xdr:pic>
    <xdr:clientData/>
  </xdr:twoCellAnchor>
  <xdr:twoCellAnchor>
    <xdr:from>
      <xdr:col>10</xdr:col>
      <xdr:colOff>476251</xdr:colOff>
      <xdr:row>27</xdr:row>
      <xdr:rowOff>1</xdr:rowOff>
    </xdr:from>
    <xdr:to>
      <xdr:col>22</xdr:col>
      <xdr:colOff>542012</xdr:colOff>
      <xdr:row>73</xdr:row>
      <xdr:rowOff>133350</xdr:rowOff>
    </xdr:to>
    <xdr:grpSp>
      <xdr:nvGrpSpPr>
        <xdr:cNvPr id="8" name="Groupe 7">
          <a:extLst>
            <a:ext uri="{FF2B5EF4-FFF2-40B4-BE49-F238E27FC236}">
              <a16:creationId xmlns:a16="http://schemas.microsoft.com/office/drawing/2014/main" id="{00000000-0008-0000-0000-000008000000}"/>
            </a:ext>
          </a:extLst>
        </xdr:cNvPr>
        <xdr:cNvGrpSpPr/>
      </xdr:nvGrpSpPr>
      <xdr:grpSpPr>
        <a:xfrm>
          <a:off x="8375031" y="5956611"/>
          <a:ext cx="9544298" cy="8682617"/>
          <a:chOff x="8375031" y="5956611"/>
          <a:chExt cx="9544298" cy="8682617"/>
        </a:xfrm>
      </xdr:grpSpPr>
      <xdr:sp macro="" textlink="">
        <xdr:nvSpPr>
          <xdr:cNvPr id="19" name="Rectangle 18">
            <a:extLst>
              <a:ext uri="{FF2B5EF4-FFF2-40B4-BE49-F238E27FC236}">
                <a16:creationId xmlns:a16="http://schemas.microsoft.com/office/drawing/2014/main" id="{00000000-0008-0000-0000-000013000000}"/>
              </a:ext>
            </a:extLst>
          </xdr:cNvPr>
          <xdr:cNvSpPr/>
        </xdr:nvSpPr>
        <xdr:spPr>
          <a:xfrm>
            <a:off x="8375031" y="5956611"/>
            <a:ext cx="9544298" cy="8682617"/>
          </a:xfrm>
          <a:prstGeom prst="rect">
            <a:avLst/>
          </a:prstGeom>
          <a:solidFill>
            <a:sysClr val="window" lastClr="FFFFFF"/>
          </a:solidFill>
          <a:ln>
            <a:solidFill>
              <a:srgbClr val="1C3D7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u="sng">
                <a:solidFill>
                  <a:srgbClr val="1C3D79"/>
                </a:solidFill>
                <a:latin typeface="Sitka Banner" panose="02000505000000020004" pitchFamily="2" charset="0"/>
                <a:ea typeface="Ebrima" panose="02000000000000000000" pitchFamily="2" charset="0"/>
                <a:cs typeface="Ebrima" panose="02000000000000000000" pitchFamily="2" charset="0"/>
              </a:rPr>
              <a:t>Méthodologie/Mode de calcul de la maturité</a:t>
            </a:r>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ctr"/>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i="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0" i="0" u="sng" baseline="0">
                <a:solidFill>
                  <a:srgbClr val="1C3D79"/>
                </a:solidFill>
                <a:latin typeface="Sitka Banner" panose="02000505000000020004" pitchFamily="2" charset="0"/>
                <a:ea typeface="Ebrima" panose="02000000000000000000" pitchFamily="2" charset="0"/>
                <a:cs typeface="Ebrima" panose="02000000000000000000" pitchFamily="2" charset="0"/>
              </a:rPr>
              <a:t>Règle de calcul du niveau de maturité d'un niveau</a:t>
            </a:r>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Chaque Vecteur est composé de Bonnes pratiques, elles-mêmes décomposées en Critères qui sont associés à un niveau de maturité. </a:t>
            </a:r>
            <a:b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b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L'évaluation des niveaux de maturité permet donc de déterminer le niveau de maturité des Bonnes pratiques et des Vecteurs.</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Lors de l’évaluation d’un critère, quatre résultats sont possibles pour l’évaluation. Ils se traduisent par une note associée à une couleur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exigences </a:t>
            </a:r>
            <a:r>
              <a:rPr lang="fr-FR" sz="1200" b="0" u="none" baseline="0">
                <a:solidFill>
                  <a:srgbClr val="00B050"/>
                </a:solidFill>
                <a:latin typeface="Sitka Banner" panose="02000505000000020004" pitchFamily="2" charset="0"/>
                <a:ea typeface="Ebrima" panose="02000000000000000000" pitchFamily="2" charset="0"/>
                <a:cs typeface="Ebrima" panose="02000000000000000000" pitchFamily="2" charset="0"/>
              </a:rPr>
              <a:t>respectées</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-&gt; note 2 et couleur </a:t>
            </a:r>
            <a:r>
              <a:rPr lang="fr-FR" sz="1200" b="0" u="none" baseline="0">
                <a:solidFill>
                  <a:srgbClr val="00B050"/>
                </a:solidFill>
                <a:latin typeface="Sitka Banner" panose="02000505000000020004" pitchFamily="2" charset="0"/>
                <a:ea typeface="Ebrima" panose="02000000000000000000" pitchFamily="2" charset="0"/>
                <a:cs typeface="Ebrima" panose="02000000000000000000" pitchFamily="2" charset="0"/>
              </a:rPr>
              <a:t>verte</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exigences </a:t>
            </a:r>
            <a:r>
              <a:rPr lang="fr-FR" sz="1200" b="0" u="none" baseline="0">
                <a:solidFill>
                  <a:schemeClr val="accent4">
                    <a:lumMod val="75000"/>
                  </a:schemeClr>
                </a:solidFill>
                <a:latin typeface="Sitka Banner" panose="02000505000000020004" pitchFamily="2" charset="0"/>
                <a:ea typeface="Ebrima" panose="02000000000000000000" pitchFamily="2" charset="0"/>
                <a:cs typeface="Ebrima" panose="02000000000000000000" pitchFamily="2" charset="0"/>
              </a:rPr>
              <a:t>partiellement respectées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-&gt; note 1 et  couleur </a:t>
            </a:r>
            <a:r>
              <a:rPr lang="fr-FR" sz="1200" b="0" u="none" baseline="0">
                <a:solidFill>
                  <a:schemeClr val="accent4">
                    <a:lumMod val="75000"/>
                  </a:schemeClr>
                </a:solidFill>
                <a:latin typeface="Sitka Banner" panose="02000505000000020004" pitchFamily="2" charset="0"/>
                <a:ea typeface="Ebrima" panose="02000000000000000000" pitchFamily="2" charset="0"/>
                <a:cs typeface="Ebrima" panose="02000000000000000000" pitchFamily="2" charset="0"/>
              </a:rPr>
              <a:t>jaune</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exigences </a:t>
            </a:r>
            <a:r>
              <a:rPr lang="fr-FR" sz="1200" b="0" u="none" baseline="0">
                <a:solidFill>
                  <a:srgbClr val="C00000"/>
                </a:solidFill>
                <a:latin typeface="Sitka Banner" panose="02000505000000020004" pitchFamily="2" charset="0"/>
                <a:ea typeface="Ebrima" panose="02000000000000000000" pitchFamily="2" charset="0"/>
                <a:cs typeface="Ebrima" panose="02000000000000000000" pitchFamily="2" charset="0"/>
              </a:rPr>
              <a:t>non respectées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-&gt; note </a:t>
            </a:r>
            <a:r>
              <a:rPr lang="fr-FR" sz="1200" b="0" u="none" baseline="0">
                <a:solidFill>
                  <a:srgbClr val="1C3D79"/>
                </a:solidFill>
                <a:latin typeface="Amasis MT Pro Light" panose="02040304050005020304" pitchFamily="18" charset="0"/>
                <a:ea typeface="Ebrima" panose="02000000000000000000" pitchFamily="2" charset="0"/>
                <a:cs typeface="Ebrima" panose="02000000000000000000" pitchFamily="2" charset="0"/>
              </a:rPr>
              <a:t>0</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et couleur </a:t>
            </a:r>
            <a:r>
              <a:rPr lang="fr-FR" sz="1200" b="0" u="none" baseline="0">
                <a:solidFill>
                  <a:srgbClr val="C00000"/>
                </a:solidFill>
                <a:latin typeface="Sitka Banner" panose="02000505000000020004" pitchFamily="2" charset="0"/>
                <a:ea typeface="Ebrima" panose="02000000000000000000" pitchFamily="2" charset="0"/>
                <a:cs typeface="Ebrima" panose="02000000000000000000" pitchFamily="2" charset="0"/>
              </a:rPr>
              <a:t>rouge</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critère </a:t>
            </a:r>
            <a:r>
              <a:rPr lang="fr-FR" sz="1200" b="0"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non évalué</a:t>
            </a:r>
            <a:r>
              <a:rPr lang="fr-FR" sz="1200" b="0" u="none" baseline="0">
                <a:solidFill>
                  <a:schemeClr val="tx1"/>
                </a:solidFill>
                <a:latin typeface="Sitka Banner" panose="02000505000000020004" pitchFamily="2" charset="0"/>
                <a:ea typeface="Ebrima" panose="02000000000000000000" pitchFamily="2" charset="0"/>
                <a:cs typeface="Ebrima" panose="02000000000000000000" pitchFamily="2" charset="0"/>
              </a:rPr>
              <a:t>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-&gt; note </a:t>
            </a:r>
            <a:r>
              <a:rPr lang="fr-FR" sz="1200" b="0" u="none" baseline="0">
                <a:solidFill>
                  <a:srgbClr val="1C3D79"/>
                </a:solidFill>
                <a:latin typeface="Amasis MT Pro Light" panose="02040304050005020304" pitchFamily="18" charset="0"/>
                <a:ea typeface="Ebrima" panose="02000000000000000000" pitchFamily="2" charset="0"/>
                <a:cs typeface="Ebrima" panose="02000000000000000000" pitchFamily="2" charset="0"/>
              </a:rPr>
              <a:t>0</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et couleur</a:t>
            </a:r>
            <a:r>
              <a:rPr lang="fr-FR" sz="1200" b="0" u="none" baseline="0">
                <a:solidFill>
                  <a:schemeClr val="bg1">
                    <a:lumMod val="50000"/>
                  </a:schemeClr>
                </a:solidFill>
                <a:latin typeface="Sitka Banner" panose="02000505000000020004" pitchFamily="2" charset="0"/>
                <a:ea typeface="Ebrima" panose="02000000000000000000" pitchFamily="2" charset="0"/>
                <a:cs typeface="Ebrima" panose="02000000000000000000" pitchFamily="2" charset="0"/>
              </a:rPr>
              <a:t> grise</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Pour chaque Bonne pratique on calcule ensuite niveau par niveau la maturité, c'est-à-dire, le degré d’atteinte du niveau selon la formule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      Degré atteint pour le niveau = Sommes des notes obtenues / Note maximale possible (c’est-à-dire : Nombre de critères *2)</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b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br>
            <a:b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b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Règle générale :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un niveau est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validé</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lorsque la somme des résultats des critères qui le composent est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&gt; 0,6 points de maturité</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on additionne tous les degrés atteints des niveaux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validés</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jusque, et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y compris</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le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premier niveau non-validé</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lorsqu'un niveau est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non validé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(ie. niveau &lt; 0,6) , il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vaut </a:t>
            </a:r>
            <a:r>
              <a:rPr lang="fr-FR" sz="1200" b="1" u="none" baseline="0">
                <a:solidFill>
                  <a:srgbClr val="1C3D79"/>
                </a:solidFill>
                <a:latin typeface="Amasis MT Pro Light" panose="02040304050005020304" pitchFamily="18" charset="0"/>
                <a:ea typeface="Ebrima" panose="02000000000000000000" pitchFamily="2" charset="0"/>
                <a:cs typeface="Ebrima" panose="02000000000000000000" pitchFamily="2" charset="0"/>
              </a:rPr>
              <a:t>0</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et tous les niveaux qui suivent aussi, quelle que soit leur évaluation</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lorsqu'un niveau n'est évalué par aucun critère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niveau vide</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alors il est :</a:t>
            </a:r>
          </a:p>
          <a:p>
            <a:pPr algn="l"/>
            <a:r>
              <a:rPr lang="fr-FR" sz="16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égal à 1 si le prochain niveau non vide est validé à + de 0,6 points, </a:t>
            </a:r>
          </a:p>
          <a:p>
            <a:pPr algn="l"/>
            <a:r>
              <a:rPr lang="fr-FR" sz="1200" b="0" baseline="0">
                <a:solidFill>
                  <a:srgbClr val="1C3D79"/>
                </a:solidFill>
                <a:effectLst/>
                <a:latin typeface="+mn-lt"/>
                <a:ea typeface="+mn-ea"/>
                <a:cs typeface="+mn-cs"/>
              </a:rPr>
              <a:t>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égal à 0 si le prochain niveau non vide est &lt; 0,6 points.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0" u="sng" baseline="0">
                <a:solidFill>
                  <a:srgbClr val="1C3D79"/>
                </a:solidFill>
                <a:latin typeface="Sitka Banner" panose="02000505000000020004" pitchFamily="2" charset="0"/>
                <a:ea typeface="Ebrima" panose="02000000000000000000" pitchFamily="2" charset="0"/>
                <a:cs typeface="Ebrima" panose="02000000000000000000" pitchFamily="2" charset="0"/>
              </a:rPr>
              <a:t>Exemples d'application :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effectLst/>
                <a:latin typeface="Sitka Banner" panose="02000505000000020004" pitchFamily="2" charset="0"/>
                <a:ea typeface="Ebrima" panose="02000000000000000000" pitchFamily="2" charset="0"/>
                <a:cs typeface="Ebrima" panose="02000000000000000000" pitchFamily="2" charset="0"/>
              </a:rPr>
              <a:t>1. Pour une bonne pratique donnée, chaque niveau dont tous les critères sont respectés rapporte un point de maturité. </a:t>
            </a:r>
            <a:br>
              <a:rPr lang="fr-FR" sz="1200" b="0" u="none" baseline="0">
                <a:solidFill>
                  <a:srgbClr val="1C3D79"/>
                </a:solidFill>
                <a:effectLst/>
                <a:latin typeface="Sitka Banner" panose="02000505000000020004" pitchFamily="2" charset="0"/>
                <a:ea typeface="Ebrima" panose="02000000000000000000" pitchFamily="2" charset="0"/>
                <a:cs typeface="Ebrima" panose="02000000000000000000" pitchFamily="2" charset="0"/>
              </a:rPr>
            </a:br>
            <a:r>
              <a:rPr lang="fr-FR" sz="1200" b="0" i="1" u="none" baseline="0">
                <a:solidFill>
                  <a:schemeClr val="bg1">
                    <a:lumMod val="50000"/>
                  </a:schemeClr>
                </a:solidFill>
                <a:effectLst/>
                <a:latin typeface="Sitka Banner" panose="02000505000000020004" pitchFamily="2" charset="0"/>
                <a:ea typeface="Ebrima" panose="02000000000000000000" pitchFamily="2" charset="0"/>
                <a:cs typeface="Ebrima" panose="02000000000000000000" pitchFamily="2" charset="0"/>
              </a:rPr>
              <a:t>Donc, par exemple, si tous les critères sont respectés de N1 à N2 puis tous sont non respectés de N3 à N5, on a 2 points. </a:t>
            </a:r>
          </a:p>
          <a:p>
            <a:pPr algn="l"/>
            <a:endParaRPr lang="fr-FR" sz="1200" b="0" u="none" baseline="0">
              <a:solidFill>
                <a:srgbClr val="1C3D79"/>
              </a:solidFill>
              <a:effectLst/>
              <a:latin typeface="Sitka Banner" panose="02000505000000020004" pitchFamily="2" charset="0"/>
              <a:ea typeface="Ebrima" panose="02000000000000000000" pitchFamily="2" charset="0"/>
              <a:cs typeface="Ebrima" panose="02000000000000000000" pitchFamily="2" charset="0"/>
            </a:endParaRPr>
          </a:p>
          <a:p>
            <a:pPr algn="l"/>
            <a:r>
              <a:rPr lang="fr-FR" sz="1200" b="0" i="0" u="none" baseline="0">
                <a:solidFill>
                  <a:srgbClr val="1C3D79"/>
                </a:solidFill>
                <a:effectLst/>
                <a:latin typeface="Sitka Banner" panose="02000505000000020004" pitchFamily="2" charset="0"/>
                <a:ea typeface="Ebrima" panose="02000000000000000000" pitchFamily="2" charset="0"/>
                <a:cs typeface="Ebrima" panose="02000000000000000000" pitchFamily="2" charset="0"/>
              </a:rPr>
              <a:t>2. Pour une bonne pratique donnée, si un niveau n'atteint pas les 0,6 points requis, les niveaux suivants sont = </a:t>
            </a:r>
            <a:r>
              <a:rPr lang="fr-FR" sz="1200" b="0" u="none" baseline="0">
                <a:solidFill>
                  <a:srgbClr val="1C3D79"/>
                </a:solidFill>
                <a:latin typeface="Amasis MT Pro Light" panose="02040304050005020304" pitchFamily="18" charset="0"/>
                <a:ea typeface="Ebrima" panose="02000000000000000000" pitchFamily="2" charset="0"/>
                <a:cs typeface="Ebrima" panose="02000000000000000000" pitchFamily="2" charset="0"/>
              </a:rPr>
              <a:t>0.</a:t>
            </a:r>
            <a:br>
              <a:rPr lang="fr-FR" sz="1200" b="0" i="0">
                <a:solidFill>
                  <a:srgbClr val="1C3D79"/>
                </a:solidFill>
                <a:effectLst/>
                <a:latin typeface="Sitka Banner" panose="02000505000000020004" pitchFamily="2" charset="0"/>
                <a:ea typeface="+mn-ea"/>
                <a:cs typeface="+mn-cs"/>
              </a:rPr>
            </a:br>
            <a:r>
              <a:rPr lang="fr-FR" sz="1200" b="0" i="1">
                <a:solidFill>
                  <a:schemeClr val="bg1">
                    <a:lumMod val="50000"/>
                  </a:schemeClr>
                </a:solidFill>
                <a:effectLst/>
                <a:latin typeface="Sitka Banner" panose="02000505000000020004" pitchFamily="2" charset="0"/>
                <a:ea typeface="+mn-ea"/>
                <a:cs typeface="+mn-cs"/>
              </a:rPr>
              <a:t>Exemple : N1 respecté,</a:t>
            </a:r>
            <a:r>
              <a:rPr lang="fr-FR" sz="1200" b="0" i="1" baseline="0">
                <a:solidFill>
                  <a:schemeClr val="bg1">
                    <a:lumMod val="50000"/>
                  </a:schemeClr>
                </a:solidFill>
                <a:effectLst/>
                <a:latin typeface="Sitka Banner" panose="02000505000000020004" pitchFamily="2" charset="0"/>
                <a:ea typeface="+mn-ea"/>
                <a:cs typeface="+mn-cs"/>
              </a:rPr>
              <a:t> N2 respecté, </a:t>
            </a:r>
            <a:r>
              <a:rPr lang="fr-FR" sz="1200" b="0" i="1">
                <a:solidFill>
                  <a:schemeClr val="bg1">
                    <a:lumMod val="50000"/>
                  </a:schemeClr>
                </a:solidFill>
                <a:effectLst/>
                <a:latin typeface="Sitka Banner" panose="02000505000000020004" pitchFamily="2" charset="0"/>
                <a:ea typeface="+mn-ea"/>
                <a:cs typeface="+mn-cs"/>
              </a:rPr>
              <a:t>tous les critères du N3 sont partiellement respectés (50% d'évaluation du niveau, soit </a:t>
            </a:r>
            <a:r>
              <a:rPr lang="fr-FR" sz="1200" b="1" i="1">
                <a:solidFill>
                  <a:schemeClr val="bg1">
                    <a:lumMod val="50000"/>
                  </a:schemeClr>
                </a:solidFill>
                <a:effectLst/>
                <a:latin typeface="Sitka Banner" panose="02000505000000020004" pitchFamily="2" charset="0"/>
                <a:ea typeface="+mn-ea"/>
                <a:cs typeface="+mn-cs"/>
              </a:rPr>
              <a:t>moins de 60%</a:t>
            </a:r>
            <a:r>
              <a:rPr lang="fr-FR" sz="1200" b="0" i="1">
                <a:solidFill>
                  <a:schemeClr val="bg1">
                    <a:lumMod val="50000"/>
                  </a:schemeClr>
                </a:solidFill>
                <a:effectLst/>
                <a:latin typeface="Sitka Banner" panose="02000505000000020004" pitchFamily="2" charset="0"/>
                <a:ea typeface="+mn-ea"/>
                <a:cs typeface="+mn-cs"/>
              </a:rPr>
              <a:t>), N4 et N5 respectés. </a:t>
            </a:r>
          </a:p>
          <a:p>
            <a:pPr algn="l"/>
            <a:r>
              <a:rPr lang="fr-FR" sz="1200" b="0" i="1">
                <a:solidFill>
                  <a:schemeClr val="bg1">
                    <a:lumMod val="50000"/>
                  </a:schemeClr>
                </a:solidFill>
                <a:effectLst/>
                <a:latin typeface="Sitka Banner" panose="02000505000000020004" pitchFamily="2" charset="0"/>
                <a:ea typeface="+mn-ea"/>
                <a:cs typeface="+mn-cs"/>
              </a:rPr>
              <a:t>L'on obtient : </a:t>
            </a:r>
            <a:r>
              <a:rPr lang="fr-FR" sz="1200" b="1" i="1">
                <a:solidFill>
                  <a:schemeClr val="bg1">
                    <a:lumMod val="50000"/>
                  </a:schemeClr>
                </a:solidFill>
                <a:effectLst/>
                <a:latin typeface="Sitka Banner" panose="02000505000000020004" pitchFamily="2" charset="0"/>
                <a:ea typeface="+mn-ea"/>
                <a:cs typeface="+mn-cs"/>
              </a:rPr>
              <a:t>2,5 points </a:t>
            </a:r>
            <a:r>
              <a:rPr lang="fr-FR" sz="1200" b="0" i="1">
                <a:solidFill>
                  <a:schemeClr val="bg1">
                    <a:lumMod val="50000"/>
                  </a:schemeClr>
                </a:solidFill>
                <a:effectLst/>
                <a:latin typeface="Sitka Banner" panose="02000505000000020004" pitchFamily="2" charset="0"/>
                <a:ea typeface="+mn-ea"/>
                <a:cs typeface="+mn-cs"/>
              </a:rPr>
              <a:t>(N1 = 1, N2 = 1, N3 = 0,5 &lt; 0,6</a:t>
            </a:r>
            <a:r>
              <a:rPr lang="fr-FR" sz="1200" b="0" i="1" baseline="0">
                <a:solidFill>
                  <a:schemeClr val="bg1">
                    <a:lumMod val="50000"/>
                  </a:schemeClr>
                </a:solidFill>
                <a:effectLst/>
                <a:latin typeface="Sitka Banner" panose="02000505000000020004" pitchFamily="2" charset="0"/>
                <a:ea typeface="+mn-ea"/>
                <a:cs typeface="+mn-cs"/>
              </a:rPr>
              <a:t> donc</a:t>
            </a:r>
            <a:r>
              <a:rPr lang="fr-FR" sz="1200" b="0" i="1">
                <a:solidFill>
                  <a:schemeClr val="bg1">
                    <a:lumMod val="50000"/>
                  </a:schemeClr>
                </a:solidFill>
                <a:effectLst/>
                <a:latin typeface="Sitka Banner" panose="02000505000000020004" pitchFamily="2" charset="0"/>
                <a:ea typeface="+mn-ea"/>
                <a:cs typeface="+mn-cs"/>
              </a:rPr>
              <a:t> N4 = N5 = 0). Ce n'est effectivement pas un passage au niveau supérieur après</a:t>
            </a:r>
            <a:r>
              <a:rPr lang="fr-FR" sz="1200" b="0" i="1" baseline="0">
                <a:solidFill>
                  <a:schemeClr val="bg1">
                    <a:lumMod val="50000"/>
                  </a:schemeClr>
                </a:solidFill>
                <a:effectLst/>
                <a:latin typeface="Sitka Banner" panose="02000505000000020004" pitchFamily="2" charset="0"/>
                <a:ea typeface="+mn-ea"/>
                <a:cs typeface="+mn-cs"/>
              </a:rPr>
              <a:t> le N3 </a:t>
            </a:r>
            <a:r>
              <a:rPr lang="fr-FR" sz="1200" b="0" i="1">
                <a:solidFill>
                  <a:schemeClr val="bg1">
                    <a:lumMod val="50000"/>
                  </a:schemeClr>
                </a:solidFill>
                <a:effectLst/>
                <a:latin typeface="Sitka Banner" panose="02000505000000020004" pitchFamily="2" charset="0"/>
                <a:ea typeface="+mn-ea"/>
                <a:cs typeface="+mn-cs"/>
              </a:rPr>
              <a:t>mais il y</a:t>
            </a:r>
            <a:r>
              <a:rPr lang="fr-FR" sz="1200" b="0" i="1" baseline="0">
                <a:solidFill>
                  <a:schemeClr val="bg1">
                    <a:lumMod val="50000"/>
                  </a:schemeClr>
                </a:solidFill>
                <a:effectLst/>
                <a:latin typeface="Sitka Banner" panose="02000505000000020004" pitchFamily="2" charset="0"/>
                <a:ea typeface="+mn-ea"/>
                <a:cs typeface="+mn-cs"/>
              </a:rPr>
              <a:t> a</a:t>
            </a:r>
            <a:r>
              <a:rPr lang="fr-FR" sz="1200" b="0" i="1">
                <a:solidFill>
                  <a:schemeClr val="bg1">
                    <a:lumMod val="50000"/>
                  </a:schemeClr>
                </a:solidFill>
                <a:effectLst/>
                <a:latin typeface="Sitka Banner" panose="02000505000000020004" pitchFamily="2" charset="0"/>
                <a:ea typeface="+mn-ea"/>
                <a:cs typeface="+mn-cs"/>
              </a:rPr>
              <a:t> quand même un gain de points de 0,5. </a:t>
            </a:r>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xdr:txBody>
      </xdr:sp>
      <xdr:sp macro="" textlink="">
        <xdr:nvSpPr>
          <xdr:cNvPr id="5" name="Rectangle 4">
            <a:extLst>
              <a:ext uri="{FF2B5EF4-FFF2-40B4-BE49-F238E27FC236}">
                <a16:creationId xmlns:a16="http://schemas.microsoft.com/office/drawing/2014/main" id="{00000000-0008-0000-0000-000005000000}"/>
              </a:ext>
            </a:extLst>
          </xdr:cNvPr>
          <xdr:cNvSpPr/>
        </xdr:nvSpPr>
        <xdr:spPr>
          <a:xfrm>
            <a:off x="8707245" y="8976732"/>
            <a:ext cx="7519072" cy="371707"/>
          </a:xfrm>
          <a:prstGeom prst="rect">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10</xdr:col>
      <xdr:colOff>476250</xdr:colOff>
      <xdr:row>3</xdr:row>
      <xdr:rowOff>77392</xdr:rowOff>
    </xdr:from>
    <xdr:to>
      <xdr:col>22</xdr:col>
      <xdr:colOff>542012</xdr:colOff>
      <xdr:row>24</xdr:row>
      <xdr:rowOff>117232</xdr:rowOff>
    </xdr:to>
    <xdr:grpSp>
      <xdr:nvGrpSpPr>
        <xdr:cNvPr id="14" name="Groupe 13">
          <a:extLst>
            <a:ext uri="{FF2B5EF4-FFF2-40B4-BE49-F238E27FC236}">
              <a16:creationId xmlns:a16="http://schemas.microsoft.com/office/drawing/2014/main" id="{00000000-0008-0000-0000-00000E000000}"/>
            </a:ext>
          </a:extLst>
        </xdr:cNvPr>
        <xdr:cNvGrpSpPr/>
      </xdr:nvGrpSpPr>
      <xdr:grpSpPr>
        <a:xfrm>
          <a:off x="8375030" y="1573514"/>
          <a:ext cx="9544299" cy="3942767"/>
          <a:chOff x="8375030" y="1573514"/>
          <a:chExt cx="9544299" cy="3942767"/>
        </a:xfrm>
      </xdr:grpSpPr>
      <xdr:grpSp>
        <xdr:nvGrpSpPr>
          <xdr:cNvPr id="7" name="Groupe 6">
            <a:extLst>
              <a:ext uri="{FF2B5EF4-FFF2-40B4-BE49-F238E27FC236}">
                <a16:creationId xmlns:a16="http://schemas.microsoft.com/office/drawing/2014/main" id="{00000000-0008-0000-0000-000007000000}"/>
              </a:ext>
            </a:extLst>
          </xdr:cNvPr>
          <xdr:cNvGrpSpPr/>
        </xdr:nvGrpSpPr>
        <xdr:grpSpPr>
          <a:xfrm>
            <a:off x="8375030" y="1573514"/>
            <a:ext cx="9544299" cy="3942767"/>
            <a:chOff x="8382000" y="1582342"/>
            <a:chExt cx="9552662" cy="3840315"/>
          </a:xfrm>
        </xdr:grpSpPr>
        <xdr:sp macro="" textlink="">
          <xdr:nvSpPr>
            <xdr:cNvPr id="4" name="Rectangle 3">
              <a:extLst>
                <a:ext uri="{FF2B5EF4-FFF2-40B4-BE49-F238E27FC236}">
                  <a16:creationId xmlns:a16="http://schemas.microsoft.com/office/drawing/2014/main" id="{00000000-0008-0000-0000-000004000000}"/>
                </a:ext>
              </a:extLst>
            </xdr:cNvPr>
            <xdr:cNvSpPr/>
          </xdr:nvSpPr>
          <xdr:spPr>
            <a:xfrm>
              <a:off x="8382000" y="1582342"/>
              <a:ext cx="9552662" cy="3840315"/>
            </a:xfrm>
            <a:prstGeom prst="rect">
              <a:avLst/>
            </a:prstGeom>
            <a:solidFill>
              <a:sysClr val="window" lastClr="FFFFFF"/>
            </a:solidFill>
            <a:ln>
              <a:solidFill>
                <a:srgbClr val="1C3D7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b="1" u="sng">
                  <a:solidFill>
                    <a:srgbClr val="1C3D79"/>
                  </a:solidFill>
                  <a:latin typeface="Sitka Banner" panose="02000505000000020004" pitchFamily="2" charset="0"/>
                  <a:ea typeface="Ebrima" panose="02000000000000000000" pitchFamily="2" charset="0"/>
                  <a:cs typeface="Ebrima" panose="02000000000000000000" pitchFamily="2" charset="0"/>
                </a:rPr>
                <a:t>Procédure / Mode opératoire</a:t>
              </a:r>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a:solidFill>
                    <a:srgbClr val="1C3D79"/>
                  </a:solidFill>
                  <a:latin typeface="Sitka Banner" panose="02000505000000020004" pitchFamily="2" charset="0"/>
                  <a:ea typeface="Ebrima" panose="02000000000000000000" pitchFamily="2" charset="0"/>
                  <a:cs typeface="Ebrima" panose="02000000000000000000" pitchFamily="2" charset="0"/>
                </a:rPr>
                <a:t>1.</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Renseigner la </a:t>
              </a:r>
              <a:r>
                <a:rPr lang="fr-FR" sz="1200" b="1" u="none" baseline="0">
                  <a:solidFill>
                    <a:schemeClr val="accent5">
                      <a:lumMod val="60000"/>
                      <a:lumOff val="40000"/>
                    </a:schemeClr>
                  </a:solidFill>
                  <a:latin typeface="Sitka Banner" panose="02000505000000020004" pitchFamily="2" charset="0"/>
                  <a:ea typeface="Ebrima" panose="02000000000000000000" pitchFamily="2" charset="0"/>
                  <a:cs typeface="Ebrima" panose="02000000000000000000" pitchFamily="2" charset="0"/>
                </a:rPr>
                <a:t>Fiche identité</a:t>
              </a:r>
              <a:r>
                <a:rPr lang="fr-FR" sz="1200" b="1" u="none" baseline="0">
                  <a:solidFill>
                    <a:schemeClr val="accent5">
                      <a:lumMod val="40000"/>
                      <a:lumOff val="60000"/>
                    </a:schemeClr>
                  </a:solidFill>
                  <a:latin typeface="Sitka Banner" panose="02000505000000020004" pitchFamily="2" charset="0"/>
                  <a:ea typeface="Ebrima" panose="02000000000000000000" pitchFamily="2" charset="0"/>
                  <a:cs typeface="Ebrima" panose="02000000000000000000" pitchFamily="2" charset="0"/>
                </a:rPr>
                <a:t>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de l'entreprise dans l'onglet du même nom.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2. Se rendre dans chacun des 13 questionnaires </a:t>
              </a:r>
              <a:r>
                <a:rPr lang="fr-FR" sz="1200" b="1" u="none" baseline="0">
                  <a:solidFill>
                    <a:srgbClr val="0079A4"/>
                  </a:solidFill>
                  <a:latin typeface="Sitka Banner" panose="02000505000000020004" pitchFamily="2" charset="0"/>
                  <a:ea typeface="Ebrima" panose="02000000000000000000" pitchFamily="2" charset="0"/>
                  <a:cs typeface="Ebrima" panose="02000000000000000000" pitchFamily="2" charset="0"/>
                </a:rPr>
                <a:t>VN_Quest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pour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renseigner le niveau de réalisation de chaque critère de la colonne "Evaluation",</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éventuellement, commenter son choix dans la colonne "Commentaire(s) de l'auditeur",	</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éventuellement, joindre des références ou des fichiers (colonnes "Preuve(s)").</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3. Se rendre dans chacun des 13 onglets de synthèse </a:t>
              </a:r>
              <a:r>
                <a:rPr lang="fr-FR" sz="1200" b="1" u="none" baseline="0">
                  <a:solidFill>
                    <a:srgbClr val="0097CC"/>
                  </a:solidFill>
                  <a:latin typeface="Sitka Banner" panose="02000505000000020004" pitchFamily="2" charset="0"/>
                  <a:ea typeface="Ebrima" panose="02000000000000000000" pitchFamily="2" charset="0"/>
                  <a:cs typeface="Ebrima" panose="02000000000000000000" pitchFamily="2" charset="0"/>
                </a:rPr>
                <a:t>VN_NomDuVecteur</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pour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activer la macro 		 qui permet de calculer le niveau de maturité de chacune des bonnes pratiques évaluées et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recommencer</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après chaque modification dans les onglets </a:t>
              </a:r>
              <a:r>
                <a:rPr lang="fr-FR" sz="1200" b="1" u="none" baseline="0">
                  <a:solidFill>
                    <a:srgbClr val="0079A4"/>
                  </a:solidFill>
                  <a:latin typeface="Sitka Banner" panose="02000505000000020004" pitchFamily="2" charset="0"/>
                  <a:ea typeface="Ebrima" panose="02000000000000000000" pitchFamily="2" charset="0"/>
                  <a:cs typeface="Ebrima" panose="02000000000000000000" pitchFamily="2" charset="0"/>
                </a:rPr>
                <a:t>VN_Quest,</a:t>
              </a: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 éventuellement, dans l'encadré "</a:t>
              </a:r>
              <a:r>
                <a:rPr lang="fr-FR" sz="1200" b="1" u="none" baseline="0">
                  <a:solidFill>
                    <a:srgbClr val="0097CC"/>
                  </a:solidFill>
                  <a:latin typeface="Sitka Banner" panose="02000505000000020004" pitchFamily="2" charset="0"/>
                  <a:ea typeface="Ebrima" panose="02000000000000000000" pitchFamily="2" charset="0"/>
                  <a:cs typeface="Ebrima" panose="02000000000000000000" pitchFamily="2" charset="0"/>
                </a:rPr>
                <a:t>Synthèse d'évaluation</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donner sa propre évaluation de la bonne pratique en colonne W via les listes 	déroulantes, commenter son choix en colonne X et commenter l'évaluation générale en colonne N.</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4. Se rendre dans les onglets </a:t>
              </a:r>
              <a:r>
                <a:rPr lang="fr-FR" sz="1200" b="1" u="none" baseline="0">
                  <a:solidFill>
                    <a:srgbClr val="C00000"/>
                  </a:solidFill>
                  <a:latin typeface="Sitka Banner" panose="02000505000000020004" pitchFamily="2" charset="0"/>
                  <a:ea typeface="Ebrima" panose="02000000000000000000" pitchFamily="2" charset="0"/>
                  <a:cs typeface="Ebrima" panose="02000000000000000000" pitchFamily="2" charset="0"/>
                </a:rPr>
                <a:t>Synthèse détaillée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et </a:t>
              </a:r>
              <a:r>
                <a:rPr lang="fr-FR" sz="1200" b="1" u="none" baseline="0">
                  <a:solidFill>
                    <a:srgbClr val="C00000"/>
                  </a:solidFill>
                  <a:latin typeface="Sitka Banner" panose="02000505000000020004" pitchFamily="2" charset="0"/>
                  <a:ea typeface="Ebrima" panose="02000000000000000000" pitchFamily="2" charset="0"/>
                  <a:cs typeface="Ebrima" panose="02000000000000000000" pitchFamily="2" charset="0"/>
                </a:rPr>
                <a:t>Synthèse globale </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pour constater les </a:t>
              </a:r>
              <a:r>
                <a:rPr lang="fr-FR" sz="1200" b="1" u="none" baseline="0">
                  <a:solidFill>
                    <a:srgbClr val="1C3D79"/>
                  </a:solidFill>
                  <a:latin typeface="Sitka Banner" panose="02000505000000020004" pitchFamily="2" charset="0"/>
                  <a:ea typeface="Ebrima" panose="02000000000000000000" pitchFamily="2" charset="0"/>
                  <a:cs typeface="Ebrima" panose="02000000000000000000" pitchFamily="2" charset="0"/>
                </a:rPr>
                <a:t>résultats</a:t>
              </a: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  </a:t>
              </a: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a:p>
              <a:pPr algn="l"/>
              <a:endPar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endParaRPr>
            </a:p>
          </xdr:txBody>
        </xdr:sp>
        <xdr:sp macro="" textlink="">
          <xdr:nvSpPr>
            <xdr:cNvPr id="13" name="Rectangle 12">
              <a:extLst>
                <a:ext uri="{FF2B5EF4-FFF2-40B4-BE49-F238E27FC236}">
                  <a16:creationId xmlns:a16="http://schemas.microsoft.com/office/drawing/2014/main" id="{00000000-0008-0000-0000-00000D000000}"/>
                </a:ext>
              </a:extLst>
            </xdr:cNvPr>
            <xdr:cNvSpPr/>
          </xdr:nvSpPr>
          <xdr:spPr>
            <a:xfrm>
              <a:off x="15106650" y="1729468"/>
              <a:ext cx="2678961" cy="1185182"/>
            </a:xfrm>
            <a:prstGeom prst="rect">
              <a:avLst/>
            </a:prstGeom>
            <a:solidFill>
              <a:sysClr val="window" lastClr="FFFFFF"/>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0" u="sng" baseline="0">
                  <a:solidFill>
                    <a:srgbClr val="C00000"/>
                  </a:solidFill>
                  <a:latin typeface="Sitka Banner" panose="02000505000000020004" pitchFamily="2" charset="0"/>
                  <a:ea typeface="Ebrima" panose="02000000000000000000" pitchFamily="2" charset="0"/>
                  <a:cs typeface="Ebrima" panose="02000000000000000000" pitchFamily="2" charset="0"/>
                </a:rPr>
                <a:t>IMPORTANT : </a:t>
              </a:r>
              <a:b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br>
              <a:r>
                <a:rPr lang="fr-FR" sz="1200" b="0" u="none" baseline="0">
                  <a:solidFill>
                    <a:srgbClr val="1C3D79"/>
                  </a:solidFill>
                  <a:latin typeface="Sitka Banner" panose="02000505000000020004" pitchFamily="2" charset="0"/>
                  <a:ea typeface="Ebrima" panose="02000000000000000000" pitchFamily="2" charset="0"/>
                  <a:cs typeface="Ebrima" panose="02000000000000000000" pitchFamily="2" charset="0"/>
                </a:rPr>
                <a:t>En cas de difficulté à faire fonctionner la macro, se rendre dans le dossier qui contient le fichier -&gt; clic droit -&gt; Propriétés -&gt; cocher la case "Débloquer"</a:t>
              </a:r>
            </a:p>
          </xdr:txBody>
        </xdr:sp>
      </xdr:grpSp>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10553158" y="3847870"/>
            <a:ext cx="1435982" cy="43605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0E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0E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0E00-000005000000}"/>
                </a:ext>
              </a:extLst>
            </xdr:cNvPr>
            <xdr:cNvGrpSpPr/>
          </xdr:nvGrpSpPr>
          <xdr:grpSpPr>
            <a:xfrm>
              <a:off x="3706091" y="5045364"/>
              <a:ext cx="1962727" cy="1651000"/>
              <a:chOff x="2995447" y="3846803"/>
              <a:chExt cx="1960181" cy="1644869"/>
            </a:xfrm>
          </xdr:grpSpPr>
          <xdr:sp macro="" textlink="">
            <xdr:nvSpPr>
              <xdr:cNvPr id="242689" name="Option Button 1" hidden="1">
                <a:extLst>
                  <a:ext uri="{63B3BB69-23CF-44E3-9099-C40C66FF867C}">
                    <a14:compatExt spid="_x0000_s242689"/>
                  </a:ext>
                  <a:ext uri="{FF2B5EF4-FFF2-40B4-BE49-F238E27FC236}">
                    <a16:creationId xmlns:a16="http://schemas.microsoft.com/office/drawing/2014/main" id="{00000000-0008-0000-0D00-000001B4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690" name="Option Button 2" hidden="1">
                <a:extLst>
                  <a:ext uri="{63B3BB69-23CF-44E3-9099-C40C66FF867C}">
                    <a14:compatExt spid="_x0000_s242690"/>
                  </a:ext>
                  <a:ext uri="{FF2B5EF4-FFF2-40B4-BE49-F238E27FC236}">
                    <a16:creationId xmlns:a16="http://schemas.microsoft.com/office/drawing/2014/main" id="{00000000-0008-0000-0D00-000002B4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691" name="Option Button 3" hidden="1">
                <a:extLst>
                  <a:ext uri="{63B3BB69-23CF-44E3-9099-C40C66FF867C}">
                    <a14:compatExt spid="_x0000_s242691"/>
                  </a:ext>
                  <a:ext uri="{FF2B5EF4-FFF2-40B4-BE49-F238E27FC236}">
                    <a16:creationId xmlns:a16="http://schemas.microsoft.com/office/drawing/2014/main" id="{00000000-0008-0000-0D00-000003B4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692" name="Option Button 4" hidden="1">
                <a:extLst>
                  <a:ext uri="{63B3BB69-23CF-44E3-9099-C40C66FF867C}">
                    <a14:compatExt spid="_x0000_s242692"/>
                  </a:ext>
                  <a:ext uri="{FF2B5EF4-FFF2-40B4-BE49-F238E27FC236}">
                    <a16:creationId xmlns:a16="http://schemas.microsoft.com/office/drawing/2014/main" id="{00000000-0008-0000-0D00-000004B4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693" name="Group Box 5" hidden="1">
                <a:extLst>
                  <a:ext uri="{63B3BB69-23CF-44E3-9099-C40C66FF867C}">
                    <a14:compatExt spid="_x0000_s242693"/>
                  </a:ext>
                  <a:ext uri="{FF2B5EF4-FFF2-40B4-BE49-F238E27FC236}">
                    <a16:creationId xmlns:a16="http://schemas.microsoft.com/office/drawing/2014/main" id="{00000000-0008-0000-0D00-000005B40300}"/>
                  </a:ext>
                </a:extLst>
              </xdr:cNvPr>
              <xdr:cNvSpPr/>
            </xdr:nvSpPr>
            <xdr:spPr bwMode="auto">
              <a:xfrm>
                <a:off x="2995447" y="384680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0E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0E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0E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0E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0E00-00000A000000}"/>
                </a:ext>
              </a:extLst>
            </xdr:cNvPr>
            <xdr:cNvGrpSpPr/>
          </xdr:nvGrpSpPr>
          <xdr:grpSpPr>
            <a:xfrm>
              <a:off x="3706091" y="3394366"/>
              <a:ext cx="1964316" cy="1653056"/>
              <a:chOff x="3693197" y="3303806"/>
              <a:chExt cx="1959428" cy="1648421"/>
            </a:xfrm>
          </xdr:grpSpPr>
          <xdr:sp macro="" textlink="">
            <xdr:nvSpPr>
              <xdr:cNvPr id="242695" name="Group Box 7" hidden="1">
                <a:extLst>
                  <a:ext uri="{63B3BB69-23CF-44E3-9099-C40C66FF867C}">
                    <a14:compatExt spid="_x0000_s242695"/>
                  </a:ext>
                  <a:ext uri="{FF2B5EF4-FFF2-40B4-BE49-F238E27FC236}">
                    <a16:creationId xmlns:a16="http://schemas.microsoft.com/office/drawing/2014/main" id="{00000000-0008-0000-0D00-000007B40300}"/>
                  </a:ext>
                </a:extLst>
              </xdr:cNvPr>
              <xdr:cNvSpPr/>
            </xdr:nvSpPr>
            <xdr:spPr bwMode="auto">
              <a:xfrm>
                <a:off x="3693197" y="3303806"/>
                <a:ext cx="1959426" cy="1648421"/>
              </a:xfrm>
              <a:prstGeom prst="rect">
                <a:avLst/>
              </a:prstGeom>
              <a:noFill/>
              <a:ln w="9525">
                <a:miter lim="800000"/>
                <a:headEnd/>
                <a:tailEnd/>
              </a:ln>
              <a:extLst>
                <a:ext uri="{909E8E84-426E-40DD-AFC4-6F175D3DCCD1}">
                  <a14:hiddenFill>
                    <a:noFill/>
                  </a14:hiddenFill>
                </a:ext>
              </a:extLst>
            </xdr:spPr>
          </xdr:sp>
          <xdr:sp macro="" textlink="">
            <xdr:nvSpPr>
              <xdr:cNvPr id="242696" name="Option Button 8" descr="Case d'option 47" hidden="1">
                <a:extLst>
                  <a:ext uri="{63B3BB69-23CF-44E3-9099-C40C66FF867C}">
                    <a14:compatExt spid="_x0000_s242696"/>
                  </a:ext>
                  <a:ext uri="{FF2B5EF4-FFF2-40B4-BE49-F238E27FC236}">
                    <a16:creationId xmlns:a16="http://schemas.microsoft.com/office/drawing/2014/main" id="{00000000-0008-0000-0D00-000008B403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697" name="Option Button 9" hidden="1">
                <a:extLst>
                  <a:ext uri="{63B3BB69-23CF-44E3-9099-C40C66FF867C}">
                    <a14:compatExt spid="_x0000_s242697"/>
                  </a:ext>
                  <a:ext uri="{FF2B5EF4-FFF2-40B4-BE49-F238E27FC236}">
                    <a16:creationId xmlns:a16="http://schemas.microsoft.com/office/drawing/2014/main" id="{00000000-0008-0000-0D00-000009B403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698" name="Option Button 10" hidden="1">
                <a:extLst>
                  <a:ext uri="{63B3BB69-23CF-44E3-9099-C40C66FF867C}">
                    <a14:compatExt spid="_x0000_s242698"/>
                  </a:ext>
                  <a:ext uri="{FF2B5EF4-FFF2-40B4-BE49-F238E27FC236}">
                    <a16:creationId xmlns:a16="http://schemas.microsoft.com/office/drawing/2014/main" id="{00000000-0008-0000-0D00-00000AB403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699" name="Option Button 11" hidden="1">
                <a:extLst>
                  <a:ext uri="{63B3BB69-23CF-44E3-9099-C40C66FF867C}">
                    <a14:compatExt spid="_x0000_s242699"/>
                  </a:ext>
                  <a:ext uri="{FF2B5EF4-FFF2-40B4-BE49-F238E27FC236}">
                    <a16:creationId xmlns:a16="http://schemas.microsoft.com/office/drawing/2014/main" id="{00000000-0008-0000-0D00-00000BB403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0E00-00000F000000}"/>
                </a:ext>
              </a:extLst>
            </xdr:cNvPr>
            <xdr:cNvGrpSpPr/>
          </xdr:nvGrpSpPr>
          <xdr:grpSpPr>
            <a:xfrm>
              <a:off x="3706091" y="6696364"/>
              <a:ext cx="1962727" cy="1651000"/>
              <a:chOff x="2994689" y="2201920"/>
              <a:chExt cx="1960969" cy="1646929"/>
            </a:xfrm>
          </xdr:grpSpPr>
          <xdr:sp macro="" textlink="">
            <xdr:nvSpPr>
              <xdr:cNvPr id="242720" name="Option Button 32" descr="Case d'option 47" hidden="1">
                <a:extLst>
                  <a:ext uri="{63B3BB69-23CF-44E3-9099-C40C66FF867C}">
                    <a14:compatExt spid="_x0000_s242720"/>
                  </a:ext>
                  <a:ext uri="{FF2B5EF4-FFF2-40B4-BE49-F238E27FC236}">
                    <a16:creationId xmlns:a16="http://schemas.microsoft.com/office/drawing/2014/main" id="{00000000-0008-0000-0D00-000020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21" name="Option Button 33" hidden="1">
                <a:extLst>
                  <a:ext uri="{63B3BB69-23CF-44E3-9099-C40C66FF867C}">
                    <a14:compatExt spid="_x0000_s242721"/>
                  </a:ext>
                  <a:ext uri="{FF2B5EF4-FFF2-40B4-BE49-F238E27FC236}">
                    <a16:creationId xmlns:a16="http://schemas.microsoft.com/office/drawing/2014/main" id="{00000000-0008-0000-0D00-000021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22" name="Option Button 34" hidden="1">
                <a:extLst>
                  <a:ext uri="{63B3BB69-23CF-44E3-9099-C40C66FF867C}">
                    <a14:compatExt spid="_x0000_s242722"/>
                  </a:ext>
                  <a:ext uri="{FF2B5EF4-FFF2-40B4-BE49-F238E27FC236}">
                    <a16:creationId xmlns:a16="http://schemas.microsoft.com/office/drawing/2014/main" id="{00000000-0008-0000-0D00-000022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23" name="Option Button 35" hidden="1">
                <a:extLst>
                  <a:ext uri="{63B3BB69-23CF-44E3-9099-C40C66FF867C}">
                    <a14:compatExt spid="_x0000_s242723"/>
                  </a:ext>
                  <a:ext uri="{FF2B5EF4-FFF2-40B4-BE49-F238E27FC236}">
                    <a16:creationId xmlns:a16="http://schemas.microsoft.com/office/drawing/2014/main" id="{00000000-0008-0000-0D00-000023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24" name="Group Box 36" hidden="1">
                <a:extLst>
                  <a:ext uri="{63B3BB69-23CF-44E3-9099-C40C66FF867C}">
                    <a14:compatExt spid="_x0000_s242724"/>
                  </a:ext>
                  <a:ext uri="{FF2B5EF4-FFF2-40B4-BE49-F238E27FC236}">
                    <a16:creationId xmlns:a16="http://schemas.microsoft.com/office/drawing/2014/main" id="{00000000-0008-0000-0D00-000024B40300}"/>
                  </a:ext>
                </a:extLst>
              </xdr:cNvPr>
              <xdr:cNvSpPr/>
            </xdr:nvSpPr>
            <xdr:spPr bwMode="auto">
              <a:xfrm>
                <a:off x="2994689" y="2201920"/>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0E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0E00-000012000000}"/>
                </a:ext>
              </a:extLst>
            </xdr:cNvPr>
            <xdr:cNvGrpSpPr/>
          </xdr:nvGrpSpPr>
          <xdr:grpSpPr>
            <a:xfrm>
              <a:off x="3706091" y="12977091"/>
              <a:ext cx="1962727" cy="1651000"/>
              <a:chOff x="2995447" y="3846800"/>
              <a:chExt cx="1960181" cy="1644869"/>
            </a:xfrm>
          </xdr:grpSpPr>
          <xdr:sp macro="" textlink="">
            <xdr:nvSpPr>
              <xdr:cNvPr id="242725" name="Option Button 37" hidden="1">
                <a:extLst>
                  <a:ext uri="{63B3BB69-23CF-44E3-9099-C40C66FF867C}">
                    <a14:compatExt spid="_x0000_s242725"/>
                  </a:ext>
                  <a:ext uri="{FF2B5EF4-FFF2-40B4-BE49-F238E27FC236}">
                    <a16:creationId xmlns:a16="http://schemas.microsoft.com/office/drawing/2014/main" id="{00000000-0008-0000-0D00-000025B4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26" name="Option Button 38" hidden="1">
                <a:extLst>
                  <a:ext uri="{63B3BB69-23CF-44E3-9099-C40C66FF867C}">
                    <a14:compatExt spid="_x0000_s242726"/>
                  </a:ext>
                  <a:ext uri="{FF2B5EF4-FFF2-40B4-BE49-F238E27FC236}">
                    <a16:creationId xmlns:a16="http://schemas.microsoft.com/office/drawing/2014/main" id="{00000000-0008-0000-0D00-000026B4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27" name="Option Button 39" hidden="1">
                <a:extLst>
                  <a:ext uri="{63B3BB69-23CF-44E3-9099-C40C66FF867C}">
                    <a14:compatExt spid="_x0000_s242727"/>
                  </a:ext>
                  <a:ext uri="{FF2B5EF4-FFF2-40B4-BE49-F238E27FC236}">
                    <a16:creationId xmlns:a16="http://schemas.microsoft.com/office/drawing/2014/main" id="{00000000-0008-0000-0D00-000027B4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28" name="Option Button 40" hidden="1">
                <a:extLst>
                  <a:ext uri="{63B3BB69-23CF-44E3-9099-C40C66FF867C}">
                    <a14:compatExt spid="_x0000_s242728"/>
                  </a:ext>
                  <a:ext uri="{FF2B5EF4-FFF2-40B4-BE49-F238E27FC236}">
                    <a16:creationId xmlns:a16="http://schemas.microsoft.com/office/drawing/2014/main" id="{00000000-0008-0000-0D00-000028B4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29" name="Group Box 41" hidden="1">
                <a:extLst>
                  <a:ext uri="{63B3BB69-23CF-44E3-9099-C40C66FF867C}">
                    <a14:compatExt spid="_x0000_s242729"/>
                  </a:ext>
                  <a:ext uri="{FF2B5EF4-FFF2-40B4-BE49-F238E27FC236}">
                    <a16:creationId xmlns:a16="http://schemas.microsoft.com/office/drawing/2014/main" id="{00000000-0008-0000-0D00-000029B40300}"/>
                  </a:ext>
                </a:extLst>
              </xdr:cNvPr>
              <xdr:cNvSpPr/>
            </xdr:nvSpPr>
            <xdr:spPr bwMode="auto">
              <a:xfrm>
                <a:off x="2995447" y="3846800"/>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0E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0E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0E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0E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0E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0E00-00001C000000}"/>
                </a:ext>
              </a:extLst>
            </xdr:cNvPr>
            <xdr:cNvGrpSpPr/>
          </xdr:nvGrpSpPr>
          <xdr:grpSpPr>
            <a:xfrm>
              <a:off x="3706091" y="14628091"/>
              <a:ext cx="1962727" cy="1651000"/>
              <a:chOff x="2994689" y="2201917"/>
              <a:chExt cx="1960969" cy="1646922"/>
            </a:xfrm>
          </xdr:grpSpPr>
          <xdr:sp macro="" textlink="">
            <xdr:nvSpPr>
              <xdr:cNvPr id="242751" name="Option Button 63" descr="Case d'option 47" hidden="1">
                <a:extLst>
                  <a:ext uri="{63B3BB69-23CF-44E3-9099-C40C66FF867C}">
                    <a14:compatExt spid="_x0000_s242751"/>
                  </a:ext>
                  <a:ext uri="{FF2B5EF4-FFF2-40B4-BE49-F238E27FC236}">
                    <a16:creationId xmlns:a16="http://schemas.microsoft.com/office/drawing/2014/main" id="{00000000-0008-0000-0D00-00003F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52" name="Option Button 64" hidden="1">
                <a:extLst>
                  <a:ext uri="{63B3BB69-23CF-44E3-9099-C40C66FF867C}">
                    <a14:compatExt spid="_x0000_s242752"/>
                  </a:ext>
                  <a:ext uri="{FF2B5EF4-FFF2-40B4-BE49-F238E27FC236}">
                    <a16:creationId xmlns:a16="http://schemas.microsoft.com/office/drawing/2014/main" id="{00000000-0008-0000-0D00-000040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53" name="Option Button 65" hidden="1">
                <a:extLst>
                  <a:ext uri="{63B3BB69-23CF-44E3-9099-C40C66FF867C}">
                    <a14:compatExt spid="_x0000_s242753"/>
                  </a:ext>
                  <a:ext uri="{FF2B5EF4-FFF2-40B4-BE49-F238E27FC236}">
                    <a16:creationId xmlns:a16="http://schemas.microsoft.com/office/drawing/2014/main" id="{00000000-0008-0000-0D00-000041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54" name="Option Button 66" hidden="1">
                <a:extLst>
                  <a:ext uri="{63B3BB69-23CF-44E3-9099-C40C66FF867C}">
                    <a14:compatExt spid="_x0000_s242754"/>
                  </a:ext>
                  <a:ext uri="{FF2B5EF4-FFF2-40B4-BE49-F238E27FC236}">
                    <a16:creationId xmlns:a16="http://schemas.microsoft.com/office/drawing/2014/main" id="{00000000-0008-0000-0D00-000042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55" name="Group Box 67" hidden="1">
                <a:extLst>
                  <a:ext uri="{63B3BB69-23CF-44E3-9099-C40C66FF867C}">
                    <a14:compatExt spid="_x0000_s242755"/>
                  </a:ext>
                  <a:ext uri="{FF2B5EF4-FFF2-40B4-BE49-F238E27FC236}">
                    <a16:creationId xmlns:a16="http://schemas.microsoft.com/office/drawing/2014/main" id="{00000000-0008-0000-0D00-000043B40300}"/>
                  </a:ext>
                </a:extLst>
              </xdr:cNvPr>
              <xdr:cNvSpPr/>
            </xdr:nvSpPr>
            <xdr:spPr bwMode="auto">
              <a:xfrm>
                <a:off x="2994689" y="2201917"/>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0E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0E00-00001E000000}"/>
                </a:ext>
              </a:extLst>
            </xdr:cNvPr>
            <xdr:cNvGrpSpPr/>
          </xdr:nvGrpSpPr>
          <xdr:grpSpPr>
            <a:xfrm>
              <a:off x="3706091" y="18449636"/>
              <a:ext cx="1962727" cy="2553601"/>
              <a:chOff x="2994693" y="2201919"/>
              <a:chExt cx="1960969" cy="1646922"/>
            </a:xfrm>
          </xdr:grpSpPr>
          <xdr:sp macro="" textlink="">
            <xdr:nvSpPr>
              <xdr:cNvPr id="242756" name="Option Button 68" descr="Case d'option 47" hidden="1">
                <a:extLst>
                  <a:ext uri="{63B3BB69-23CF-44E3-9099-C40C66FF867C}">
                    <a14:compatExt spid="_x0000_s242756"/>
                  </a:ext>
                  <a:ext uri="{FF2B5EF4-FFF2-40B4-BE49-F238E27FC236}">
                    <a16:creationId xmlns:a16="http://schemas.microsoft.com/office/drawing/2014/main" id="{00000000-0008-0000-0D00-000044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57" name="Option Button 69" hidden="1">
                <a:extLst>
                  <a:ext uri="{63B3BB69-23CF-44E3-9099-C40C66FF867C}">
                    <a14:compatExt spid="_x0000_s242757"/>
                  </a:ext>
                  <a:ext uri="{FF2B5EF4-FFF2-40B4-BE49-F238E27FC236}">
                    <a16:creationId xmlns:a16="http://schemas.microsoft.com/office/drawing/2014/main" id="{00000000-0008-0000-0D00-000045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58" name="Option Button 70" hidden="1">
                <a:extLst>
                  <a:ext uri="{63B3BB69-23CF-44E3-9099-C40C66FF867C}">
                    <a14:compatExt spid="_x0000_s242758"/>
                  </a:ext>
                  <a:ext uri="{FF2B5EF4-FFF2-40B4-BE49-F238E27FC236}">
                    <a16:creationId xmlns:a16="http://schemas.microsoft.com/office/drawing/2014/main" id="{00000000-0008-0000-0D00-000046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59" name="Option Button 71" hidden="1">
                <a:extLst>
                  <a:ext uri="{63B3BB69-23CF-44E3-9099-C40C66FF867C}">
                    <a14:compatExt spid="_x0000_s242759"/>
                  </a:ext>
                  <a:ext uri="{FF2B5EF4-FFF2-40B4-BE49-F238E27FC236}">
                    <a16:creationId xmlns:a16="http://schemas.microsoft.com/office/drawing/2014/main" id="{00000000-0008-0000-0D00-000047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60" name="Group Box 72" hidden="1">
                <a:extLst>
                  <a:ext uri="{63B3BB69-23CF-44E3-9099-C40C66FF867C}">
                    <a14:compatExt spid="_x0000_s242760"/>
                  </a:ext>
                  <a:ext uri="{FF2B5EF4-FFF2-40B4-BE49-F238E27FC236}">
                    <a16:creationId xmlns:a16="http://schemas.microsoft.com/office/drawing/2014/main" id="{00000000-0008-0000-0D00-000048B40300}"/>
                  </a:ext>
                </a:extLst>
              </xdr:cNvPr>
              <xdr:cNvSpPr/>
            </xdr:nvSpPr>
            <xdr:spPr bwMode="auto">
              <a:xfrm>
                <a:off x="2994693" y="2201919"/>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0E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0E00-000021000000}"/>
                </a:ext>
              </a:extLst>
            </xdr:cNvPr>
            <xdr:cNvGrpSpPr/>
          </xdr:nvGrpSpPr>
          <xdr:grpSpPr>
            <a:xfrm>
              <a:off x="3706091" y="21001182"/>
              <a:ext cx="1962727" cy="1905000"/>
              <a:chOff x="2995447" y="3846786"/>
              <a:chExt cx="1960181" cy="1644869"/>
            </a:xfrm>
          </xdr:grpSpPr>
          <xdr:sp macro="" textlink="">
            <xdr:nvSpPr>
              <xdr:cNvPr id="242761" name="Option Button 73" hidden="1">
                <a:extLst>
                  <a:ext uri="{63B3BB69-23CF-44E3-9099-C40C66FF867C}">
                    <a14:compatExt spid="_x0000_s242761"/>
                  </a:ext>
                  <a:ext uri="{FF2B5EF4-FFF2-40B4-BE49-F238E27FC236}">
                    <a16:creationId xmlns:a16="http://schemas.microsoft.com/office/drawing/2014/main" id="{00000000-0008-0000-0D00-000049B4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62" name="Option Button 74" hidden="1">
                <a:extLst>
                  <a:ext uri="{63B3BB69-23CF-44E3-9099-C40C66FF867C}">
                    <a14:compatExt spid="_x0000_s242762"/>
                  </a:ext>
                  <a:ext uri="{FF2B5EF4-FFF2-40B4-BE49-F238E27FC236}">
                    <a16:creationId xmlns:a16="http://schemas.microsoft.com/office/drawing/2014/main" id="{00000000-0008-0000-0D00-00004AB4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63" name="Option Button 75" hidden="1">
                <a:extLst>
                  <a:ext uri="{63B3BB69-23CF-44E3-9099-C40C66FF867C}">
                    <a14:compatExt spid="_x0000_s242763"/>
                  </a:ext>
                  <a:ext uri="{FF2B5EF4-FFF2-40B4-BE49-F238E27FC236}">
                    <a16:creationId xmlns:a16="http://schemas.microsoft.com/office/drawing/2014/main" id="{00000000-0008-0000-0D00-00004BB4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64" name="Option Button 76" hidden="1">
                <a:extLst>
                  <a:ext uri="{63B3BB69-23CF-44E3-9099-C40C66FF867C}">
                    <a14:compatExt spid="_x0000_s242764"/>
                  </a:ext>
                  <a:ext uri="{FF2B5EF4-FFF2-40B4-BE49-F238E27FC236}">
                    <a16:creationId xmlns:a16="http://schemas.microsoft.com/office/drawing/2014/main" id="{00000000-0008-0000-0D00-00004CB4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65" name="Group Box 77" hidden="1">
                <a:extLst>
                  <a:ext uri="{63B3BB69-23CF-44E3-9099-C40C66FF867C}">
                    <a14:compatExt spid="_x0000_s242765"/>
                  </a:ext>
                  <a:ext uri="{FF2B5EF4-FFF2-40B4-BE49-F238E27FC236}">
                    <a16:creationId xmlns:a16="http://schemas.microsoft.com/office/drawing/2014/main" id="{00000000-0008-0000-0D00-00004DB40300}"/>
                  </a:ext>
                </a:extLst>
              </xdr:cNvPr>
              <xdr:cNvSpPr/>
            </xdr:nvSpPr>
            <xdr:spPr bwMode="auto">
              <a:xfrm>
                <a:off x="2995447" y="384678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0E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0E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0E00-000024000000}"/>
                </a:ext>
              </a:extLst>
            </xdr:cNvPr>
            <xdr:cNvGrpSpPr/>
          </xdr:nvGrpSpPr>
          <xdr:grpSpPr>
            <a:xfrm>
              <a:off x="3706328" y="24557182"/>
              <a:ext cx="1962490" cy="1522150"/>
              <a:chOff x="2994688" y="2201918"/>
              <a:chExt cx="1960968" cy="1646925"/>
            </a:xfrm>
          </xdr:grpSpPr>
          <xdr:sp macro="" textlink="">
            <xdr:nvSpPr>
              <xdr:cNvPr id="242766" name="Option Button 78" descr="Case d'option 47" hidden="1">
                <a:extLst>
                  <a:ext uri="{63B3BB69-23CF-44E3-9099-C40C66FF867C}">
                    <a14:compatExt spid="_x0000_s242766"/>
                  </a:ext>
                  <a:ext uri="{FF2B5EF4-FFF2-40B4-BE49-F238E27FC236}">
                    <a16:creationId xmlns:a16="http://schemas.microsoft.com/office/drawing/2014/main" id="{00000000-0008-0000-0D00-00004E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67" name="Option Button 79" hidden="1">
                <a:extLst>
                  <a:ext uri="{63B3BB69-23CF-44E3-9099-C40C66FF867C}">
                    <a14:compatExt spid="_x0000_s242767"/>
                  </a:ext>
                  <a:ext uri="{FF2B5EF4-FFF2-40B4-BE49-F238E27FC236}">
                    <a16:creationId xmlns:a16="http://schemas.microsoft.com/office/drawing/2014/main" id="{00000000-0008-0000-0D00-00004F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68" name="Option Button 80" hidden="1">
                <a:extLst>
                  <a:ext uri="{63B3BB69-23CF-44E3-9099-C40C66FF867C}">
                    <a14:compatExt spid="_x0000_s242768"/>
                  </a:ext>
                  <a:ext uri="{FF2B5EF4-FFF2-40B4-BE49-F238E27FC236}">
                    <a16:creationId xmlns:a16="http://schemas.microsoft.com/office/drawing/2014/main" id="{00000000-0008-0000-0D00-000050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69" name="Option Button 81" hidden="1">
                <a:extLst>
                  <a:ext uri="{63B3BB69-23CF-44E3-9099-C40C66FF867C}">
                    <a14:compatExt spid="_x0000_s242769"/>
                  </a:ext>
                  <a:ext uri="{FF2B5EF4-FFF2-40B4-BE49-F238E27FC236}">
                    <a16:creationId xmlns:a16="http://schemas.microsoft.com/office/drawing/2014/main" id="{00000000-0008-0000-0D00-000051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70" name="Group Box 82" hidden="1">
                <a:extLst>
                  <a:ext uri="{63B3BB69-23CF-44E3-9099-C40C66FF867C}">
                    <a14:compatExt spid="_x0000_s242770"/>
                  </a:ext>
                  <a:ext uri="{FF2B5EF4-FFF2-40B4-BE49-F238E27FC236}">
                    <a16:creationId xmlns:a16="http://schemas.microsoft.com/office/drawing/2014/main" id="{00000000-0008-0000-0D00-000052B40300}"/>
                  </a:ext>
                </a:extLst>
              </xdr:cNvPr>
              <xdr:cNvSpPr/>
            </xdr:nvSpPr>
            <xdr:spPr bwMode="auto">
              <a:xfrm>
                <a:off x="2994688"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0E00-000025000000}"/>
                </a:ext>
              </a:extLst>
            </xdr:cNvPr>
            <xdr:cNvGrpSpPr/>
          </xdr:nvGrpSpPr>
          <xdr:grpSpPr>
            <a:xfrm>
              <a:off x="3706091" y="22906182"/>
              <a:ext cx="1962727" cy="1651000"/>
              <a:chOff x="2994689" y="2201870"/>
              <a:chExt cx="1960969" cy="1646922"/>
            </a:xfrm>
          </xdr:grpSpPr>
          <xdr:sp macro="" textlink="">
            <xdr:nvSpPr>
              <xdr:cNvPr id="242771" name="Option Button 83" descr="Case d'option 47" hidden="1">
                <a:extLst>
                  <a:ext uri="{63B3BB69-23CF-44E3-9099-C40C66FF867C}">
                    <a14:compatExt spid="_x0000_s242771"/>
                  </a:ext>
                  <a:ext uri="{FF2B5EF4-FFF2-40B4-BE49-F238E27FC236}">
                    <a16:creationId xmlns:a16="http://schemas.microsoft.com/office/drawing/2014/main" id="{00000000-0008-0000-0D00-000053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72" name="Option Button 84" hidden="1">
                <a:extLst>
                  <a:ext uri="{63B3BB69-23CF-44E3-9099-C40C66FF867C}">
                    <a14:compatExt spid="_x0000_s242772"/>
                  </a:ext>
                  <a:ext uri="{FF2B5EF4-FFF2-40B4-BE49-F238E27FC236}">
                    <a16:creationId xmlns:a16="http://schemas.microsoft.com/office/drawing/2014/main" id="{00000000-0008-0000-0D00-000054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73" name="Option Button 85" hidden="1">
                <a:extLst>
                  <a:ext uri="{63B3BB69-23CF-44E3-9099-C40C66FF867C}">
                    <a14:compatExt spid="_x0000_s242773"/>
                  </a:ext>
                  <a:ext uri="{FF2B5EF4-FFF2-40B4-BE49-F238E27FC236}">
                    <a16:creationId xmlns:a16="http://schemas.microsoft.com/office/drawing/2014/main" id="{00000000-0008-0000-0D00-000055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74" name="Option Button 86" hidden="1">
                <a:extLst>
                  <a:ext uri="{63B3BB69-23CF-44E3-9099-C40C66FF867C}">
                    <a14:compatExt spid="_x0000_s242774"/>
                  </a:ext>
                  <a:ext uri="{FF2B5EF4-FFF2-40B4-BE49-F238E27FC236}">
                    <a16:creationId xmlns:a16="http://schemas.microsoft.com/office/drawing/2014/main" id="{00000000-0008-0000-0D00-000056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75" name="Group Box 87" hidden="1">
                <a:extLst>
                  <a:ext uri="{63B3BB69-23CF-44E3-9099-C40C66FF867C}">
                    <a14:compatExt spid="_x0000_s242775"/>
                  </a:ext>
                  <a:ext uri="{FF2B5EF4-FFF2-40B4-BE49-F238E27FC236}">
                    <a16:creationId xmlns:a16="http://schemas.microsoft.com/office/drawing/2014/main" id="{00000000-0008-0000-0D00-000057B40300}"/>
                  </a:ext>
                </a:extLst>
              </xdr:cNvPr>
              <xdr:cNvSpPr/>
            </xdr:nvSpPr>
            <xdr:spPr bwMode="auto">
              <a:xfrm>
                <a:off x="2994689" y="2201870"/>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0E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0E00-000028000000}"/>
                </a:ext>
              </a:extLst>
            </xdr:cNvPr>
            <xdr:cNvGrpSpPr/>
          </xdr:nvGrpSpPr>
          <xdr:grpSpPr>
            <a:xfrm>
              <a:off x="3706091" y="34728727"/>
              <a:ext cx="1962727" cy="1651000"/>
              <a:chOff x="2995447" y="3846806"/>
              <a:chExt cx="1960181" cy="1644869"/>
            </a:xfrm>
          </xdr:grpSpPr>
          <xdr:sp macro="" textlink="">
            <xdr:nvSpPr>
              <xdr:cNvPr id="242776" name="Option Button 88" hidden="1">
                <a:extLst>
                  <a:ext uri="{63B3BB69-23CF-44E3-9099-C40C66FF867C}">
                    <a14:compatExt spid="_x0000_s242776"/>
                  </a:ext>
                  <a:ext uri="{FF2B5EF4-FFF2-40B4-BE49-F238E27FC236}">
                    <a16:creationId xmlns:a16="http://schemas.microsoft.com/office/drawing/2014/main" id="{00000000-0008-0000-0D00-000058B4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77" name="Option Button 89" hidden="1">
                <a:extLst>
                  <a:ext uri="{63B3BB69-23CF-44E3-9099-C40C66FF867C}">
                    <a14:compatExt spid="_x0000_s242777"/>
                  </a:ext>
                  <a:ext uri="{FF2B5EF4-FFF2-40B4-BE49-F238E27FC236}">
                    <a16:creationId xmlns:a16="http://schemas.microsoft.com/office/drawing/2014/main" id="{00000000-0008-0000-0D00-000059B4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78" name="Option Button 90" hidden="1">
                <a:extLst>
                  <a:ext uri="{63B3BB69-23CF-44E3-9099-C40C66FF867C}">
                    <a14:compatExt spid="_x0000_s242778"/>
                  </a:ext>
                  <a:ext uri="{FF2B5EF4-FFF2-40B4-BE49-F238E27FC236}">
                    <a16:creationId xmlns:a16="http://schemas.microsoft.com/office/drawing/2014/main" id="{00000000-0008-0000-0D00-00005AB4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79" name="Option Button 91" hidden="1">
                <a:extLst>
                  <a:ext uri="{63B3BB69-23CF-44E3-9099-C40C66FF867C}">
                    <a14:compatExt spid="_x0000_s242779"/>
                  </a:ext>
                  <a:ext uri="{FF2B5EF4-FFF2-40B4-BE49-F238E27FC236}">
                    <a16:creationId xmlns:a16="http://schemas.microsoft.com/office/drawing/2014/main" id="{00000000-0008-0000-0D00-00005BB4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80" name="Group Box 92" hidden="1">
                <a:extLst>
                  <a:ext uri="{63B3BB69-23CF-44E3-9099-C40C66FF867C}">
                    <a14:compatExt spid="_x0000_s242780"/>
                  </a:ext>
                  <a:ext uri="{FF2B5EF4-FFF2-40B4-BE49-F238E27FC236}">
                    <a16:creationId xmlns:a16="http://schemas.microsoft.com/office/drawing/2014/main" id="{00000000-0008-0000-0D00-00005CB40300}"/>
                  </a:ext>
                </a:extLst>
              </xdr:cNvPr>
              <xdr:cNvSpPr/>
            </xdr:nvSpPr>
            <xdr:spPr bwMode="auto">
              <a:xfrm>
                <a:off x="2995447" y="384680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0E00-000029000000}"/>
                </a:ext>
              </a:extLst>
            </xdr:cNvPr>
            <xdr:cNvGrpSpPr/>
          </xdr:nvGrpSpPr>
          <xdr:grpSpPr>
            <a:xfrm>
              <a:off x="3706091" y="33077727"/>
              <a:ext cx="1962727" cy="1653055"/>
              <a:chOff x="2994693" y="2201916"/>
              <a:chExt cx="1960969" cy="1646922"/>
            </a:xfrm>
          </xdr:grpSpPr>
          <xdr:sp macro="" textlink="">
            <xdr:nvSpPr>
              <xdr:cNvPr id="242781" name="Option Button 93" descr="Case d'option 47" hidden="1">
                <a:extLst>
                  <a:ext uri="{63B3BB69-23CF-44E3-9099-C40C66FF867C}">
                    <a14:compatExt spid="_x0000_s242781"/>
                  </a:ext>
                  <a:ext uri="{FF2B5EF4-FFF2-40B4-BE49-F238E27FC236}">
                    <a16:creationId xmlns:a16="http://schemas.microsoft.com/office/drawing/2014/main" id="{00000000-0008-0000-0D00-00005D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782" name="Option Button 94" hidden="1">
                <a:extLst>
                  <a:ext uri="{63B3BB69-23CF-44E3-9099-C40C66FF867C}">
                    <a14:compatExt spid="_x0000_s242782"/>
                  </a:ext>
                  <a:ext uri="{FF2B5EF4-FFF2-40B4-BE49-F238E27FC236}">
                    <a16:creationId xmlns:a16="http://schemas.microsoft.com/office/drawing/2014/main" id="{00000000-0008-0000-0D00-00005E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783" name="Option Button 95" hidden="1">
                <a:extLst>
                  <a:ext uri="{63B3BB69-23CF-44E3-9099-C40C66FF867C}">
                    <a14:compatExt spid="_x0000_s242783"/>
                  </a:ext>
                  <a:ext uri="{FF2B5EF4-FFF2-40B4-BE49-F238E27FC236}">
                    <a16:creationId xmlns:a16="http://schemas.microsoft.com/office/drawing/2014/main" id="{00000000-0008-0000-0D00-00005F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784" name="Option Button 96" hidden="1">
                <a:extLst>
                  <a:ext uri="{63B3BB69-23CF-44E3-9099-C40C66FF867C}">
                    <a14:compatExt spid="_x0000_s242784"/>
                  </a:ext>
                  <a:ext uri="{FF2B5EF4-FFF2-40B4-BE49-F238E27FC236}">
                    <a16:creationId xmlns:a16="http://schemas.microsoft.com/office/drawing/2014/main" id="{00000000-0008-0000-0D00-000060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785" name="Group Box 97" hidden="1">
                <a:extLst>
                  <a:ext uri="{63B3BB69-23CF-44E3-9099-C40C66FF867C}">
                    <a14:compatExt spid="_x0000_s242785"/>
                  </a:ext>
                  <a:ext uri="{FF2B5EF4-FFF2-40B4-BE49-F238E27FC236}">
                    <a16:creationId xmlns:a16="http://schemas.microsoft.com/office/drawing/2014/main" id="{00000000-0008-0000-0D00-000061B40300}"/>
                  </a:ext>
                </a:extLst>
              </xdr:cNvPr>
              <xdr:cNvSpPr/>
            </xdr:nvSpPr>
            <xdr:spPr bwMode="auto">
              <a:xfrm>
                <a:off x="2994693" y="2201916"/>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0E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0E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0E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0E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0E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0E00-000034000000}"/>
                </a:ext>
              </a:extLst>
            </xdr:cNvPr>
            <xdr:cNvGrpSpPr/>
          </xdr:nvGrpSpPr>
          <xdr:grpSpPr>
            <a:xfrm>
              <a:off x="3706091" y="40524545"/>
              <a:ext cx="1962727" cy="1651000"/>
              <a:chOff x="2995447" y="3846799"/>
              <a:chExt cx="1960181" cy="1644869"/>
            </a:xfrm>
          </xdr:grpSpPr>
          <xdr:sp macro="" textlink="">
            <xdr:nvSpPr>
              <xdr:cNvPr id="242807" name="Option Button 119" hidden="1">
                <a:extLst>
                  <a:ext uri="{63B3BB69-23CF-44E3-9099-C40C66FF867C}">
                    <a14:compatExt spid="_x0000_s242807"/>
                  </a:ext>
                  <a:ext uri="{FF2B5EF4-FFF2-40B4-BE49-F238E27FC236}">
                    <a16:creationId xmlns:a16="http://schemas.microsoft.com/office/drawing/2014/main" id="{00000000-0008-0000-0D00-000077B4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808" name="Option Button 120" hidden="1">
                <a:extLst>
                  <a:ext uri="{63B3BB69-23CF-44E3-9099-C40C66FF867C}">
                    <a14:compatExt spid="_x0000_s242808"/>
                  </a:ext>
                  <a:ext uri="{FF2B5EF4-FFF2-40B4-BE49-F238E27FC236}">
                    <a16:creationId xmlns:a16="http://schemas.microsoft.com/office/drawing/2014/main" id="{00000000-0008-0000-0D00-000078B4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809" name="Option Button 121" hidden="1">
                <a:extLst>
                  <a:ext uri="{63B3BB69-23CF-44E3-9099-C40C66FF867C}">
                    <a14:compatExt spid="_x0000_s242809"/>
                  </a:ext>
                  <a:ext uri="{FF2B5EF4-FFF2-40B4-BE49-F238E27FC236}">
                    <a16:creationId xmlns:a16="http://schemas.microsoft.com/office/drawing/2014/main" id="{00000000-0008-0000-0D00-000079B4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810" name="Option Button 122" hidden="1">
                <a:extLst>
                  <a:ext uri="{63B3BB69-23CF-44E3-9099-C40C66FF867C}">
                    <a14:compatExt spid="_x0000_s242810"/>
                  </a:ext>
                  <a:ext uri="{FF2B5EF4-FFF2-40B4-BE49-F238E27FC236}">
                    <a16:creationId xmlns:a16="http://schemas.microsoft.com/office/drawing/2014/main" id="{00000000-0008-0000-0D00-00007AB4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811" name="Group Box 123" hidden="1">
                <a:extLst>
                  <a:ext uri="{63B3BB69-23CF-44E3-9099-C40C66FF867C}">
                    <a14:compatExt spid="_x0000_s242811"/>
                  </a:ext>
                  <a:ext uri="{FF2B5EF4-FFF2-40B4-BE49-F238E27FC236}">
                    <a16:creationId xmlns:a16="http://schemas.microsoft.com/office/drawing/2014/main" id="{00000000-0008-0000-0D00-00007BB40300}"/>
                  </a:ext>
                </a:extLst>
              </xdr:cNvPr>
              <xdr:cNvSpPr/>
            </xdr:nvSpPr>
            <xdr:spPr bwMode="auto">
              <a:xfrm>
                <a:off x="2995447" y="3846799"/>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0E00-000035000000}"/>
                </a:ext>
              </a:extLst>
            </xdr:cNvPr>
            <xdr:cNvGrpSpPr/>
          </xdr:nvGrpSpPr>
          <xdr:grpSpPr>
            <a:xfrm>
              <a:off x="3706091" y="38873545"/>
              <a:ext cx="1962727" cy="1653055"/>
              <a:chOff x="2994693" y="2201914"/>
              <a:chExt cx="1960969" cy="1646922"/>
            </a:xfrm>
          </xdr:grpSpPr>
          <xdr:sp macro="" textlink="">
            <xdr:nvSpPr>
              <xdr:cNvPr id="242812" name="Option Button 124" descr="Case d'option 47" hidden="1">
                <a:extLst>
                  <a:ext uri="{63B3BB69-23CF-44E3-9099-C40C66FF867C}">
                    <a14:compatExt spid="_x0000_s242812"/>
                  </a:ext>
                  <a:ext uri="{FF2B5EF4-FFF2-40B4-BE49-F238E27FC236}">
                    <a16:creationId xmlns:a16="http://schemas.microsoft.com/office/drawing/2014/main" id="{00000000-0008-0000-0D00-00007C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813" name="Option Button 125" hidden="1">
                <a:extLst>
                  <a:ext uri="{63B3BB69-23CF-44E3-9099-C40C66FF867C}">
                    <a14:compatExt spid="_x0000_s242813"/>
                  </a:ext>
                  <a:ext uri="{FF2B5EF4-FFF2-40B4-BE49-F238E27FC236}">
                    <a16:creationId xmlns:a16="http://schemas.microsoft.com/office/drawing/2014/main" id="{00000000-0008-0000-0D00-00007D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814" name="Option Button 126" hidden="1">
                <a:extLst>
                  <a:ext uri="{63B3BB69-23CF-44E3-9099-C40C66FF867C}">
                    <a14:compatExt spid="_x0000_s242814"/>
                  </a:ext>
                  <a:ext uri="{FF2B5EF4-FFF2-40B4-BE49-F238E27FC236}">
                    <a16:creationId xmlns:a16="http://schemas.microsoft.com/office/drawing/2014/main" id="{00000000-0008-0000-0D00-00007E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815" name="Option Button 127" hidden="1">
                <a:extLst>
                  <a:ext uri="{63B3BB69-23CF-44E3-9099-C40C66FF867C}">
                    <a14:compatExt spid="_x0000_s242815"/>
                  </a:ext>
                  <a:ext uri="{FF2B5EF4-FFF2-40B4-BE49-F238E27FC236}">
                    <a16:creationId xmlns:a16="http://schemas.microsoft.com/office/drawing/2014/main" id="{00000000-0008-0000-0D00-00007F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816" name="Group Box 128" hidden="1">
                <a:extLst>
                  <a:ext uri="{63B3BB69-23CF-44E3-9099-C40C66FF867C}">
                    <a14:compatExt spid="_x0000_s242816"/>
                  </a:ext>
                  <a:ext uri="{FF2B5EF4-FFF2-40B4-BE49-F238E27FC236}">
                    <a16:creationId xmlns:a16="http://schemas.microsoft.com/office/drawing/2014/main" id="{00000000-0008-0000-0D00-000080B40300}"/>
                  </a:ext>
                </a:extLst>
              </xdr:cNvPr>
              <xdr:cNvSpPr/>
            </xdr:nvSpPr>
            <xdr:spPr bwMode="auto">
              <a:xfrm>
                <a:off x="2994693" y="220191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0E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0E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0E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0E00-00003B000000}"/>
                </a:ext>
              </a:extLst>
            </xdr:cNvPr>
            <xdr:cNvGrpSpPr/>
          </xdr:nvGrpSpPr>
          <xdr:grpSpPr>
            <a:xfrm>
              <a:off x="3706091" y="42175545"/>
              <a:ext cx="1962727" cy="1651000"/>
              <a:chOff x="2994689" y="2201919"/>
              <a:chExt cx="1960969" cy="1646929"/>
            </a:xfrm>
          </xdr:grpSpPr>
          <xdr:sp macro="" textlink="">
            <xdr:nvSpPr>
              <xdr:cNvPr id="242827" name="Option Button 139" descr="Case d'option 47" hidden="1">
                <a:extLst>
                  <a:ext uri="{63B3BB69-23CF-44E3-9099-C40C66FF867C}">
                    <a14:compatExt spid="_x0000_s242827"/>
                  </a:ext>
                  <a:ext uri="{FF2B5EF4-FFF2-40B4-BE49-F238E27FC236}">
                    <a16:creationId xmlns:a16="http://schemas.microsoft.com/office/drawing/2014/main" id="{00000000-0008-0000-0D00-00008B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828" name="Option Button 140" hidden="1">
                <a:extLst>
                  <a:ext uri="{63B3BB69-23CF-44E3-9099-C40C66FF867C}">
                    <a14:compatExt spid="_x0000_s242828"/>
                  </a:ext>
                  <a:ext uri="{FF2B5EF4-FFF2-40B4-BE49-F238E27FC236}">
                    <a16:creationId xmlns:a16="http://schemas.microsoft.com/office/drawing/2014/main" id="{00000000-0008-0000-0D00-00008C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829" name="Option Button 141" hidden="1">
                <a:extLst>
                  <a:ext uri="{63B3BB69-23CF-44E3-9099-C40C66FF867C}">
                    <a14:compatExt spid="_x0000_s242829"/>
                  </a:ext>
                  <a:ext uri="{FF2B5EF4-FFF2-40B4-BE49-F238E27FC236}">
                    <a16:creationId xmlns:a16="http://schemas.microsoft.com/office/drawing/2014/main" id="{00000000-0008-0000-0D00-00008D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830" name="Option Button 142" hidden="1">
                <a:extLst>
                  <a:ext uri="{63B3BB69-23CF-44E3-9099-C40C66FF867C}">
                    <a14:compatExt spid="_x0000_s242830"/>
                  </a:ext>
                  <a:ext uri="{FF2B5EF4-FFF2-40B4-BE49-F238E27FC236}">
                    <a16:creationId xmlns:a16="http://schemas.microsoft.com/office/drawing/2014/main" id="{00000000-0008-0000-0D00-00008E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831" name="Group Box 143" hidden="1">
                <a:extLst>
                  <a:ext uri="{63B3BB69-23CF-44E3-9099-C40C66FF867C}">
                    <a14:compatExt spid="_x0000_s242831"/>
                  </a:ext>
                  <a:ext uri="{FF2B5EF4-FFF2-40B4-BE49-F238E27FC236}">
                    <a16:creationId xmlns:a16="http://schemas.microsoft.com/office/drawing/2014/main" id="{00000000-0008-0000-0D00-00008FB40300}"/>
                  </a:ext>
                </a:extLst>
              </xdr:cNvPr>
              <xdr:cNvSpPr/>
            </xdr:nvSpPr>
            <xdr:spPr bwMode="auto">
              <a:xfrm>
                <a:off x="2994689" y="2201919"/>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0E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0E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0E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0E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242833" name="Ellipse 242832">
          <a:extLst>
            <a:ext uri="{FF2B5EF4-FFF2-40B4-BE49-F238E27FC236}">
              <a16:creationId xmlns:a16="http://schemas.microsoft.com/office/drawing/2014/main" id="{00000000-0008-0000-0E00-000091B403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242834" name="Groupe 242833">
              <a:extLst>
                <a:ext uri="{FF2B5EF4-FFF2-40B4-BE49-F238E27FC236}">
                  <a16:creationId xmlns:a16="http://schemas.microsoft.com/office/drawing/2014/main" id="{00000000-0008-0000-0E00-000092B40300}"/>
                </a:ext>
              </a:extLst>
            </xdr:cNvPr>
            <xdr:cNvGrpSpPr/>
          </xdr:nvGrpSpPr>
          <xdr:grpSpPr>
            <a:xfrm>
              <a:off x="3706091" y="10517909"/>
              <a:ext cx="1962727" cy="2459182"/>
              <a:chOff x="2995447" y="3846785"/>
              <a:chExt cx="1960181" cy="1644868"/>
            </a:xfrm>
          </xdr:grpSpPr>
          <xdr:sp macro="" textlink="">
            <xdr:nvSpPr>
              <xdr:cNvPr id="11" name="Option Button 145" hidden="1">
                <a:extLst>
                  <a:ext uri="{63B3BB69-23CF-44E3-9099-C40C66FF867C}">
                    <a14:compatExt spid="_x0000_s242833"/>
                  </a:ext>
                  <a:ext uri="{FF2B5EF4-FFF2-40B4-BE49-F238E27FC236}">
                    <a16:creationId xmlns:a16="http://schemas.microsoft.com/office/drawing/2014/main" id="{00000000-0008-0000-0D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2" name="Option Button 146" hidden="1">
                <a:extLst>
                  <a:ext uri="{63B3BB69-23CF-44E3-9099-C40C66FF867C}">
                    <a14:compatExt spid="_x0000_s242834"/>
                  </a:ext>
                  <a:ext uri="{FF2B5EF4-FFF2-40B4-BE49-F238E27FC236}">
                    <a16:creationId xmlns:a16="http://schemas.microsoft.com/office/drawing/2014/main" id="{00000000-0008-0000-0D00-00000C000000}"/>
                  </a:ext>
                </a:extLst>
              </xdr:cNvPr>
              <xdr:cNvSpPr/>
            </xdr:nvSpPr>
            <xdr:spPr bwMode="auto">
              <a:xfrm>
                <a:off x="3109748" y="417613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835" name="Option Button 147" hidden="1">
                <a:extLst>
                  <a:ext uri="{63B3BB69-23CF-44E3-9099-C40C66FF867C}">
                    <a14:compatExt spid="_x0000_s242835"/>
                  </a:ext>
                  <a:ext uri="{FF2B5EF4-FFF2-40B4-BE49-F238E27FC236}">
                    <a16:creationId xmlns:a16="http://schemas.microsoft.com/office/drawing/2014/main" id="{00000000-0008-0000-0D00-000093B40300}"/>
                  </a:ext>
                </a:extLst>
              </xdr:cNvPr>
              <xdr:cNvSpPr/>
            </xdr:nvSpPr>
            <xdr:spPr bwMode="auto">
              <a:xfrm>
                <a:off x="3109748" y="4375945"/>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836" name="Option Button 148" hidden="1">
                <a:extLst>
                  <a:ext uri="{63B3BB69-23CF-44E3-9099-C40C66FF867C}">
                    <a14:compatExt spid="_x0000_s242836"/>
                  </a:ext>
                  <a:ext uri="{FF2B5EF4-FFF2-40B4-BE49-F238E27FC236}">
                    <a16:creationId xmlns:a16="http://schemas.microsoft.com/office/drawing/2014/main" id="{00000000-0008-0000-0D00-000094B40300}"/>
                  </a:ext>
                </a:extLst>
              </xdr:cNvPr>
              <xdr:cNvSpPr/>
            </xdr:nvSpPr>
            <xdr:spPr bwMode="auto">
              <a:xfrm>
                <a:off x="3109748" y="4575753"/>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837" name="Group Box 149" hidden="1">
                <a:extLst>
                  <a:ext uri="{63B3BB69-23CF-44E3-9099-C40C66FF867C}">
                    <a14:compatExt spid="_x0000_s242837"/>
                  </a:ext>
                  <a:ext uri="{FF2B5EF4-FFF2-40B4-BE49-F238E27FC236}">
                    <a16:creationId xmlns:a16="http://schemas.microsoft.com/office/drawing/2014/main" id="{00000000-0008-0000-0D00-000095B40300}"/>
                  </a:ext>
                </a:extLst>
              </xdr:cNvPr>
              <xdr:cNvSpPr/>
            </xdr:nvSpPr>
            <xdr:spPr bwMode="auto">
              <a:xfrm>
                <a:off x="2995447" y="3846785"/>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242840" name="ZoneTexte 1">
          <a:extLst>
            <a:ext uri="{FF2B5EF4-FFF2-40B4-BE49-F238E27FC236}">
              <a16:creationId xmlns:a16="http://schemas.microsoft.com/office/drawing/2014/main" id="{00000000-0008-0000-0E00-000098B403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242841" name="ZoneTexte 1">
          <a:extLst>
            <a:ext uri="{FF2B5EF4-FFF2-40B4-BE49-F238E27FC236}">
              <a16:creationId xmlns:a16="http://schemas.microsoft.com/office/drawing/2014/main" id="{00000000-0008-0000-0E00-000099B403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242848" name="ZoneTexte 1">
          <a:extLst>
            <a:ext uri="{FF2B5EF4-FFF2-40B4-BE49-F238E27FC236}">
              <a16:creationId xmlns:a16="http://schemas.microsoft.com/office/drawing/2014/main" id="{00000000-0008-0000-0E00-0000A0B403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242849" name="Groupe 242848">
              <a:extLst>
                <a:ext uri="{FF2B5EF4-FFF2-40B4-BE49-F238E27FC236}">
                  <a16:creationId xmlns:a16="http://schemas.microsoft.com/office/drawing/2014/main" id="{00000000-0008-0000-0E00-0000A1B40300}"/>
                </a:ext>
              </a:extLst>
            </xdr:cNvPr>
            <xdr:cNvGrpSpPr/>
          </xdr:nvGrpSpPr>
          <xdr:grpSpPr>
            <a:xfrm>
              <a:off x="3706091" y="26081182"/>
              <a:ext cx="1962727" cy="1651000"/>
              <a:chOff x="2994689" y="2201914"/>
              <a:chExt cx="1960969" cy="1646922"/>
            </a:xfrm>
          </xdr:grpSpPr>
          <xdr:sp macro="" textlink="">
            <xdr:nvSpPr>
              <xdr:cNvPr id="242843" name="Option Button 155" descr="Case d'option 47" hidden="1">
                <a:extLst>
                  <a:ext uri="{63B3BB69-23CF-44E3-9099-C40C66FF867C}">
                    <a14:compatExt spid="_x0000_s242843"/>
                  </a:ext>
                  <a:ext uri="{FF2B5EF4-FFF2-40B4-BE49-F238E27FC236}">
                    <a16:creationId xmlns:a16="http://schemas.microsoft.com/office/drawing/2014/main" id="{00000000-0008-0000-0D00-00009BB4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844" name="Option Button 156" hidden="1">
                <a:extLst>
                  <a:ext uri="{63B3BB69-23CF-44E3-9099-C40C66FF867C}">
                    <a14:compatExt spid="_x0000_s242844"/>
                  </a:ext>
                  <a:ext uri="{FF2B5EF4-FFF2-40B4-BE49-F238E27FC236}">
                    <a16:creationId xmlns:a16="http://schemas.microsoft.com/office/drawing/2014/main" id="{00000000-0008-0000-0D00-00009CB4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845" name="Option Button 157" hidden="1">
                <a:extLst>
                  <a:ext uri="{63B3BB69-23CF-44E3-9099-C40C66FF867C}">
                    <a14:compatExt spid="_x0000_s242845"/>
                  </a:ext>
                  <a:ext uri="{FF2B5EF4-FFF2-40B4-BE49-F238E27FC236}">
                    <a16:creationId xmlns:a16="http://schemas.microsoft.com/office/drawing/2014/main" id="{00000000-0008-0000-0D00-00009D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846" name="Option Button 158" hidden="1">
                <a:extLst>
                  <a:ext uri="{63B3BB69-23CF-44E3-9099-C40C66FF867C}">
                    <a14:compatExt spid="_x0000_s242846"/>
                  </a:ext>
                  <a:ext uri="{FF2B5EF4-FFF2-40B4-BE49-F238E27FC236}">
                    <a16:creationId xmlns:a16="http://schemas.microsoft.com/office/drawing/2014/main" id="{00000000-0008-0000-0D00-00009E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847" name="Group Box 159" hidden="1">
                <a:extLst>
                  <a:ext uri="{63B3BB69-23CF-44E3-9099-C40C66FF867C}">
                    <a14:compatExt spid="_x0000_s242847"/>
                  </a:ext>
                  <a:ext uri="{FF2B5EF4-FFF2-40B4-BE49-F238E27FC236}">
                    <a16:creationId xmlns:a16="http://schemas.microsoft.com/office/drawing/2014/main" id="{00000000-0008-0000-0D00-00009FB40300}"/>
                  </a:ext>
                </a:extLst>
              </xdr:cNvPr>
              <xdr:cNvSpPr/>
            </xdr:nvSpPr>
            <xdr:spPr bwMode="auto">
              <a:xfrm>
                <a:off x="2994689" y="220191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242855" name="ZoneTexte 1">
          <a:extLst>
            <a:ext uri="{FF2B5EF4-FFF2-40B4-BE49-F238E27FC236}">
              <a16:creationId xmlns:a16="http://schemas.microsoft.com/office/drawing/2014/main" id="{00000000-0008-0000-0E00-0000A7B403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242856" name="ZoneTexte 1">
          <a:extLst>
            <a:ext uri="{FF2B5EF4-FFF2-40B4-BE49-F238E27FC236}">
              <a16:creationId xmlns:a16="http://schemas.microsoft.com/office/drawing/2014/main" id="{00000000-0008-0000-0E00-0000A8B403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49</xdr:row>
          <xdr:rowOff>0</xdr:rowOff>
        </xdr:from>
        <xdr:to>
          <xdr:col>8</xdr:col>
          <xdr:colOff>0</xdr:colOff>
          <xdr:row>50</xdr:row>
          <xdr:rowOff>0</xdr:rowOff>
        </xdr:to>
        <xdr:grpSp>
          <xdr:nvGrpSpPr>
            <xdr:cNvPr id="242857" name="Groupe 242856">
              <a:extLst>
                <a:ext uri="{FF2B5EF4-FFF2-40B4-BE49-F238E27FC236}">
                  <a16:creationId xmlns:a16="http://schemas.microsoft.com/office/drawing/2014/main" id="{00000000-0008-0000-0E00-0000A9B40300}"/>
                </a:ext>
              </a:extLst>
            </xdr:cNvPr>
            <xdr:cNvGrpSpPr/>
          </xdr:nvGrpSpPr>
          <xdr:grpSpPr>
            <a:xfrm>
              <a:off x="3706091" y="29256182"/>
              <a:ext cx="1962727" cy="1651000"/>
              <a:chOff x="2994689" y="2201925"/>
              <a:chExt cx="1960969" cy="1646923"/>
            </a:xfrm>
          </xdr:grpSpPr>
          <xdr:sp macro="" textlink="">
            <xdr:nvSpPr>
              <xdr:cNvPr id="13" name="Option Button 160" descr="Case d'option 47" hidden="1">
                <a:extLst>
                  <a:ext uri="{63B3BB69-23CF-44E3-9099-C40C66FF867C}">
                    <a14:compatExt spid="_x0000_s242848"/>
                  </a:ext>
                  <a:ext uri="{FF2B5EF4-FFF2-40B4-BE49-F238E27FC236}">
                    <a16:creationId xmlns:a16="http://schemas.microsoft.com/office/drawing/2014/main" id="{00000000-0008-0000-0D00-00000D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4" name="Option Button 161" hidden="1">
                <a:extLst>
                  <a:ext uri="{63B3BB69-23CF-44E3-9099-C40C66FF867C}">
                    <a14:compatExt spid="_x0000_s242849"/>
                  </a:ext>
                  <a:ext uri="{FF2B5EF4-FFF2-40B4-BE49-F238E27FC236}">
                    <a16:creationId xmlns:a16="http://schemas.microsoft.com/office/drawing/2014/main" id="{00000000-0008-0000-0D00-00000E0000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850" name="Option Button 162" hidden="1">
                <a:extLst>
                  <a:ext uri="{63B3BB69-23CF-44E3-9099-C40C66FF867C}">
                    <a14:compatExt spid="_x0000_s242850"/>
                  </a:ext>
                  <a:ext uri="{FF2B5EF4-FFF2-40B4-BE49-F238E27FC236}">
                    <a16:creationId xmlns:a16="http://schemas.microsoft.com/office/drawing/2014/main" id="{00000000-0008-0000-0D00-0000A2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851" name="Option Button 163" hidden="1">
                <a:extLst>
                  <a:ext uri="{63B3BB69-23CF-44E3-9099-C40C66FF867C}">
                    <a14:compatExt spid="_x0000_s242851"/>
                  </a:ext>
                  <a:ext uri="{FF2B5EF4-FFF2-40B4-BE49-F238E27FC236}">
                    <a16:creationId xmlns:a16="http://schemas.microsoft.com/office/drawing/2014/main" id="{00000000-0008-0000-0D00-0000A3B4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852" name="Group Box 164" hidden="1">
                <a:extLst>
                  <a:ext uri="{63B3BB69-23CF-44E3-9099-C40C66FF867C}">
                    <a14:compatExt spid="_x0000_s242852"/>
                  </a:ext>
                  <a:ext uri="{FF2B5EF4-FFF2-40B4-BE49-F238E27FC236}">
                    <a16:creationId xmlns:a16="http://schemas.microsoft.com/office/drawing/2014/main" id="{00000000-0008-0000-0D00-0000A4B40300}"/>
                  </a:ext>
                </a:extLst>
              </xdr:cNvPr>
              <xdr:cNvSpPr/>
            </xdr:nvSpPr>
            <xdr:spPr bwMode="auto">
              <a:xfrm>
                <a:off x="2994689" y="2201925"/>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82</xdr:row>
      <xdr:rowOff>22860</xdr:rowOff>
    </xdr:from>
    <xdr:to>
      <xdr:col>9</xdr:col>
      <xdr:colOff>4532586</xdr:colOff>
      <xdr:row>82</xdr:row>
      <xdr:rowOff>2036380</xdr:rowOff>
    </xdr:to>
    <xdr:sp macro="" textlink="" fLocksText="0">
      <xdr:nvSpPr>
        <xdr:cNvPr id="242863" name="ZoneTexte 1">
          <a:extLst>
            <a:ext uri="{FF2B5EF4-FFF2-40B4-BE49-F238E27FC236}">
              <a16:creationId xmlns:a16="http://schemas.microsoft.com/office/drawing/2014/main" id="{00000000-0008-0000-0E00-0000AFB403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242864" name="ZoneTexte 1">
          <a:extLst>
            <a:ext uri="{FF2B5EF4-FFF2-40B4-BE49-F238E27FC236}">
              <a16:creationId xmlns:a16="http://schemas.microsoft.com/office/drawing/2014/main" id="{00000000-0008-0000-0E00-0000B0B403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242877" name="ZoneTexte 1">
          <a:extLst>
            <a:ext uri="{FF2B5EF4-FFF2-40B4-BE49-F238E27FC236}">
              <a16:creationId xmlns:a16="http://schemas.microsoft.com/office/drawing/2014/main" id="{00000000-0008-0000-0E00-0000BDB403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94</xdr:row>
      <xdr:rowOff>57150</xdr:rowOff>
    </xdr:from>
    <xdr:to>
      <xdr:col>9</xdr:col>
      <xdr:colOff>4451453</xdr:colOff>
      <xdr:row>95</xdr:row>
      <xdr:rowOff>0</xdr:rowOff>
    </xdr:to>
    <xdr:sp macro="" textlink="">
      <xdr:nvSpPr>
        <xdr:cNvPr id="242878" name="ZoneTexte 1">
          <a:extLst>
            <a:ext uri="{FF2B5EF4-FFF2-40B4-BE49-F238E27FC236}">
              <a16:creationId xmlns:a16="http://schemas.microsoft.com/office/drawing/2014/main" id="{00000000-0008-0000-0E00-0000BEB40300}"/>
            </a:ext>
          </a:extLst>
        </xdr:cNvPr>
        <xdr:cNvSpPr txBox="1">
          <a:spLocks noChangeArrowheads="1"/>
        </xdr:cNvSpPr>
      </xdr:nvSpPr>
      <xdr:spPr bwMode="auto">
        <a:xfrm>
          <a:off x="6894195" y="740625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95</xdr:row>
      <xdr:rowOff>15675</xdr:rowOff>
    </xdr:from>
    <xdr:to>
      <xdr:col>9</xdr:col>
      <xdr:colOff>4503756</xdr:colOff>
      <xdr:row>96</xdr:row>
      <xdr:rowOff>0</xdr:rowOff>
    </xdr:to>
    <xdr:sp macro="" textlink="" fLocksText="0">
      <xdr:nvSpPr>
        <xdr:cNvPr id="242890" name="ZoneTexte 1">
          <a:extLst>
            <a:ext uri="{FF2B5EF4-FFF2-40B4-BE49-F238E27FC236}">
              <a16:creationId xmlns:a16="http://schemas.microsoft.com/office/drawing/2014/main" id="{00000000-0008-0000-0E00-0000CAB403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242891" name="ZoneTexte 1">
          <a:extLst>
            <a:ext uri="{FF2B5EF4-FFF2-40B4-BE49-F238E27FC236}">
              <a16:creationId xmlns:a16="http://schemas.microsoft.com/office/drawing/2014/main" id="{00000000-0008-0000-0E00-0000CBB403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242892" name="ZoneTexte 1">
          <a:extLst>
            <a:ext uri="{FF2B5EF4-FFF2-40B4-BE49-F238E27FC236}">
              <a16:creationId xmlns:a16="http://schemas.microsoft.com/office/drawing/2014/main" id="{00000000-0008-0000-0E00-0000CCB403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90</xdr:row>
      <xdr:rowOff>165251</xdr:rowOff>
    </xdr:from>
    <xdr:to>
      <xdr:col>5</xdr:col>
      <xdr:colOff>462364</xdr:colOff>
      <xdr:row>91</xdr:row>
      <xdr:rowOff>415621</xdr:rowOff>
    </xdr:to>
    <xdr:sp macro="" textlink="">
      <xdr:nvSpPr>
        <xdr:cNvPr id="242911" name="Ellipse 242910">
          <a:extLst>
            <a:ext uri="{FF2B5EF4-FFF2-40B4-BE49-F238E27FC236}">
              <a16:creationId xmlns:a16="http://schemas.microsoft.com/office/drawing/2014/main" id="{00000000-0008-0000-0E00-0000DFB403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242912" name="ZoneTexte 1">
          <a:extLst>
            <a:ext uri="{FF2B5EF4-FFF2-40B4-BE49-F238E27FC236}">
              <a16:creationId xmlns:a16="http://schemas.microsoft.com/office/drawing/2014/main" id="{00000000-0008-0000-0E00-0000E0B403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242913" name="ZoneTexte 1">
          <a:extLst>
            <a:ext uri="{FF2B5EF4-FFF2-40B4-BE49-F238E27FC236}">
              <a16:creationId xmlns:a16="http://schemas.microsoft.com/office/drawing/2014/main" id="{00000000-0008-0000-0E00-0000E1B403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242926" name="ZoneTexte 1">
          <a:extLst>
            <a:ext uri="{FF2B5EF4-FFF2-40B4-BE49-F238E27FC236}">
              <a16:creationId xmlns:a16="http://schemas.microsoft.com/office/drawing/2014/main" id="{00000000-0008-0000-0E00-0000EEB403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242927" name="ZoneTexte 1">
          <a:extLst>
            <a:ext uri="{FF2B5EF4-FFF2-40B4-BE49-F238E27FC236}">
              <a16:creationId xmlns:a16="http://schemas.microsoft.com/office/drawing/2014/main" id="{00000000-0008-0000-0E00-0000EFB403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242940" name="ZoneTexte 1">
          <a:extLst>
            <a:ext uri="{FF2B5EF4-FFF2-40B4-BE49-F238E27FC236}">
              <a16:creationId xmlns:a16="http://schemas.microsoft.com/office/drawing/2014/main" id="{00000000-0008-0000-0E00-0000FCB403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242941" name="ZoneTexte 1">
          <a:extLst>
            <a:ext uri="{FF2B5EF4-FFF2-40B4-BE49-F238E27FC236}">
              <a16:creationId xmlns:a16="http://schemas.microsoft.com/office/drawing/2014/main" id="{00000000-0008-0000-0E00-0000FDB403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242942" name="ZoneTexte 1">
          <a:extLst>
            <a:ext uri="{FF2B5EF4-FFF2-40B4-BE49-F238E27FC236}">
              <a16:creationId xmlns:a16="http://schemas.microsoft.com/office/drawing/2014/main" id="{00000000-0008-0000-0E00-0000FEB403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242961" name="Ellipse 242960">
          <a:extLst>
            <a:ext uri="{FF2B5EF4-FFF2-40B4-BE49-F238E27FC236}">
              <a16:creationId xmlns:a16="http://schemas.microsoft.com/office/drawing/2014/main" id="{00000000-0008-0000-0E00-000011B503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242962" name="ZoneTexte 1">
          <a:extLst>
            <a:ext uri="{FF2B5EF4-FFF2-40B4-BE49-F238E27FC236}">
              <a16:creationId xmlns:a16="http://schemas.microsoft.com/office/drawing/2014/main" id="{00000000-0008-0000-0E00-000012B503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242963" name="ZoneTexte 1">
          <a:extLst>
            <a:ext uri="{FF2B5EF4-FFF2-40B4-BE49-F238E27FC236}">
              <a16:creationId xmlns:a16="http://schemas.microsoft.com/office/drawing/2014/main" id="{00000000-0008-0000-0E00-000013B503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1645138</xdr:rowOff>
        </xdr:from>
        <xdr:to>
          <xdr:col>8</xdr:col>
          <xdr:colOff>0</xdr:colOff>
          <xdr:row>49</xdr:row>
          <xdr:rowOff>0</xdr:rowOff>
        </xdr:to>
        <xdr:grpSp>
          <xdr:nvGrpSpPr>
            <xdr:cNvPr id="242976" name="Groupe 242975">
              <a:extLst>
                <a:ext uri="{FF2B5EF4-FFF2-40B4-BE49-F238E27FC236}">
                  <a16:creationId xmlns:a16="http://schemas.microsoft.com/office/drawing/2014/main" id="{00000000-0008-0000-0E00-000020B50300}"/>
                </a:ext>
              </a:extLst>
            </xdr:cNvPr>
            <xdr:cNvGrpSpPr/>
          </xdr:nvGrpSpPr>
          <xdr:grpSpPr>
            <a:xfrm>
              <a:off x="3706091" y="27726320"/>
              <a:ext cx="1962727" cy="1529862"/>
              <a:chOff x="2994689" y="2201909"/>
              <a:chExt cx="1960969" cy="1646925"/>
            </a:xfrm>
          </xdr:grpSpPr>
          <xdr:sp macro="" textlink="">
            <xdr:nvSpPr>
              <xdr:cNvPr id="242933" name="Option Button 245" descr="Case d'option 47" hidden="1">
                <a:extLst>
                  <a:ext uri="{63B3BB69-23CF-44E3-9099-C40C66FF867C}">
                    <a14:compatExt spid="_x0000_s242933"/>
                  </a:ext>
                  <a:ext uri="{FF2B5EF4-FFF2-40B4-BE49-F238E27FC236}">
                    <a16:creationId xmlns:a16="http://schemas.microsoft.com/office/drawing/2014/main" id="{00000000-0008-0000-0D00-0000F5B40300}"/>
                  </a:ext>
                </a:extLst>
              </xdr:cNvPr>
              <xdr:cNvSpPr/>
            </xdr:nvSpPr>
            <xdr:spPr bwMode="auto">
              <a:xfrm>
                <a:off x="3102128" y="2270497"/>
                <a:ext cx="1394459"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2934" name="Option Button 246" hidden="1">
                <a:extLst>
                  <a:ext uri="{63B3BB69-23CF-44E3-9099-C40C66FF867C}">
                    <a14:compatExt spid="_x0000_s242934"/>
                  </a:ext>
                  <a:ext uri="{FF2B5EF4-FFF2-40B4-BE49-F238E27FC236}">
                    <a16:creationId xmlns:a16="http://schemas.microsoft.com/office/drawing/2014/main" id="{00000000-0008-0000-0D00-0000F6B40300}"/>
                  </a:ext>
                </a:extLst>
              </xdr:cNvPr>
              <xdr:cNvSpPr/>
            </xdr:nvSpPr>
            <xdr:spPr bwMode="auto">
              <a:xfrm>
                <a:off x="3102128" y="2506718"/>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2935" name="Option Button 247" hidden="1">
                <a:extLst>
                  <a:ext uri="{63B3BB69-23CF-44E3-9099-C40C66FF867C}">
                    <a14:compatExt spid="_x0000_s242935"/>
                  </a:ext>
                  <a:ext uri="{FF2B5EF4-FFF2-40B4-BE49-F238E27FC236}">
                    <a16:creationId xmlns:a16="http://schemas.microsoft.com/office/drawing/2014/main" id="{00000000-0008-0000-0D00-0000F7B4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2936" name="Option Button 248" hidden="1">
                <a:extLst>
                  <a:ext uri="{63B3BB69-23CF-44E3-9099-C40C66FF867C}">
                    <a14:compatExt spid="_x0000_s242936"/>
                  </a:ext>
                  <a:ext uri="{FF2B5EF4-FFF2-40B4-BE49-F238E27FC236}">
                    <a16:creationId xmlns:a16="http://schemas.microsoft.com/office/drawing/2014/main" id="{00000000-0008-0000-0D00-0000F8B403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2937" name="Group Box 249" hidden="1">
                <a:extLst>
                  <a:ext uri="{63B3BB69-23CF-44E3-9099-C40C66FF867C}">
                    <a14:compatExt spid="_x0000_s242937"/>
                  </a:ext>
                  <a:ext uri="{FF2B5EF4-FFF2-40B4-BE49-F238E27FC236}">
                    <a16:creationId xmlns:a16="http://schemas.microsoft.com/office/drawing/2014/main" id="{00000000-0008-0000-0D00-0000F9B40300}"/>
                  </a:ext>
                </a:extLst>
              </xdr:cNvPr>
              <xdr:cNvSpPr/>
            </xdr:nvSpPr>
            <xdr:spPr bwMode="auto">
              <a:xfrm>
                <a:off x="2994689" y="2201909"/>
                <a:ext cx="1960969"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23090</xdr:colOff>
      <xdr:row>12</xdr:row>
      <xdr:rowOff>23090</xdr:rowOff>
    </xdr:from>
    <xdr:to>
      <xdr:col>9</xdr:col>
      <xdr:colOff>4559921</xdr:colOff>
      <xdr:row>12</xdr:row>
      <xdr:rowOff>1641461</xdr:rowOff>
    </xdr:to>
    <xdr:sp macro="" textlink="" fLocksText="0">
      <xdr:nvSpPr>
        <xdr:cNvPr id="24" name="ZoneTexte 23">
          <a:extLst>
            <a:ext uri="{FF2B5EF4-FFF2-40B4-BE49-F238E27FC236}">
              <a16:creationId xmlns:a16="http://schemas.microsoft.com/office/drawing/2014/main" id="{93A8BD35-9F12-4C8C-9E6F-8416B59DCD48}"/>
            </a:ext>
          </a:extLst>
        </xdr:cNvPr>
        <xdr:cNvSpPr txBox="1">
          <a:spLocks noChangeArrowheads="1"/>
        </xdr:cNvSpPr>
      </xdr:nvSpPr>
      <xdr:spPr bwMode="auto">
        <a:xfrm>
          <a:off x="6904181" y="5068454"/>
          <a:ext cx="4536831"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28</xdr:row>
      <xdr:rowOff>23090</xdr:rowOff>
    </xdr:from>
    <xdr:to>
      <xdr:col>9</xdr:col>
      <xdr:colOff>4559921</xdr:colOff>
      <xdr:row>28</xdr:row>
      <xdr:rowOff>1641461</xdr:rowOff>
    </xdr:to>
    <xdr:sp macro="" textlink="" fLocksText="0">
      <xdr:nvSpPr>
        <xdr:cNvPr id="25" name="ZoneTexte 24">
          <a:extLst>
            <a:ext uri="{FF2B5EF4-FFF2-40B4-BE49-F238E27FC236}">
              <a16:creationId xmlns:a16="http://schemas.microsoft.com/office/drawing/2014/main" id="{E9A05392-56DE-48DE-ACF8-240E210A50DA}"/>
            </a:ext>
          </a:extLst>
        </xdr:cNvPr>
        <xdr:cNvSpPr txBox="1">
          <a:spLocks noChangeArrowheads="1"/>
        </xdr:cNvSpPr>
      </xdr:nvSpPr>
      <xdr:spPr bwMode="auto">
        <a:xfrm>
          <a:off x="6904181" y="13000181"/>
          <a:ext cx="4536831"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44</xdr:row>
      <xdr:rowOff>23090</xdr:rowOff>
    </xdr:from>
    <xdr:to>
      <xdr:col>9</xdr:col>
      <xdr:colOff>4559921</xdr:colOff>
      <xdr:row>44</xdr:row>
      <xdr:rowOff>1881909</xdr:rowOff>
    </xdr:to>
    <xdr:sp macro="" textlink="" fLocksText="0">
      <xdr:nvSpPr>
        <xdr:cNvPr id="26" name="ZoneTexte 25">
          <a:extLst>
            <a:ext uri="{FF2B5EF4-FFF2-40B4-BE49-F238E27FC236}">
              <a16:creationId xmlns:a16="http://schemas.microsoft.com/office/drawing/2014/main" id="{230FFB61-D52D-48F8-9AC1-7A894BC403C2}"/>
            </a:ext>
          </a:extLst>
        </xdr:cNvPr>
        <xdr:cNvSpPr txBox="1">
          <a:spLocks noChangeArrowheads="1"/>
        </xdr:cNvSpPr>
      </xdr:nvSpPr>
      <xdr:spPr bwMode="auto">
        <a:xfrm>
          <a:off x="6904181" y="21024272"/>
          <a:ext cx="4536831" cy="1858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60</xdr:row>
      <xdr:rowOff>23090</xdr:rowOff>
    </xdr:from>
    <xdr:to>
      <xdr:col>9</xdr:col>
      <xdr:colOff>4559921</xdr:colOff>
      <xdr:row>60</xdr:row>
      <xdr:rowOff>1641461</xdr:rowOff>
    </xdr:to>
    <xdr:sp macro="" textlink="" fLocksText="0">
      <xdr:nvSpPr>
        <xdr:cNvPr id="27" name="ZoneTexte 26">
          <a:extLst>
            <a:ext uri="{FF2B5EF4-FFF2-40B4-BE49-F238E27FC236}">
              <a16:creationId xmlns:a16="http://schemas.microsoft.com/office/drawing/2014/main" id="{943449B7-90E0-4F38-9C86-A359D74925FF}"/>
            </a:ext>
          </a:extLst>
        </xdr:cNvPr>
        <xdr:cNvSpPr txBox="1">
          <a:spLocks noChangeArrowheads="1"/>
        </xdr:cNvSpPr>
      </xdr:nvSpPr>
      <xdr:spPr bwMode="auto">
        <a:xfrm>
          <a:off x="6904181" y="34751817"/>
          <a:ext cx="4536831"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78</xdr:row>
      <xdr:rowOff>23090</xdr:rowOff>
    </xdr:from>
    <xdr:to>
      <xdr:col>9</xdr:col>
      <xdr:colOff>4559921</xdr:colOff>
      <xdr:row>78</xdr:row>
      <xdr:rowOff>1641461</xdr:rowOff>
    </xdr:to>
    <xdr:sp macro="" textlink="" fLocksText="0">
      <xdr:nvSpPr>
        <xdr:cNvPr id="46" name="ZoneTexte 45">
          <a:extLst>
            <a:ext uri="{FF2B5EF4-FFF2-40B4-BE49-F238E27FC236}">
              <a16:creationId xmlns:a16="http://schemas.microsoft.com/office/drawing/2014/main" id="{8F2ADC6E-886C-45FE-81A9-181C21158115}"/>
            </a:ext>
          </a:extLst>
        </xdr:cNvPr>
        <xdr:cNvSpPr txBox="1">
          <a:spLocks noChangeArrowheads="1"/>
        </xdr:cNvSpPr>
      </xdr:nvSpPr>
      <xdr:spPr bwMode="auto">
        <a:xfrm>
          <a:off x="6904181" y="40547635"/>
          <a:ext cx="4536831"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1011115</xdr:colOff>
      <xdr:row>21</xdr:row>
      <xdr:rowOff>175845</xdr:rowOff>
    </xdr:from>
    <xdr:to>
      <xdr:col>6</xdr:col>
      <xdr:colOff>4074990</xdr:colOff>
      <xdr:row>22</xdr:row>
      <xdr:rowOff>203598</xdr:rowOff>
    </xdr:to>
    <xdr:sp macro="[0]!CalculMaturiteVF" textlink="">
      <xdr:nvSpPr>
        <xdr:cNvPr id="2" name="Rectangle : coins arrondis 1">
          <a:extLst>
            <a:ext uri="{FF2B5EF4-FFF2-40B4-BE49-F238E27FC236}">
              <a16:creationId xmlns:a16="http://schemas.microsoft.com/office/drawing/2014/main" id="{00000000-0008-0000-0F00-000002000000}"/>
            </a:ext>
          </a:extLst>
        </xdr:cNvPr>
        <xdr:cNvSpPr/>
      </xdr:nvSpPr>
      <xdr:spPr>
        <a:xfrm>
          <a:off x="3560884" y="7927730"/>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000-000002000000}"/>
            </a:ext>
          </a:extLst>
        </xdr:cNvPr>
        <xdr:cNvSpPr txBox="1">
          <a:spLocks noChangeArrowheads="1"/>
        </xdr:cNvSpPr>
      </xdr:nvSpPr>
      <xdr:spPr bwMode="auto">
        <a:xfrm>
          <a:off x="6909665" y="3417224"/>
          <a:ext cx="4471979" cy="162814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0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000-000005000000}"/>
                </a:ext>
              </a:extLst>
            </xdr:cNvPr>
            <xdr:cNvGrpSpPr/>
          </xdr:nvGrpSpPr>
          <xdr:grpSpPr>
            <a:xfrm>
              <a:off x="3706091" y="5045364"/>
              <a:ext cx="1962727" cy="1651000"/>
              <a:chOff x="2995447" y="3846793"/>
              <a:chExt cx="1960181" cy="1644869"/>
            </a:xfrm>
          </xdr:grpSpPr>
          <xdr:sp macro="" textlink="">
            <xdr:nvSpPr>
              <xdr:cNvPr id="243713" name="Option Button 1" hidden="1">
                <a:extLst>
                  <a:ext uri="{63B3BB69-23CF-44E3-9099-C40C66FF867C}">
                    <a14:compatExt spid="_x0000_s243713"/>
                  </a:ext>
                  <a:ext uri="{FF2B5EF4-FFF2-40B4-BE49-F238E27FC236}">
                    <a16:creationId xmlns:a16="http://schemas.microsoft.com/office/drawing/2014/main" id="{00000000-0008-0000-0F00-000001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14" name="Option Button 2" hidden="1">
                <a:extLst>
                  <a:ext uri="{63B3BB69-23CF-44E3-9099-C40C66FF867C}">
                    <a14:compatExt spid="_x0000_s243714"/>
                  </a:ext>
                  <a:ext uri="{FF2B5EF4-FFF2-40B4-BE49-F238E27FC236}">
                    <a16:creationId xmlns:a16="http://schemas.microsoft.com/office/drawing/2014/main" id="{00000000-0008-0000-0F00-000002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15" name="Option Button 3" hidden="1">
                <a:extLst>
                  <a:ext uri="{63B3BB69-23CF-44E3-9099-C40C66FF867C}">
                    <a14:compatExt spid="_x0000_s243715"/>
                  </a:ext>
                  <a:ext uri="{FF2B5EF4-FFF2-40B4-BE49-F238E27FC236}">
                    <a16:creationId xmlns:a16="http://schemas.microsoft.com/office/drawing/2014/main" id="{00000000-0008-0000-0F00-000003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16" name="Option Button 4" hidden="1">
                <a:extLst>
                  <a:ext uri="{63B3BB69-23CF-44E3-9099-C40C66FF867C}">
                    <a14:compatExt spid="_x0000_s243716"/>
                  </a:ext>
                  <a:ext uri="{FF2B5EF4-FFF2-40B4-BE49-F238E27FC236}">
                    <a16:creationId xmlns:a16="http://schemas.microsoft.com/office/drawing/2014/main" id="{00000000-0008-0000-0F00-000004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17" name="Group Box 5" hidden="1">
                <a:extLst>
                  <a:ext uri="{63B3BB69-23CF-44E3-9099-C40C66FF867C}">
                    <a14:compatExt spid="_x0000_s243717"/>
                  </a:ext>
                  <a:ext uri="{FF2B5EF4-FFF2-40B4-BE49-F238E27FC236}">
                    <a16:creationId xmlns:a16="http://schemas.microsoft.com/office/drawing/2014/main" id="{00000000-0008-0000-0F00-000005B80300}"/>
                  </a:ext>
                </a:extLst>
              </xdr:cNvPr>
              <xdr:cNvSpPr/>
            </xdr:nvSpPr>
            <xdr:spPr bwMode="auto">
              <a:xfrm>
                <a:off x="2995447" y="384679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0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0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0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0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000-00000A000000}"/>
                </a:ext>
              </a:extLst>
            </xdr:cNvPr>
            <xdr:cNvGrpSpPr/>
          </xdr:nvGrpSpPr>
          <xdr:grpSpPr>
            <a:xfrm>
              <a:off x="3706091" y="3394366"/>
              <a:ext cx="1964316" cy="1653056"/>
              <a:chOff x="3693199" y="3303808"/>
              <a:chExt cx="1959426" cy="1648421"/>
            </a:xfrm>
          </xdr:grpSpPr>
          <xdr:sp macro="" textlink="">
            <xdr:nvSpPr>
              <xdr:cNvPr id="243719" name="Group Box 7" hidden="1">
                <a:extLst>
                  <a:ext uri="{63B3BB69-23CF-44E3-9099-C40C66FF867C}">
                    <a14:compatExt spid="_x0000_s243719"/>
                  </a:ext>
                  <a:ext uri="{FF2B5EF4-FFF2-40B4-BE49-F238E27FC236}">
                    <a16:creationId xmlns:a16="http://schemas.microsoft.com/office/drawing/2014/main" id="{00000000-0008-0000-0F00-000007B80300}"/>
                  </a:ext>
                </a:extLst>
              </xdr:cNvPr>
              <xdr:cNvSpPr/>
            </xdr:nvSpPr>
            <xdr:spPr bwMode="auto">
              <a:xfrm>
                <a:off x="3693199" y="3303808"/>
                <a:ext cx="1959426" cy="1648421"/>
              </a:xfrm>
              <a:prstGeom prst="rect">
                <a:avLst/>
              </a:prstGeom>
              <a:noFill/>
              <a:ln w="9525">
                <a:miter lim="800000"/>
                <a:headEnd/>
                <a:tailEnd/>
              </a:ln>
              <a:extLst>
                <a:ext uri="{909E8E84-426E-40DD-AFC4-6F175D3DCCD1}">
                  <a14:hiddenFill>
                    <a:noFill/>
                  </a14:hiddenFill>
                </a:ext>
              </a:extLst>
            </xdr:spPr>
          </xdr:sp>
          <xdr:sp macro="" textlink="">
            <xdr:nvSpPr>
              <xdr:cNvPr id="243720" name="Option Button 8" descr="Case d'option 47" hidden="1">
                <a:extLst>
                  <a:ext uri="{63B3BB69-23CF-44E3-9099-C40C66FF867C}">
                    <a14:compatExt spid="_x0000_s243720"/>
                  </a:ext>
                  <a:ext uri="{FF2B5EF4-FFF2-40B4-BE49-F238E27FC236}">
                    <a16:creationId xmlns:a16="http://schemas.microsoft.com/office/drawing/2014/main" id="{00000000-0008-0000-0F00-000008B803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21" name="Option Button 9" hidden="1">
                <a:extLst>
                  <a:ext uri="{63B3BB69-23CF-44E3-9099-C40C66FF867C}">
                    <a14:compatExt spid="_x0000_s243721"/>
                  </a:ext>
                  <a:ext uri="{FF2B5EF4-FFF2-40B4-BE49-F238E27FC236}">
                    <a16:creationId xmlns:a16="http://schemas.microsoft.com/office/drawing/2014/main" id="{00000000-0008-0000-0F00-000009B803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22" name="Option Button 10" hidden="1">
                <a:extLst>
                  <a:ext uri="{63B3BB69-23CF-44E3-9099-C40C66FF867C}">
                    <a14:compatExt spid="_x0000_s243722"/>
                  </a:ext>
                  <a:ext uri="{FF2B5EF4-FFF2-40B4-BE49-F238E27FC236}">
                    <a16:creationId xmlns:a16="http://schemas.microsoft.com/office/drawing/2014/main" id="{00000000-0008-0000-0F00-00000AB803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23" name="Option Button 11" hidden="1">
                <a:extLst>
                  <a:ext uri="{63B3BB69-23CF-44E3-9099-C40C66FF867C}">
                    <a14:compatExt spid="_x0000_s243723"/>
                  </a:ext>
                  <a:ext uri="{FF2B5EF4-FFF2-40B4-BE49-F238E27FC236}">
                    <a16:creationId xmlns:a16="http://schemas.microsoft.com/office/drawing/2014/main" id="{00000000-0008-0000-0F00-00000BB803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1000-00000D000000}"/>
                </a:ext>
              </a:extLst>
            </xdr:cNvPr>
            <xdr:cNvGrpSpPr/>
          </xdr:nvGrpSpPr>
          <xdr:grpSpPr>
            <a:xfrm>
              <a:off x="3706091" y="9998368"/>
              <a:ext cx="1962727" cy="1650996"/>
              <a:chOff x="2995447" y="3846791"/>
              <a:chExt cx="1960181" cy="1673561"/>
            </a:xfrm>
          </xdr:grpSpPr>
          <xdr:sp macro="" textlink="">
            <xdr:nvSpPr>
              <xdr:cNvPr id="243734" name="Option Button 22" hidden="1">
                <a:extLst>
                  <a:ext uri="{63B3BB69-23CF-44E3-9099-C40C66FF867C}">
                    <a14:compatExt spid="_x0000_s243734"/>
                  </a:ext>
                  <a:ext uri="{FF2B5EF4-FFF2-40B4-BE49-F238E27FC236}">
                    <a16:creationId xmlns:a16="http://schemas.microsoft.com/office/drawing/2014/main" id="{00000000-0008-0000-0F00-000016B803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35" name="Option Button 23" hidden="1">
                <a:extLst>
                  <a:ext uri="{63B3BB69-23CF-44E3-9099-C40C66FF867C}">
                    <a14:compatExt spid="_x0000_s243735"/>
                  </a:ext>
                  <a:ext uri="{FF2B5EF4-FFF2-40B4-BE49-F238E27FC236}">
                    <a16:creationId xmlns:a16="http://schemas.microsoft.com/office/drawing/2014/main" id="{00000000-0008-0000-0F00-000017B80300}"/>
                  </a:ext>
                </a:extLst>
              </xdr:cNvPr>
              <xdr:cNvSpPr/>
            </xdr:nvSpPr>
            <xdr:spPr bwMode="auto">
              <a:xfrm>
                <a:off x="3109748" y="424302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36" name="Option Button 24" hidden="1">
                <a:extLst>
                  <a:ext uri="{63B3BB69-23CF-44E3-9099-C40C66FF867C}">
                    <a14:compatExt spid="_x0000_s243736"/>
                  </a:ext>
                  <a:ext uri="{FF2B5EF4-FFF2-40B4-BE49-F238E27FC236}">
                    <a16:creationId xmlns:a16="http://schemas.microsoft.com/office/drawing/2014/main" id="{00000000-0008-0000-0F00-000018B80300}"/>
                  </a:ext>
                </a:extLst>
              </xdr:cNvPr>
              <xdr:cNvSpPr/>
            </xdr:nvSpPr>
            <xdr:spPr bwMode="auto">
              <a:xfrm>
                <a:off x="3109748" y="448686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37" name="Option Button 25" hidden="1">
                <a:extLst>
                  <a:ext uri="{63B3BB69-23CF-44E3-9099-C40C66FF867C}">
                    <a14:compatExt spid="_x0000_s243737"/>
                  </a:ext>
                  <a:ext uri="{FF2B5EF4-FFF2-40B4-BE49-F238E27FC236}">
                    <a16:creationId xmlns:a16="http://schemas.microsoft.com/office/drawing/2014/main" id="{00000000-0008-0000-0F00-000019B803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38" name="Group Box 26" hidden="1">
                <a:extLst>
                  <a:ext uri="{63B3BB69-23CF-44E3-9099-C40C66FF867C}">
                    <a14:compatExt spid="_x0000_s243738"/>
                  </a:ext>
                  <a:ext uri="{FF2B5EF4-FFF2-40B4-BE49-F238E27FC236}">
                    <a16:creationId xmlns:a16="http://schemas.microsoft.com/office/drawing/2014/main" id="{00000000-0008-0000-0F00-00001AB80300}"/>
                  </a:ext>
                </a:extLst>
              </xdr:cNvPr>
              <xdr:cNvSpPr/>
            </xdr:nvSpPr>
            <xdr:spPr bwMode="auto">
              <a:xfrm>
                <a:off x="2995447" y="3846791"/>
                <a:ext cx="1960181" cy="167356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1000-00000E000000}"/>
                </a:ext>
              </a:extLst>
            </xdr:cNvPr>
            <xdr:cNvGrpSpPr/>
          </xdr:nvGrpSpPr>
          <xdr:grpSpPr>
            <a:xfrm>
              <a:off x="3706091" y="8347364"/>
              <a:ext cx="1962727" cy="1653058"/>
              <a:chOff x="2991532" y="2201914"/>
              <a:chExt cx="1964147" cy="1646925"/>
            </a:xfrm>
            <a:solidFill>
              <a:schemeClr val="accent1"/>
            </a:solidFill>
          </xdr:grpSpPr>
          <xdr:sp macro="" textlink="">
            <xdr:nvSpPr>
              <xdr:cNvPr id="243739" name="Option Button 27" descr="Case d'option 47" hidden="1">
                <a:extLst>
                  <a:ext uri="{63B3BB69-23CF-44E3-9099-C40C66FF867C}">
                    <a14:compatExt spid="_x0000_s243739"/>
                  </a:ext>
                  <a:ext uri="{FF2B5EF4-FFF2-40B4-BE49-F238E27FC236}">
                    <a16:creationId xmlns:a16="http://schemas.microsoft.com/office/drawing/2014/main" id="{00000000-0008-0000-0F00-00001B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40" name="Option Button 28" hidden="1">
                <a:extLst>
                  <a:ext uri="{63B3BB69-23CF-44E3-9099-C40C66FF867C}">
                    <a14:compatExt spid="_x0000_s243740"/>
                  </a:ext>
                  <a:ext uri="{FF2B5EF4-FFF2-40B4-BE49-F238E27FC236}">
                    <a16:creationId xmlns:a16="http://schemas.microsoft.com/office/drawing/2014/main" id="{00000000-0008-0000-0F00-00001CB803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41" name="Option Button 29" hidden="1">
                <a:extLst>
                  <a:ext uri="{63B3BB69-23CF-44E3-9099-C40C66FF867C}">
                    <a14:compatExt spid="_x0000_s243741"/>
                  </a:ext>
                  <a:ext uri="{FF2B5EF4-FFF2-40B4-BE49-F238E27FC236}">
                    <a16:creationId xmlns:a16="http://schemas.microsoft.com/office/drawing/2014/main" id="{00000000-0008-0000-0F00-00001D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42" name="Option Button 30" hidden="1">
                <a:extLst>
                  <a:ext uri="{63B3BB69-23CF-44E3-9099-C40C66FF867C}">
                    <a14:compatExt spid="_x0000_s243742"/>
                  </a:ext>
                  <a:ext uri="{FF2B5EF4-FFF2-40B4-BE49-F238E27FC236}">
                    <a16:creationId xmlns:a16="http://schemas.microsoft.com/office/drawing/2014/main" id="{00000000-0008-0000-0F00-00001E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43" name="Group Box 31" hidden="1">
                <a:extLst>
                  <a:ext uri="{63B3BB69-23CF-44E3-9099-C40C66FF867C}">
                    <a14:compatExt spid="_x0000_s243743"/>
                  </a:ext>
                  <a:ext uri="{FF2B5EF4-FFF2-40B4-BE49-F238E27FC236}">
                    <a16:creationId xmlns:a16="http://schemas.microsoft.com/office/drawing/2014/main" id="{00000000-0008-0000-0F00-00001FB80300}"/>
                  </a:ext>
                </a:extLst>
              </xdr:cNvPr>
              <xdr:cNvSpPr/>
            </xdr:nvSpPr>
            <xdr:spPr bwMode="auto">
              <a:xfrm>
                <a:off x="2991532" y="2201914"/>
                <a:ext cx="196414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1000-00000F000000}"/>
                </a:ext>
              </a:extLst>
            </xdr:cNvPr>
            <xdr:cNvGrpSpPr/>
          </xdr:nvGrpSpPr>
          <xdr:grpSpPr>
            <a:xfrm>
              <a:off x="3706091" y="6696364"/>
              <a:ext cx="1962727" cy="1651000"/>
              <a:chOff x="2994693" y="2201919"/>
              <a:chExt cx="1960969" cy="1646927"/>
            </a:xfrm>
          </xdr:grpSpPr>
          <xdr:sp macro="" textlink="">
            <xdr:nvSpPr>
              <xdr:cNvPr id="243744" name="Option Button 32" descr="Case d'option 47" hidden="1">
                <a:extLst>
                  <a:ext uri="{63B3BB69-23CF-44E3-9099-C40C66FF867C}">
                    <a14:compatExt spid="_x0000_s243744"/>
                  </a:ext>
                  <a:ext uri="{FF2B5EF4-FFF2-40B4-BE49-F238E27FC236}">
                    <a16:creationId xmlns:a16="http://schemas.microsoft.com/office/drawing/2014/main" id="{00000000-0008-0000-0F00-000020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45" name="Option Button 33" hidden="1">
                <a:extLst>
                  <a:ext uri="{63B3BB69-23CF-44E3-9099-C40C66FF867C}">
                    <a14:compatExt spid="_x0000_s243745"/>
                  </a:ext>
                  <a:ext uri="{FF2B5EF4-FFF2-40B4-BE49-F238E27FC236}">
                    <a16:creationId xmlns:a16="http://schemas.microsoft.com/office/drawing/2014/main" id="{00000000-0008-0000-0F00-000021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46" name="Option Button 34" hidden="1">
                <a:extLst>
                  <a:ext uri="{63B3BB69-23CF-44E3-9099-C40C66FF867C}">
                    <a14:compatExt spid="_x0000_s243746"/>
                  </a:ext>
                  <a:ext uri="{FF2B5EF4-FFF2-40B4-BE49-F238E27FC236}">
                    <a16:creationId xmlns:a16="http://schemas.microsoft.com/office/drawing/2014/main" id="{00000000-0008-0000-0F00-000022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47" name="Option Button 35" hidden="1">
                <a:extLst>
                  <a:ext uri="{63B3BB69-23CF-44E3-9099-C40C66FF867C}">
                    <a14:compatExt spid="_x0000_s243747"/>
                  </a:ext>
                  <a:ext uri="{FF2B5EF4-FFF2-40B4-BE49-F238E27FC236}">
                    <a16:creationId xmlns:a16="http://schemas.microsoft.com/office/drawing/2014/main" id="{00000000-0008-0000-0F00-000023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48" name="Group Box 36" hidden="1">
                <a:extLst>
                  <a:ext uri="{63B3BB69-23CF-44E3-9099-C40C66FF867C}">
                    <a14:compatExt spid="_x0000_s243748"/>
                  </a:ext>
                  <a:ext uri="{FF2B5EF4-FFF2-40B4-BE49-F238E27FC236}">
                    <a16:creationId xmlns:a16="http://schemas.microsoft.com/office/drawing/2014/main" id="{00000000-0008-0000-0F00-000024B80300}"/>
                  </a:ext>
                </a:extLst>
              </xdr:cNvPr>
              <xdr:cNvSpPr/>
            </xdr:nvSpPr>
            <xdr:spPr bwMode="auto">
              <a:xfrm>
                <a:off x="2994693" y="2201919"/>
                <a:ext cx="1960969" cy="164692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0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000-000012000000}"/>
                </a:ext>
              </a:extLst>
            </xdr:cNvPr>
            <xdr:cNvGrpSpPr/>
          </xdr:nvGrpSpPr>
          <xdr:grpSpPr>
            <a:xfrm>
              <a:off x="3706091" y="15470909"/>
              <a:ext cx="1962727" cy="2355273"/>
              <a:chOff x="2995447" y="3846795"/>
              <a:chExt cx="1960181" cy="1644870"/>
            </a:xfrm>
          </xdr:grpSpPr>
          <xdr:sp macro="" textlink="">
            <xdr:nvSpPr>
              <xdr:cNvPr id="243749" name="Option Button 37" hidden="1">
                <a:extLst>
                  <a:ext uri="{63B3BB69-23CF-44E3-9099-C40C66FF867C}">
                    <a14:compatExt spid="_x0000_s243749"/>
                  </a:ext>
                  <a:ext uri="{FF2B5EF4-FFF2-40B4-BE49-F238E27FC236}">
                    <a16:creationId xmlns:a16="http://schemas.microsoft.com/office/drawing/2014/main" id="{00000000-0008-0000-0F00-000025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50" name="Option Button 38" hidden="1">
                <a:extLst>
                  <a:ext uri="{63B3BB69-23CF-44E3-9099-C40C66FF867C}">
                    <a14:compatExt spid="_x0000_s243750"/>
                  </a:ext>
                  <a:ext uri="{FF2B5EF4-FFF2-40B4-BE49-F238E27FC236}">
                    <a16:creationId xmlns:a16="http://schemas.microsoft.com/office/drawing/2014/main" id="{00000000-0008-0000-0F00-000026B80300}"/>
                  </a:ext>
                </a:extLst>
              </xdr:cNvPr>
              <xdr:cNvSpPr/>
            </xdr:nvSpPr>
            <xdr:spPr bwMode="auto">
              <a:xfrm>
                <a:off x="3109748" y="4160691"/>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51" name="Option Button 39" hidden="1">
                <a:extLst>
                  <a:ext uri="{63B3BB69-23CF-44E3-9099-C40C66FF867C}">
                    <a14:compatExt spid="_x0000_s243751"/>
                  </a:ext>
                  <a:ext uri="{FF2B5EF4-FFF2-40B4-BE49-F238E27FC236}">
                    <a16:creationId xmlns:a16="http://schemas.microsoft.com/office/drawing/2014/main" id="{00000000-0008-0000-0F00-000027B80300}"/>
                  </a:ext>
                </a:extLst>
              </xdr:cNvPr>
              <xdr:cNvSpPr/>
            </xdr:nvSpPr>
            <xdr:spPr bwMode="auto">
              <a:xfrm>
                <a:off x="3109748" y="434505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52" name="Option Button 40" hidden="1">
                <a:extLst>
                  <a:ext uri="{63B3BB69-23CF-44E3-9099-C40C66FF867C}">
                    <a14:compatExt spid="_x0000_s243752"/>
                  </a:ext>
                  <a:ext uri="{FF2B5EF4-FFF2-40B4-BE49-F238E27FC236}">
                    <a16:creationId xmlns:a16="http://schemas.microsoft.com/office/drawing/2014/main" id="{00000000-0008-0000-0F00-000028B80300}"/>
                  </a:ext>
                </a:extLst>
              </xdr:cNvPr>
              <xdr:cNvSpPr/>
            </xdr:nvSpPr>
            <xdr:spPr bwMode="auto">
              <a:xfrm>
                <a:off x="3109748" y="4529421"/>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53" name="Group Box 41" hidden="1">
                <a:extLst>
                  <a:ext uri="{63B3BB69-23CF-44E3-9099-C40C66FF867C}">
                    <a14:compatExt spid="_x0000_s243753"/>
                  </a:ext>
                  <a:ext uri="{FF2B5EF4-FFF2-40B4-BE49-F238E27FC236}">
                    <a16:creationId xmlns:a16="http://schemas.microsoft.com/office/drawing/2014/main" id="{00000000-0008-0000-0F00-000029B80300}"/>
                  </a:ext>
                </a:extLst>
              </xdr:cNvPr>
              <xdr:cNvSpPr/>
            </xdr:nvSpPr>
            <xdr:spPr bwMode="auto">
              <a:xfrm>
                <a:off x="2995447" y="3846795"/>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0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0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0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0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0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34</xdr:row>
          <xdr:rowOff>0</xdr:rowOff>
        </xdr:to>
        <xdr:sp macro="" textlink="">
          <xdr:nvSpPr>
            <xdr:cNvPr id="243754" name="Group Box 42" hidden="1">
              <a:extLst>
                <a:ext uri="{63B3BB69-23CF-44E3-9099-C40C66FF867C}">
                  <a14:compatExt spid="_x0000_s243754"/>
                </a:ext>
                <a:ext uri="{FF2B5EF4-FFF2-40B4-BE49-F238E27FC236}">
                  <a16:creationId xmlns:a16="http://schemas.microsoft.com/office/drawing/2014/main" id="{00000000-0008-0000-0F00-00002AB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3017</xdr:colOff>
          <xdr:row>33</xdr:row>
          <xdr:rowOff>550</xdr:rowOff>
        </xdr:from>
        <xdr:to>
          <xdr:col>8</xdr:col>
          <xdr:colOff>0</xdr:colOff>
          <xdr:row>34</xdr:row>
          <xdr:rowOff>550</xdr:rowOff>
        </xdr:to>
        <xdr:grpSp>
          <xdr:nvGrpSpPr>
            <xdr:cNvPr id="24" name="Groupe 23">
              <a:extLst>
                <a:ext uri="{FF2B5EF4-FFF2-40B4-BE49-F238E27FC236}">
                  <a16:creationId xmlns:a16="http://schemas.microsoft.com/office/drawing/2014/main" id="{00000000-0008-0000-1000-000018000000}"/>
                </a:ext>
              </a:extLst>
            </xdr:cNvPr>
            <xdr:cNvGrpSpPr/>
          </xdr:nvGrpSpPr>
          <xdr:grpSpPr>
            <a:xfrm>
              <a:off x="3709108" y="24430732"/>
              <a:ext cx="1959710" cy="1651000"/>
              <a:chOff x="2995408" y="3846792"/>
              <a:chExt cx="1960181" cy="1644871"/>
            </a:xfrm>
          </xdr:grpSpPr>
          <xdr:sp macro="" textlink="">
            <xdr:nvSpPr>
              <xdr:cNvPr id="243755" name="Option Button 43" hidden="1">
                <a:extLst>
                  <a:ext uri="{63B3BB69-23CF-44E3-9099-C40C66FF867C}">
                    <a14:compatExt spid="_x0000_s243755"/>
                  </a:ext>
                  <a:ext uri="{FF2B5EF4-FFF2-40B4-BE49-F238E27FC236}">
                    <a16:creationId xmlns:a16="http://schemas.microsoft.com/office/drawing/2014/main" id="{00000000-0008-0000-0F00-00002B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56" name="Option Button 44" hidden="1">
                <a:extLst>
                  <a:ext uri="{63B3BB69-23CF-44E3-9099-C40C66FF867C}">
                    <a14:compatExt spid="_x0000_s243756"/>
                  </a:ext>
                  <a:ext uri="{FF2B5EF4-FFF2-40B4-BE49-F238E27FC236}">
                    <a16:creationId xmlns:a16="http://schemas.microsoft.com/office/drawing/2014/main" id="{00000000-0008-0000-0F00-00002C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57" name="Option Button 45" hidden="1">
                <a:extLst>
                  <a:ext uri="{63B3BB69-23CF-44E3-9099-C40C66FF867C}">
                    <a14:compatExt spid="_x0000_s243757"/>
                  </a:ext>
                  <a:ext uri="{FF2B5EF4-FFF2-40B4-BE49-F238E27FC236}">
                    <a16:creationId xmlns:a16="http://schemas.microsoft.com/office/drawing/2014/main" id="{00000000-0008-0000-0F00-00002D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58" name="Option Button 46" hidden="1">
                <a:extLst>
                  <a:ext uri="{63B3BB69-23CF-44E3-9099-C40C66FF867C}">
                    <a14:compatExt spid="_x0000_s243758"/>
                  </a:ext>
                  <a:ext uri="{FF2B5EF4-FFF2-40B4-BE49-F238E27FC236}">
                    <a16:creationId xmlns:a16="http://schemas.microsoft.com/office/drawing/2014/main" id="{00000000-0008-0000-0F00-00002E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59" name="Group Box 47" hidden="1">
                <a:extLst>
                  <a:ext uri="{63B3BB69-23CF-44E3-9099-C40C66FF867C}">
                    <a14:compatExt spid="_x0000_s243759"/>
                  </a:ext>
                  <a:ext uri="{FF2B5EF4-FFF2-40B4-BE49-F238E27FC236}">
                    <a16:creationId xmlns:a16="http://schemas.microsoft.com/office/drawing/2014/main" id="{00000000-0008-0000-0F00-00002FB80300}"/>
                  </a:ext>
                </a:extLst>
              </xdr:cNvPr>
              <xdr:cNvSpPr/>
            </xdr:nvSpPr>
            <xdr:spPr bwMode="auto">
              <a:xfrm>
                <a:off x="2995408" y="3846792"/>
                <a:ext cx="1960181" cy="164487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1000-000019000000}"/>
                </a:ext>
              </a:extLst>
            </xdr:cNvPr>
            <xdr:cNvGrpSpPr/>
          </xdr:nvGrpSpPr>
          <xdr:grpSpPr>
            <a:xfrm>
              <a:off x="3707548" y="22779182"/>
              <a:ext cx="1961871" cy="1651000"/>
              <a:chOff x="2994654" y="2201914"/>
              <a:chExt cx="1960974" cy="1646922"/>
            </a:xfrm>
          </xdr:grpSpPr>
          <xdr:sp macro="" textlink="">
            <xdr:nvSpPr>
              <xdr:cNvPr id="243760" name="Option Button 48" descr="Case d'option 47" hidden="1">
                <a:extLst>
                  <a:ext uri="{63B3BB69-23CF-44E3-9099-C40C66FF867C}">
                    <a14:compatExt spid="_x0000_s243760"/>
                  </a:ext>
                  <a:ext uri="{FF2B5EF4-FFF2-40B4-BE49-F238E27FC236}">
                    <a16:creationId xmlns:a16="http://schemas.microsoft.com/office/drawing/2014/main" id="{00000000-0008-0000-0F00-000030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61" name="Option Button 49" hidden="1">
                <a:extLst>
                  <a:ext uri="{63B3BB69-23CF-44E3-9099-C40C66FF867C}">
                    <a14:compatExt spid="_x0000_s243761"/>
                  </a:ext>
                  <a:ext uri="{FF2B5EF4-FFF2-40B4-BE49-F238E27FC236}">
                    <a16:creationId xmlns:a16="http://schemas.microsoft.com/office/drawing/2014/main" id="{00000000-0008-0000-0F00-000031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62" name="Option Button 50" hidden="1">
                <a:extLst>
                  <a:ext uri="{63B3BB69-23CF-44E3-9099-C40C66FF867C}">
                    <a14:compatExt spid="_x0000_s243762"/>
                  </a:ext>
                  <a:ext uri="{FF2B5EF4-FFF2-40B4-BE49-F238E27FC236}">
                    <a16:creationId xmlns:a16="http://schemas.microsoft.com/office/drawing/2014/main" id="{00000000-0008-0000-0F00-000032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63" name="Option Button 51" hidden="1">
                <a:extLst>
                  <a:ext uri="{63B3BB69-23CF-44E3-9099-C40C66FF867C}">
                    <a14:compatExt spid="_x0000_s243763"/>
                  </a:ext>
                  <a:ext uri="{FF2B5EF4-FFF2-40B4-BE49-F238E27FC236}">
                    <a16:creationId xmlns:a16="http://schemas.microsoft.com/office/drawing/2014/main" id="{00000000-0008-0000-0F00-000033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64" name="Group Box 52" hidden="1">
                <a:extLst>
                  <a:ext uri="{63B3BB69-23CF-44E3-9099-C40C66FF867C}">
                    <a14:compatExt spid="_x0000_s243764"/>
                  </a:ext>
                  <a:ext uri="{FF2B5EF4-FFF2-40B4-BE49-F238E27FC236}">
                    <a16:creationId xmlns:a16="http://schemas.microsoft.com/office/drawing/2014/main" id="{00000000-0008-0000-0F00-000034B80300}"/>
                  </a:ext>
                </a:extLst>
              </xdr:cNvPr>
              <xdr:cNvSpPr/>
            </xdr:nvSpPr>
            <xdr:spPr bwMode="auto">
              <a:xfrm>
                <a:off x="2994654"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1000-00001A000000}"/>
                </a:ext>
              </a:extLst>
            </xdr:cNvPr>
            <xdr:cNvGrpSpPr/>
          </xdr:nvGrpSpPr>
          <xdr:grpSpPr>
            <a:xfrm>
              <a:off x="3706091" y="21128185"/>
              <a:ext cx="1962727" cy="1651000"/>
              <a:chOff x="2995447" y="3846790"/>
              <a:chExt cx="1960181" cy="1644871"/>
            </a:xfrm>
          </xdr:grpSpPr>
          <xdr:sp macro="" textlink="">
            <xdr:nvSpPr>
              <xdr:cNvPr id="243765" name="Option Button 53" hidden="1">
                <a:extLst>
                  <a:ext uri="{63B3BB69-23CF-44E3-9099-C40C66FF867C}">
                    <a14:compatExt spid="_x0000_s243765"/>
                  </a:ext>
                  <a:ext uri="{FF2B5EF4-FFF2-40B4-BE49-F238E27FC236}">
                    <a16:creationId xmlns:a16="http://schemas.microsoft.com/office/drawing/2014/main" id="{00000000-0008-0000-0F00-000035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66" name="Option Button 54" hidden="1">
                <a:extLst>
                  <a:ext uri="{63B3BB69-23CF-44E3-9099-C40C66FF867C}">
                    <a14:compatExt spid="_x0000_s243766"/>
                  </a:ext>
                  <a:ext uri="{FF2B5EF4-FFF2-40B4-BE49-F238E27FC236}">
                    <a16:creationId xmlns:a16="http://schemas.microsoft.com/office/drawing/2014/main" id="{00000000-0008-0000-0F00-000036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67" name="Option Button 55" hidden="1">
                <a:extLst>
                  <a:ext uri="{63B3BB69-23CF-44E3-9099-C40C66FF867C}">
                    <a14:compatExt spid="_x0000_s243767"/>
                  </a:ext>
                  <a:ext uri="{FF2B5EF4-FFF2-40B4-BE49-F238E27FC236}">
                    <a16:creationId xmlns:a16="http://schemas.microsoft.com/office/drawing/2014/main" id="{00000000-0008-0000-0F00-000037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68" name="Option Button 56" hidden="1">
                <a:extLst>
                  <a:ext uri="{63B3BB69-23CF-44E3-9099-C40C66FF867C}">
                    <a14:compatExt spid="_x0000_s243768"/>
                  </a:ext>
                  <a:ext uri="{FF2B5EF4-FFF2-40B4-BE49-F238E27FC236}">
                    <a16:creationId xmlns:a16="http://schemas.microsoft.com/office/drawing/2014/main" id="{00000000-0008-0000-0F00-000038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69" name="Group Box 57" hidden="1">
                <a:extLst>
                  <a:ext uri="{63B3BB69-23CF-44E3-9099-C40C66FF867C}">
                    <a14:compatExt spid="_x0000_s243769"/>
                  </a:ext>
                  <a:ext uri="{FF2B5EF4-FFF2-40B4-BE49-F238E27FC236}">
                    <a16:creationId xmlns:a16="http://schemas.microsoft.com/office/drawing/2014/main" id="{00000000-0008-0000-0F00-000039B80300}"/>
                  </a:ext>
                </a:extLst>
              </xdr:cNvPr>
              <xdr:cNvSpPr/>
            </xdr:nvSpPr>
            <xdr:spPr bwMode="auto">
              <a:xfrm>
                <a:off x="2995447" y="3846790"/>
                <a:ext cx="1960181" cy="164487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1000-00001B000000}"/>
                </a:ext>
              </a:extLst>
            </xdr:cNvPr>
            <xdr:cNvGrpSpPr/>
          </xdr:nvGrpSpPr>
          <xdr:grpSpPr>
            <a:xfrm>
              <a:off x="3706651" y="19477489"/>
              <a:ext cx="1954893" cy="1652751"/>
              <a:chOff x="2994659" y="2201920"/>
              <a:chExt cx="1960969" cy="1646924"/>
            </a:xfrm>
          </xdr:grpSpPr>
          <xdr:sp macro="" textlink="">
            <xdr:nvSpPr>
              <xdr:cNvPr id="243770" name="Option Button 58" descr="Case d'option 47" hidden="1">
                <a:extLst>
                  <a:ext uri="{63B3BB69-23CF-44E3-9099-C40C66FF867C}">
                    <a14:compatExt spid="_x0000_s243770"/>
                  </a:ext>
                  <a:ext uri="{FF2B5EF4-FFF2-40B4-BE49-F238E27FC236}">
                    <a16:creationId xmlns:a16="http://schemas.microsoft.com/office/drawing/2014/main" id="{00000000-0008-0000-0F00-00003AB803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71" name="Option Button 59" hidden="1">
                <a:extLst>
                  <a:ext uri="{63B3BB69-23CF-44E3-9099-C40C66FF867C}">
                    <a14:compatExt spid="_x0000_s243771"/>
                  </a:ext>
                  <a:ext uri="{FF2B5EF4-FFF2-40B4-BE49-F238E27FC236}">
                    <a16:creationId xmlns:a16="http://schemas.microsoft.com/office/drawing/2014/main" id="{00000000-0008-0000-0F00-00003B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72" name="Option Button 60" hidden="1">
                <a:extLst>
                  <a:ext uri="{63B3BB69-23CF-44E3-9099-C40C66FF867C}">
                    <a14:compatExt spid="_x0000_s243772"/>
                  </a:ext>
                  <a:ext uri="{FF2B5EF4-FFF2-40B4-BE49-F238E27FC236}">
                    <a16:creationId xmlns:a16="http://schemas.microsoft.com/office/drawing/2014/main" id="{00000000-0008-0000-0F00-00003C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73" name="Option Button 61" hidden="1">
                <a:extLst>
                  <a:ext uri="{63B3BB69-23CF-44E3-9099-C40C66FF867C}">
                    <a14:compatExt spid="_x0000_s243773"/>
                  </a:ext>
                  <a:ext uri="{FF2B5EF4-FFF2-40B4-BE49-F238E27FC236}">
                    <a16:creationId xmlns:a16="http://schemas.microsoft.com/office/drawing/2014/main" id="{00000000-0008-0000-0F00-00003DB803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74" name="Group Box 62" hidden="1">
                <a:extLst>
                  <a:ext uri="{63B3BB69-23CF-44E3-9099-C40C66FF867C}">
                    <a14:compatExt spid="_x0000_s243774"/>
                  </a:ext>
                  <a:ext uri="{FF2B5EF4-FFF2-40B4-BE49-F238E27FC236}">
                    <a16:creationId xmlns:a16="http://schemas.microsoft.com/office/drawing/2014/main" id="{00000000-0008-0000-0F00-00003EB80300}"/>
                  </a:ext>
                </a:extLst>
              </xdr:cNvPr>
              <xdr:cNvSpPr/>
            </xdr:nvSpPr>
            <xdr:spPr bwMode="auto">
              <a:xfrm>
                <a:off x="2994659" y="2201920"/>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000-00001C000000}"/>
                </a:ext>
              </a:extLst>
            </xdr:cNvPr>
            <xdr:cNvGrpSpPr/>
          </xdr:nvGrpSpPr>
          <xdr:grpSpPr>
            <a:xfrm>
              <a:off x="3706091" y="17826182"/>
              <a:ext cx="1962727" cy="1651000"/>
              <a:chOff x="2994693" y="2201917"/>
              <a:chExt cx="1960969" cy="1646922"/>
            </a:xfrm>
          </xdr:grpSpPr>
          <xdr:sp macro="" textlink="">
            <xdr:nvSpPr>
              <xdr:cNvPr id="243775" name="Option Button 63" descr="Case d'option 47" hidden="1">
                <a:extLst>
                  <a:ext uri="{63B3BB69-23CF-44E3-9099-C40C66FF867C}">
                    <a14:compatExt spid="_x0000_s243775"/>
                  </a:ext>
                  <a:ext uri="{FF2B5EF4-FFF2-40B4-BE49-F238E27FC236}">
                    <a16:creationId xmlns:a16="http://schemas.microsoft.com/office/drawing/2014/main" id="{00000000-0008-0000-0F00-00003F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76" name="Option Button 64" hidden="1">
                <a:extLst>
                  <a:ext uri="{63B3BB69-23CF-44E3-9099-C40C66FF867C}">
                    <a14:compatExt spid="_x0000_s243776"/>
                  </a:ext>
                  <a:ext uri="{FF2B5EF4-FFF2-40B4-BE49-F238E27FC236}">
                    <a16:creationId xmlns:a16="http://schemas.microsoft.com/office/drawing/2014/main" id="{00000000-0008-0000-0F00-000040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77" name="Option Button 65" hidden="1">
                <a:extLst>
                  <a:ext uri="{63B3BB69-23CF-44E3-9099-C40C66FF867C}">
                    <a14:compatExt spid="_x0000_s243777"/>
                  </a:ext>
                  <a:ext uri="{FF2B5EF4-FFF2-40B4-BE49-F238E27FC236}">
                    <a16:creationId xmlns:a16="http://schemas.microsoft.com/office/drawing/2014/main" id="{00000000-0008-0000-0F00-000041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78" name="Option Button 66" hidden="1">
                <a:extLst>
                  <a:ext uri="{63B3BB69-23CF-44E3-9099-C40C66FF867C}">
                    <a14:compatExt spid="_x0000_s243778"/>
                  </a:ext>
                  <a:ext uri="{FF2B5EF4-FFF2-40B4-BE49-F238E27FC236}">
                    <a16:creationId xmlns:a16="http://schemas.microsoft.com/office/drawing/2014/main" id="{00000000-0008-0000-0F00-000042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79" name="Group Box 67" hidden="1">
                <a:extLst>
                  <a:ext uri="{63B3BB69-23CF-44E3-9099-C40C66FF867C}">
                    <a14:compatExt spid="_x0000_s243779"/>
                  </a:ext>
                  <a:ext uri="{FF2B5EF4-FFF2-40B4-BE49-F238E27FC236}">
                    <a16:creationId xmlns:a16="http://schemas.microsoft.com/office/drawing/2014/main" id="{00000000-0008-0000-0F00-000043B80300}"/>
                  </a:ext>
                </a:extLst>
              </xdr:cNvPr>
              <xdr:cNvSpPr/>
            </xdr:nvSpPr>
            <xdr:spPr bwMode="auto">
              <a:xfrm>
                <a:off x="2994693" y="2201917"/>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0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000-00001E000000}"/>
                </a:ext>
              </a:extLst>
            </xdr:cNvPr>
            <xdr:cNvGrpSpPr/>
          </xdr:nvGrpSpPr>
          <xdr:grpSpPr>
            <a:xfrm>
              <a:off x="3706091" y="28251727"/>
              <a:ext cx="1962727" cy="1653055"/>
              <a:chOff x="2994697" y="2201916"/>
              <a:chExt cx="1960969" cy="1646922"/>
            </a:xfrm>
          </xdr:grpSpPr>
          <xdr:sp macro="" textlink="">
            <xdr:nvSpPr>
              <xdr:cNvPr id="243780" name="Option Button 68" descr="Case d'option 47" hidden="1">
                <a:extLst>
                  <a:ext uri="{63B3BB69-23CF-44E3-9099-C40C66FF867C}">
                    <a14:compatExt spid="_x0000_s243780"/>
                  </a:ext>
                  <a:ext uri="{FF2B5EF4-FFF2-40B4-BE49-F238E27FC236}">
                    <a16:creationId xmlns:a16="http://schemas.microsoft.com/office/drawing/2014/main" id="{00000000-0008-0000-0F00-000044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81" name="Option Button 69" hidden="1">
                <a:extLst>
                  <a:ext uri="{63B3BB69-23CF-44E3-9099-C40C66FF867C}">
                    <a14:compatExt spid="_x0000_s243781"/>
                  </a:ext>
                  <a:ext uri="{FF2B5EF4-FFF2-40B4-BE49-F238E27FC236}">
                    <a16:creationId xmlns:a16="http://schemas.microsoft.com/office/drawing/2014/main" id="{00000000-0008-0000-0F00-000045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82" name="Option Button 70" hidden="1">
                <a:extLst>
                  <a:ext uri="{63B3BB69-23CF-44E3-9099-C40C66FF867C}">
                    <a14:compatExt spid="_x0000_s243782"/>
                  </a:ext>
                  <a:ext uri="{FF2B5EF4-FFF2-40B4-BE49-F238E27FC236}">
                    <a16:creationId xmlns:a16="http://schemas.microsoft.com/office/drawing/2014/main" id="{00000000-0008-0000-0F00-000046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83" name="Option Button 71" hidden="1">
                <a:extLst>
                  <a:ext uri="{63B3BB69-23CF-44E3-9099-C40C66FF867C}">
                    <a14:compatExt spid="_x0000_s243783"/>
                  </a:ext>
                  <a:ext uri="{FF2B5EF4-FFF2-40B4-BE49-F238E27FC236}">
                    <a16:creationId xmlns:a16="http://schemas.microsoft.com/office/drawing/2014/main" id="{00000000-0008-0000-0F00-000047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84" name="Group Box 72" hidden="1">
                <a:extLst>
                  <a:ext uri="{63B3BB69-23CF-44E3-9099-C40C66FF867C}">
                    <a14:compatExt spid="_x0000_s243784"/>
                  </a:ext>
                  <a:ext uri="{FF2B5EF4-FFF2-40B4-BE49-F238E27FC236}">
                    <a16:creationId xmlns:a16="http://schemas.microsoft.com/office/drawing/2014/main" id="{00000000-0008-0000-0F00-000048B80300}"/>
                  </a:ext>
                </a:extLst>
              </xdr:cNvPr>
              <xdr:cNvSpPr/>
            </xdr:nvSpPr>
            <xdr:spPr bwMode="auto">
              <a:xfrm>
                <a:off x="2994697" y="2201916"/>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0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000-000021000000}"/>
                </a:ext>
              </a:extLst>
            </xdr:cNvPr>
            <xdr:cNvGrpSpPr/>
          </xdr:nvGrpSpPr>
          <xdr:grpSpPr>
            <a:xfrm>
              <a:off x="3706091" y="29902727"/>
              <a:ext cx="1962727" cy="1905000"/>
              <a:chOff x="2995447" y="3846789"/>
              <a:chExt cx="1960181" cy="1644869"/>
            </a:xfrm>
          </xdr:grpSpPr>
          <xdr:sp macro="" textlink="">
            <xdr:nvSpPr>
              <xdr:cNvPr id="243785" name="Option Button 73" hidden="1">
                <a:extLst>
                  <a:ext uri="{63B3BB69-23CF-44E3-9099-C40C66FF867C}">
                    <a14:compatExt spid="_x0000_s243785"/>
                  </a:ext>
                  <a:ext uri="{FF2B5EF4-FFF2-40B4-BE49-F238E27FC236}">
                    <a16:creationId xmlns:a16="http://schemas.microsoft.com/office/drawing/2014/main" id="{00000000-0008-0000-0F00-000049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86" name="Option Button 74" hidden="1">
                <a:extLst>
                  <a:ext uri="{63B3BB69-23CF-44E3-9099-C40C66FF867C}">
                    <a14:compatExt spid="_x0000_s243786"/>
                  </a:ext>
                  <a:ext uri="{FF2B5EF4-FFF2-40B4-BE49-F238E27FC236}">
                    <a16:creationId xmlns:a16="http://schemas.microsoft.com/office/drawing/2014/main" id="{00000000-0008-0000-0F00-00004A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87" name="Option Button 75" hidden="1">
                <a:extLst>
                  <a:ext uri="{63B3BB69-23CF-44E3-9099-C40C66FF867C}">
                    <a14:compatExt spid="_x0000_s243787"/>
                  </a:ext>
                  <a:ext uri="{FF2B5EF4-FFF2-40B4-BE49-F238E27FC236}">
                    <a16:creationId xmlns:a16="http://schemas.microsoft.com/office/drawing/2014/main" id="{00000000-0008-0000-0F00-00004B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88" name="Option Button 76" hidden="1">
                <a:extLst>
                  <a:ext uri="{63B3BB69-23CF-44E3-9099-C40C66FF867C}">
                    <a14:compatExt spid="_x0000_s243788"/>
                  </a:ext>
                  <a:ext uri="{FF2B5EF4-FFF2-40B4-BE49-F238E27FC236}">
                    <a16:creationId xmlns:a16="http://schemas.microsoft.com/office/drawing/2014/main" id="{00000000-0008-0000-0F00-00004C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89" name="Group Box 77" hidden="1">
                <a:extLst>
                  <a:ext uri="{63B3BB69-23CF-44E3-9099-C40C66FF867C}">
                    <a14:compatExt spid="_x0000_s243789"/>
                  </a:ext>
                  <a:ext uri="{FF2B5EF4-FFF2-40B4-BE49-F238E27FC236}">
                    <a16:creationId xmlns:a16="http://schemas.microsoft.com/office/drawing/2014/main" id="{00000000-0008-0000-0F00-00004DB80300}"/>
                  </a:ext>
                </a:extLst>
              </xdr:cNvPr>
              <xdr:cNvSpPr/>
            </xdr:nvSpPr>
            <xdr:spPr bwMode="auto">
              <a:xfrm>
                <a:off x="2995447" y="3846789"/>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0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0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1000-000024000000}"/>
                </a:ext>
              </a:extLst>
            </xdr:cNvPr>
            <xdr:cNvGrpSpPr/>
          </xdr:nvGrpSpPr>
          <xdr:grpSpPr>
            <a:xfrm>
              <a:off x="3706328" y="33458727"/>
              <a:ext cx="1962490" cy="1522150"/>
              <a:chOff x="2994692" y="2201918"/>
              <a:chExt cx="1960968" cy="1646925"/>
            </a:xfrm>
          </xdr:grpSpPr>
          <xdr:sp macro="" textlink="">
            <xdr:nvSpPr>
              <xdr:cNvPr id="243790" name="Option Button 78" descr="Case d'option 47" hidden="1">
                <a:extLst>
                  <a:ext uri="{63B3BB69-23CF-44E3-9099-C40C66FF867C}">
                    <a14:compatExt spid="_x0000_s243790"/>
                  </a:ext>
                  <a:ext uri="{FF2B5EF4-FFF2-40B4-BE49-F238E27FC236}">
                    <a16:creationId xmlns:a16="http://schemas.microsoft.com/office/drawing/2014/main" id="{00000000-0008-0000-0F00-00004E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91" name="Option Button 79" hidden="1">
                <a:extLst>
                  <a:ext uri="{63B3BB69-23CF-44E3-9099-C40C66FF867C}">
                    <a14:compatExt spid="_x0000_s243791"/>
                  </a:ext>
                  <a:ext uri="{FF2B5EF4-FFF2-40B4-BE49-F238E27FC236}">
                    <a16:creationId xmlns:a16="http://schemas.microsoft.com/office/drawing/2014/main" id="{00000000-0008-0000-0F00-00004F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92" name="Option Button 80" hidden="1">
                <a:extLst>
                  <a:ext uri="{63B3BB69-23CF-44E3-9099-C40C66FF867C}">
                    <a14:compatExt spid="_x0000_s243792"/>
                  </a:ext>
                  <a:ext uri="{FF2B5EF4-FFF2-40B4-BE49-F238E27FC236}">
                    <a16:creationId xmlns:a16="http://schemas.microsoft.com/office/drawing/2014/main" id="{00000000-0008-0000-0F00-000050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93" name="Option Button 81" hidden="1">
                <a:extLst>
                  <a:ext uri="{63B3BB69-23CF-44E3-9099-C40C66FF867C}">
                    <a14:compatExt spid="_x0000_s243793"/>
                  </a:ext>
                  <a:ext uri="{FF2B5EF4-FFF2-40B4-BE49-F238E27FC236}">
                    <a16:creationId xmlns:a16="http://schemas.microsoft.com/office/drawing/2014/main" id="{00000000-0008-0000-0F00-000051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94" name="Group Box 82" hidden="1">
                <a:extLst>
                  <a:ext uri="{63B3BB69-23CF-44E3-9099-C40C66FF867C}">
                    <a14:compatExt spid="_x0000_s243794"/>
                  </a:ext>
                  <a:ext uri="{FF2B5EF4-FFF2-40B4-BE49-F238E27FC236}">
                    <a16:creationId xmlns:a16="http://schemas.microsoft.com/office/drawing/2014/main" id="{00000000-0008-0000-0F00-000052B80300}"/>
                  </a:ext>
                </a:extLst>
              </xdr:cNvPr>
              <xdr:cNvSpPr/>
            </xdr:nvSpPr>
            <xdr:spPr bwMode="auto">
              <a:xfrm>
                <a:off x="2994692"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000-000025000000}"/>
                </a:ext>
              </a:extLst>
            </xdr:cNvPr>
            <xdr:cNvGrpSpPr/>
          </xdr:nvGrpSpPr>
          <xdr:grpSpPr>
            <a:xfrm>
              <a:off x="3706091" y="31807727"/>
              <a:ext cx="1962727" cy="1651000"/>
              <a:chOff x="2994693" y="2201872"/>
              <a:chExt cx="1960969" cy="1646922"/>
            </a:xfrm>
          </xdr:grpSpPr>
          <xdr:sp macro="" textlink="">
            <xdr:nvSpPr>
              <xdr:cNvPr id="243795" name="Option Button 83" descr="Case d'option 47" hidden="1">
                <a:extLst>
                  <a:ext uri="{63B3BB69-23CF-44E3-9099-C40C66FF867C}">
                    <a14:compatExt spid="_x0000_s243795"/>
                  </a:ext>
                  <a:ext uri="{FF2B5EF4-FFF2-40B4-BE49-F238E27FC236}">
                    <a16:creationId xmlns:a16="http://schemas.microsoft.com/office/drawing/2014/main" id="{00000000-0008-0000-0F00-000053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796" name="Option Button 84" hidden="1">
                <a:extLst>
                  <a:ext uri="{63B3BB69-23CF-44E3-9099-C40C66FF867C}">
                    <a14:compatExt spid="_x0000_s243796"/>
                  </a:ext>
                  <a:ext uri="{FF2B5EF4-FFF2-40B4-BE49-F238E27FC236}">
                    <a16:creationId xmlns:a16="http://schemas.microsoft.com/office/drawing/2014/main" id="{00000000-0008-0000-0F00-000054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97" name="Option Button 85" hidden="1">
                <a:extLst>
                  <a:ext uri="{63B3BB69-23CF-44E3-9099-C40C66FF867C}">
                    <a14:compatExt spid="_x0000_s243797"/>
                  </a:ext>
                  <a:ext uri="{FF2B5EF4-FFF2-40B4-BE49-F238E27FC236}">
                    <a16:creationId xmlns:a16="http://schemas.microsoft.com/office/drawing/2014/main" id="{00000000-0008-0000-0F00-000055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798" name="Option Button 86" hidden="1">
                <a:extLst>
                  <a:ext uri="{63B3BB69-23CF-44E3-9099-C40C66FF867C}">
                    <a14:compatExt spid="_x0000_s243798"/>
                  </a:ext>
                  <a:ext uri="{FF2B5EF4-FFF2-40B4-BE49-F238E27FC236}">
                    <a16:creationId xmlns:a16="http://schemas.microsoft.com/office/drawing/2014/main" id="{00000000-0008-0000-0F00-000056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99" name="Group Box 87" hidden="1">
                <a:extLst>
                  <a:ext uri="{63B3BB69-23CF-44E3-9099-C40C66FF867C}">
                    <a14:compatExt spid="_x0000_s243799"/>
                  </a:ext>
                  <a:ext uri="{FF2B5EF4-FFF2-40B4-BE49-F238E27FC236}">
                    <a16:creationId xmlns:a16="http://schemas.microsoft.com/office/drawing/2014/main" id="{00000000-0008-0000-0F00-000057B80300}"/>
                  </a:ext>
                </a:extLst>
              </xdr:cNvPr>
              <xdr:cNvSpPr/>
            </xdr:nvSpPr>
            <xdr:spPr bwMode="auto">
              <a:xfrm>
                <a:off x="2994693" y="2201872"/>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0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000-000028000000}"/>
                </a:ext>
              </a:extLst>
            </xdr:cNvPr>
            <xdr:cNvGrpSpPr/>
          </xdr:nvGrpSpPr>
          <xdr:grpSpPr>
            <a:xfrm>
              <a:off x="3706091" y="40455273"/>
              <a:ext cx="1962727" cy="1651000"/>
              <a:chOff x="2995447" y="3846793"/>
              <a:chExt cx="1960181" cy="1644869"/>
            </a:xfrm>
          </xdr:grpSpPr>
          <xdr:sp macro="" textlink="">
            <xdr:nvSpPr>
              <xdr:cNvPr id="243800" name="Option Button 88" hidden="1">
                <a:extLst>
                  <a:ext uri="{63B3BB69-23CF-44E3-9099-C40C66FF867C}">
                    <a14:compatExt spid="_x0000_s243800"/>
                  </a:ext>
                  <a:ext uri="{FF2B5EF4-FFF2-40B4-BE49-F238E27FC236}">
                    <a16:creationId xmlns:a16="http://schemas.microsoft.com/office/drawing/2014/main" id="{00000000-0008-0000-0F00-000058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01" name="Option Button 89" hidden="1">
                <a:extLst>
                  <a:ext uri="{63B3BB69-23CF-44E3-9099-C40C66FF867C}">
                    <a14:compatExt spid="_x0000_s243801"/>
                  </a:ext>
                  <a:ext uri="{FF2B5EF4-FFF2-40B4-BE49-F238E27FC236}">
                    <a16:creationId xmlns:a16="http://schemas.microsoft.com/office/drawing/2014/main" id="{00000000-0008-0000-0F00-000059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02" name="Option Button 90" hidden="1">
                <a:extLst>
                  <a:ext uri="{63B3BB69-23CF-44E3-9099-C40C66FF867C}">
                    <a14:compatExt spid="_x0000_s243802"/>
                  </a:ext>
                  <a:ext uri="{FF2B5EF4-FFF2-40B4-BE49-F238E27FC236}">
                    <a16:creationId xmlns:a16="http://schemas.microsoft.com/office/drawing/2014/main" id="{00000000-0008-0000-0F00-00005A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03" name="Option Button 91" hidden="1">
                <a:extLst>
                  <a:ext uri="{63B3BB69-23CF-44E3-9099-C40C66FF867C}">
                    <a14:compatExt spid="_x0000_s243803"/>
                  </a:ext>
                  <a:ext uri="{FF2B5EF4-FFF2-40B4-BE49-F238E27FC236}">
                    <a16:creationId xmlns:a16="http://schemas.microsoft.com/office/drawing/2014/main" id="{00000000-0008-0000-0F00-00005B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04" name="Group Box 92" hidden="1">
                <a:extLst>
                  <a:ext uri="{63B3BB69-23CF-44E3-9099-C40C66FF867C}">
                    <a14:compatExt spid="_x0000_s243804"/>
                  </a:ext>
                  <a:ext uri="{FF2B5EF4-FFF2-40B4-BE49-F238E27FC236}">
                    <a16:creationId xmlns:a16="http://schemas.microsoft.com/office/drawing/2014/main" id="{00000000-0008-0000-0F00-00005CB80300}"/>
                  </a:ext>
                </a:extLst>
              </xdr:cNvPr>
              <xdr:cNvSpPr/>
            </xdr:nvSpPr>
            <xdr:spPr bwMode="auto">
              <a:xfrm>
                <a:off x="2995447" y="384679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000-000029000000}"/>
                </a:ext>
              </a:extLst>
            </xdr:cNvPr>
            <xdr:cNvGrpSpPr/>
          </xdr:nvGrpSpPr>
          <xdr:grpSpPr>
            <a:xfrm>
              <a:off x="3706091" y="38804273"/>
              <a:ext cx="1962727" cy="1653055"/>
              <a:chOff x="2994697" y="2201912"/>
              <a:chExt cx="1960969" cy="1646922"/>
            </a:xfrm>
          </xdr:grpSpPr>
          <xdr:sp macro="" textlink="">
            <xdr:nvSpPr>
              <xdr:cNvPr id="243805" name="Option Button 93" descr="Case d'option 47" hidden="1">
                <a:extLst>
                  <a:ext uri="{63B3BB69-23CF-44E3-9099-C40C66FF867C}">
                    <a14:compatExt spid="_x0000_s243805"/>
                  </a:ext>
                  <a:ext uri="{FF2B5EF4-FFF2-40B4-BE49-F238E27FC236}">
                    <a16:creationId xmlns:a16="http://schemas.microsoft.com/office/drawing/2014/main" id="{00000000-0008-0000-0F00-00005D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06" name="Option Button 94" hidden="1">
                <a:extLst>
                  <a:ext uri="{63B3BB69-23CF-44E3-9099-C40C66FF867C}">
                    <a14:compatExt spid="_x0000_s243806"/>
                  </a:ext>
                  <a:ext uri="{FF2B5EF4-FFF2-40B4-BE49-F238E27FC236}">
                    <a16:creationId xmlns:a16="http://schemas.microsoft.com/office/drawing/2014/main" id="{00000000-0008-0000-0F00-00005E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07" name="Option Button 95" hidden="1">
                <a:extLst>
                  <a:ext uri="{63B3BB69-23CF-44E3-9099-C40C66FF867C}">
                    <a14:compatExt spid="_x0000_s243807"/>
                  </a:ext>
                  <a:ext uri="{FF2B5EF4-FFF2-40B4-BE49-F238E27FC236}">
                    <a16:creationId xmlns:a16="http://schemas.microsoft.com/office/drawing/2014/main" id="{00000000-0008-0000-0F00-00005F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08" name="Option Button 96" hidden="1">
                <a:extLst>
                  <a:ext uri="{63B3BB69-23CF-44E3-9099-C40C66FF867C}">
                    <a14:compatExt spid="_x0000_s243808"/>
                  </a:ext>
                  <a:ext uri="{FF2B5EF4-FFF2-40B4-BE49-F238E27FC236}">
                    <a16:creationId xmlns:a16="http://schemas.microsoft.com/office/drawing/2014/main" id="{00000000-0008-0000-0F00-000060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09" name="Group Box 97" hidden="1">
                <a:extLst>
                  <a:ext uri="{63B3BB69-23CF-44E3-9099-C40C66FF867C}">
                    <a14:compatExt spid="_x0000_s243809"/>
                  </a:ext>
                  <a:ext uri="{FF2B5EF4-FFF2-40B4-BE49-F238E27FC236}">
                    <a16:creationId xmlns:a16="http://schemas.microsoft.com/office/drawing/2014/main" id="{00000000-0008-0000-0F00-000061B80300}"/>
                  </a:ext>
                </a:extLst>
              </xdr:cNvPr>
              <xdr:cNvSpPr/>
            </xdr:nvSpPr>
            <xdr:spPr bwMode="auto">
              <a:xfrm>
                <a:off x="2994697" y="2201912"/>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0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0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0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0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1000-00002E000000}"/>
                </a:ext>
              </a:extLst>
            </xdr:cNvPr>
            <xdr:cNvGrpSpPr/>
          </xdr:nvGrpSpPr>
          <xdr:grpSpPr>
            <a:xfrm>
              <a:off x="3706091" y="45408276"/>
              <a:ext cx="1962727" cy="1650997"/>
              <a:chOff x="2995447" y="3846782"/>
              <a:chExt cx="1960181" cy="1644866"/>
            </a:xfrm>
          </xdr:grpSpPr>
          <xdr:sp macro="" textlink="">
            <xdr:nvSpPr>
              <xdr:cNvPr id="243811" name="Option Button 99" hidden="1">
                <a:extLst>
                  <a:ext uri="{63B3BB69-23CF-44E3-9099-C40C66FF867C}">
                    <a14:compatExt spid="_x0000_s243811"/>
                  </a:ext>
                  <a:ext uri="{FF2B5EF4-FFF2-40B4-BE49-F238E27FC236}">
                    <a16:creationId xmlns:a16="http://schemas.microsoft.com/office/drawing/2014/main" id="{00000000-0008-0000-0F00-000063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12" name="Option Button 100" hidden="1">
                <a:extLst>
                  <a:ext uri="{63B3BB69-23CF-44E3-9099-C40C66FF867C}">
                    <a14:compatExt spid="_x0000_s243812"/>
                  </a:ext>
                  <a:ext uri="{FF2B5EF4-FFF2-40B4-BE49-F238E27FC236}">
                    <a16:creationId xmlns:a16="http://schemas.microsoft.com/office/drawing/2014/main" id="{00000000-0008-0000-0F00-000064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13" name="Option Button 101" hidden="1">
                <a:extLst>
                  <a:ext uri="{63B3BB69-23CF-44E3-9099-C40C66FF867C}">
                    <a14:compatExt spid="_x0000_s243813"/>
                  </a:ext>
                  <a:ext uri="{FF2B5EF4-FFF2-40B4-BE49-F238E27FC236}">
                    <a16:creationId xmlns:a16="http://schemas.microsoft.com/office/drawing/2014/main" id="{00000000-0008-0000-0F00-000065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14" name="Option Button 102" hidden="1">
                <a:extLst>
                  <a:ext uri="{63B3BB69-23CF-44E3-9099-C40C66FF867C}">
                    <a14:compatExt spid="_x0000_s243814"/>
                  </a:ext>
                  <a:ext uri="{FF2B5EF4-FFF2-40B4-BE49-F238E27FC236}">
                    <a16:creationId xmlns:a16="http://schemas.microsoft.com/office/drawing/2014/main" id="{00000000-0008-0000-0F00-000066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15" name="Group Box 103" hidden="1">
                <a:extLst>
                  <a:ext uri="{63B3BB69-23CF-44E3-9099-C40C66FF867C}">
                    <a14:compatExt spid="_x0000_s243815"/>
                  </a:ext>
                  <a:ext uri="{FF2B5EF4-FFF2-40B4-BE49-F238E27FC236}">
                    <a16:creationId xmlns:a16="http://schemas.microsoft.com/office/drawing/2014/main" id="{00000000-0008-0000-0F00-000067B80300}"/>
                  </a:ext>
                </a:extLst>
              </xdr:cNvPr>
              <xdr:cNvSpPr/>
            </xdr:nvSpPr>
            <xdr:spPr bwMode="auto">
              <a:xfrm>
                <a:off x="2995447" y="3846782"/>
                <a:ext cx="1960181" cy="164486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000-00002F000000}"/>
                </a:ext>
              </a:extLst>
            </xdr:cNvPr>
            <xdr:cNvGrpSpPr/>
          </xdr:nvGrpSpPr>
          <xdr:grpSpPr>
            <a:xfrm>
              <a:off x="3709259" y="43757273"/>
              <a:ext cx="1959559" cy="1653058"/>
              <a:chOff x="2994673" y="2201911"/>
              <a:chExt cx="1960968" cy="1646925"/>
            </a:xfrm>
          </xdr:grpSpPr>
          <xdr:sp macro="" textlink="">
            <xdr:nvSpPr>
              <xdr:cNvPr id="243816" name="Option Button 104" descr="Case d'option 47" hidden="1">
                <a:extLst>
                  <a:ext uri="{63B3BB69-23CF-44E3-9099-C40C66FF867C}">
                    <a14:compatExt spid="_x0000_s243816"/>
                  </a:ext>
                  <a:ext uri="{FF2B5EF4-FFF2-40B4-BE49-F238E27FC236}">
                    <a16:creationId xmlns:a16="http://schemas.microsoft.com/office/drawing/2014/main" id="{00000000-0008-0000-0F00-000068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17" name="Option Button 105" hidden="1">
                <a:extLst>
                  <a:ext uri="{63B3BB69-23CF-44E3-9099-C40C66FF867C}">
                    <a14:compatExt spid="_x0000_s243817"/>
                  </a:ext>
                  <a:ext uri="{FF2B5EF4-FFF2-40B4-BE49-F238E27FC236}">
                    <a16:creationId xmlns:a16="http://schemas.microsoft.com/office/drawing/2014/main" id="{00000000-0008-0000-0F00-000069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18" name="Option Button 106" hidden="1">
                <a:extLst>
                  <a:ext uri="{63B3BB69-23CF-44E3-9099-C40C66FF867C}">
                    <a14:compatExt spid="_x0000_s243818"/>
                  </a:ext>
                  <a:ext uri="{FF2B5EF4-FFF2-40B4-BE49-F238E27FC236}">
                    <a16:creationId xmlns:a16="http://schemas.microsoft.com/office/drawing/2014/main" id="{00000000-0008-0000-0F00-00006A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19" name="Option Button 107" hidden="1">
                <a:extLst>
                  <a:ext uri="{63B3BB69-23CF-44E3-9099-C40C66FF867C}">
                    <a14:compatExt spid="_x0000_s243819"/>
                  </a:ext>
                  <a:ext uri="{FF2B5EF4-FFF2-40B4-BE49-F238E27FC236}">
                    <a16:creationId xmlns:a16="http://schemas.microsoft.com/office/drawing/2014/main" id="{00000000-0008-0000-0F00-00006B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20" name="Group Box 108" hidden="1">
                <a:extLst>
                  <a:ext uri="{63B3BB69-23CF-44E3-9099-C40C66FF867C}">
                    <a14:compatExt spid="_x0000_s243820"/>
                  </a:ext>
                  <a:ext uri="{FF2B5EF4-FFF2-40B4-BE49-F238E27FC236}">
                    <a16:creationId xmlns:a16="http://schemas.microsoft.com/office/drawing/2014/main" id="{00000000-0008-0000-0F00-00006CB80300}"/>
                  </a:ext>
                </a:extLst>
              </xdr:cNvPr>
              <xdr:cNvSpPr/>
            </xdr:nvSpPr>
            <xdr:spPr bwMode="auto">
              <a:xfrm>
                <a:off x="2994673" y="2201911"/>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000-000030000000}"/>
                </a:ext>
              </a:extLst>
            </xdr:cNvPr>
            <xdr:cNvGrpSpPr/>
          </xdr:nvGrpSpPr>
          <xdr:grpSpPr>
            <a:xfrm>
              <a:off x="3706091" y="42106273"/>
              <a:ext cx="1962727" cy="1651000"/>
              <a:chOff x="2994693" y="2201923"/>
              <a:chExt cx="1960969" cy="1646929"/>
            </a:xfrm>
          </xdr:grpSpPr>
          <xdr:sp macro="" textlink="">
            <xdr:nvSpPr>
              <xdr:cNvPr id="243821" name="Option Button 109" descr="Case d'option 47" hidden="1">
                <a:extLst>
                  <a:ext uri="{63B3BB69-23CF-44E3-9099-C40C66FF867C}">
                    <a14:compatExt spid="_x0000_s243821"/>
                  </a:ext>
                  <a:ext uri="{FF2B5EF4-FFF2-40B4-BE49-F238E27FC236}">
                    <a16:creationId xmlns:a16="http://schemas.microsoft.com/office/drawing/2014/main" id="{00000000-0008-0000-0F00-00006D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22" name="Option Button 110" hidden="1">
                <a:extLst>
                  <a:ext uri="{63B3BB69-23CF-44E3-9099-C40C66FF867C}">
                    <a14:compatExt spid="_x0000_s243822"/>
                  </a:ext>
                  <a:ext uri="{FF2B5EF4-FFF2-40B4-BE49-F238E27FC236}">
                    <a16:creationId xmlns:a16="http://schemas.microsoft.com/office/drawing/2014/main" id="{00000000-0008-0000-0F00-00006E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23" name="Option Button 111" hidden="1">
                <a:extLst>
                  <a:ext uri="{63B3BB69-23CF-44E3-9099-C40C66FF867C}">
                    <a14:compatExt spid="_x0000_s243823"/>
                  </a:ext>
                  <a:ext uri="{FF2B5EF4-FFF2-40B4-BE49-F238E27FC236}">
                    <a16:creationId xmlns:a16="http://schemas.microsoft.com/office/drawing/2014/main" id="{00000000-0008-0000-0F00-00006F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24" name="Option Button 112" hidden="1">
                <a:extLst>
                  <a:ext uri="{63B3BB69-23CF-44E3-9099-C40C66FF867C}">
                    <a14:compatExt spid="_x0000_s243824"/>
                  </a:ext>
                  <a:ext uri="{FF2B5EF4-FFF2-40B4-BE49-F238E27FC236}">
                    <a16:creationId xmlns:a16="http://schemas.microsoft.com/office/drawing/2014/main" id="{00000000-0008-0000-0F00-000070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25" name="Group Box 113" hidden="1">
                <a:extLst>
                  <a:ext uri="{63B3BB69-23CF-44E3-9099-C40C66FF867C}">
                    <a14:compatExt spid="_x0000_s243825"/>
                  </a:ext>
                  <a:ext uri="{FF2B5EF4-FFF2-40B4-BE49-F238E27FC236}">
                    <a16:creationId xmlns:a16="http://schemas.microsoft.com/office/drawing/2014/main" id="{00000000-0008-0000-0F00-000071B80300}"/>
                  </a:ext>
                </a:extLst>
              </xdr:cNvPr>
              <xdr:cNvSpPr/>
            </xdr:nvSpPr>
            <xdr:spPr bwMode="auto">
              <a:xfrm>
                <a:off x="2994693" y="2201923"/>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0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000-000034000000}"/>
                </a:ext>
              </a:extLst>
            </xdr:cNvPr>
            <xdr:cNvGrpSpPr/>
          </xdr:nvGrpSpPr>
          <xdr:grpSpPr>
            <a:xfrm>
              <a:off x="3706091" y="51204091"/>
              <a:ext cx="1962727" cy="1651000"/>
              <a:chOff x="2995447" y="3846788"/>
              <a:chExt cx="1960181" cy="1644869"/>
            </a:xfrm>
          </xdr:grpSpPr>
          <xdr:sp macro="" textlink="">
            <xdr:nvSpPr>
              <xdr:cNvPr id="243831" name="Option Button 119" hidden="1">
                <a:extLst>
                  <a:ext uri="{63B3BB69-23CF-44E3-9099-C40C66FF867C}">
                    <a14:compatExt spid="_x0000_s243831"/>
                  </a:ext>
                  <a:ext uri="{FF2B5EF4-FFF2-40B4-BE49-F238E27FC236}">
                    <a16:creationId xmlns:a16="http://schemas.microsoft.com/office/drawing/2014/main" id="{00000000-0008-0000-0F00-000077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32" name="Option Button 120" hidden="1">
                <a:extLst>
                  <a:ext uri="{63B3BB69-23CF-44E3-9099-C40C66FF867C}">
                    <a14:compatExt spid="_x0000_s243832"/>
                  </a:ext>
                  <a:ext uri="{FF2B5EF4-FFF2-40B4-BE49-F238E27FC236}">
                    <a16:creationId xmlns:a16="http://schemas.microsoft.com/office/drawing/2014/main" id="{00000000-0008-0000-0F00-000078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33" name="Option Button 121" hidden="1">
                <a:extLst>
                  <a:ext uri="{63B3BB69-23CF-44E3-9099-C40C66FF867C}">
                    <a14:compatExt spid="_x0000_s243833"/>
                  </a:ext>
                  <a:ext uri="{FF2B5EF4-FFF2-40B4-BE49-F238E27FC236}">
                    <a16:creationId xmlns:a16="http://schemas.microsoft.com/office/drawing/2014/main" id="{00000000-0008-0000-0F00-000079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34" name="Option Button 122" hidden="1">
                <a:extLst>
                  <a:ext uri="{63B3BB69-23CF-44E3-9099-C40C66FF867C}">
                    <a14:compatExt spid="_x0000_s243834"/>
                  </a:ext>
                  <a:ext uri="{FF2B5EF4-FFF2-40B4-BE49-F238E27FC236}">
                    <a16:creationId xmlns:a16="http://schemas.microsoft.com/office/drawing/2014/main" id="{00000000-0008-0000-0F00-00007A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35" name="Group Box 123" hidden="1">
                <a:extLst>
                  <a:ext uri="{63B3BB69-23CF-44E3-9099-C40C66FF867C}">
                    <a14:compatExt spid="_x0000_s243835"/>
                  </a:ext>
                  <a:ext uri="{FF2B5EF4-FFF2-40B4-BE49-F238E27FC236}">
                    <a16:creationId xmlns:a16="http://schemas.microsoft.com/office/drawing/2014/main" id="{00000000-0008-0000-0F00-00007BB80300}"/>
                  </a:ext>
                </a:extLst>
              </xdr:cNvPr>
              <xdr:cNvSpPr/>
            </xdr:nvSpPr>
            <xdr:spPr bwMode="auto">
              <a:xfrm>
                <a:off x="2995447" y="3846788"/>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000-000035000000}"/>
                </a:ext>
              </a:extLst>
            </xdr:cNvPr>
            <xdr:cNvGrpSpPr/>
          </xdr:nvGrpSpPr>
          <xdr:grpSpPr>
            <a:xfrm>
              <a:off x="3706091" y="49553091"/>
              <a:ext cx="1962727" cy="1653055"/>
              <a:chOff x="2994697" y="2201912"/>
              <a:chExt cx="1960969" cy="1646922"/>
            </a:xfrm>
          </xdr:grpSpPr>
          <xdr:sp macro="" textlink="">
            <xdr:nvSpPr>
              <xdr:cNvPr id="243836" name="Option Button 124" descr="Case d'option 47" hidden="1">
                <a:extLst>
                  <a:ext uri="{63B3BB69-23CF-44E3-9099-C40C66FF867C}">
                    <a14:compatExt spid="_x0000_s243836"/>
                  </a:ext>
                  <a:ext uri="{FF2B5EF4-FFF2-40B4-BE49-F238E27FC236}">
                    <a16:creationId xmlns:a16="http://schemas.microsoft.com/office/drawing/2014/main" id="{00000000-0008-0000-0F00-00007C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37" name="Option Button 125" hidden="1">
                <a:extLst>
                  <a:ext uri="{63B3BB69-23CF-44E3-9099-C40C66FF867C}">
                    <a14:compatExt spid="_x0000_s243837"/>
                  </a:ext>
                  <a:ext uri="{FF2B5EF4-FFF2-40B4-BE49-F238E27FC236}">
                    <a16:creationId xmlns:a16="http://schemas.microsoft.com/office/drawing/2014/main" id="{00000000-0008-0000-0F00-00007D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38" name="Option Button 126" hidden="1">
                <a:extLst>
                  <a:ext uri="{63B3BB69-23CF-44E3-9099-C40C66FF867C}">
                    <a14:compatExt spid="_x0000_s243838"/>
                  </a:ext>
                  <a:ext uri="{FF2B5EF4-FFF2-40B4-BE49-F238E27FC236}">
                    <a16:creationId xmlns:a16="http://schemas.microsoft.com/office/drawing/2014/main" id="{00000000-0008-0000-0F00-00007E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39" name="Option Button 127" hidden="1">
                <a:extLst>
                  <a:ext uri="{63B3BB69-23CF-44E3-9099-C40C66FF867C}">
                    <a14:compatExt spid="_x0000_s243839"/>
                  </a:ext>
                  <a:ext uri="{FF2B5EF4-FFF2-40B4-BE49-F238E27FC236}">
                    <a16:creationId xmlns:a16="http://schemas.microsoft.com/office/drawing/2014/main" id="{00000000-0008-0000-0F00-00007F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40" name="Group Box 128" hidden="1">
                <a:extLst>
                  <a:ext uri="{63B3BB69-23CF-44E3-9099-C40C66FF867C}">
                    <a14:compatExt spid="_x0000_s243840"/>
                  </a:ext>
                  <a:ext uri="{FF2B5EF4-FFF2-40B4-BE49-F238E27FC236}">
                    <a16:creationId xmlns:a16="http://schemas.microsoft.com/office/drawing/2014/main" id="{00000000-0008-0000-0F00-000080B80300}"/>
                  </a:ext>
                </a:extLst>
              </xdr:cNvPr>
              <xdr:cNvSpPr/>
            </xdr:nvSpPr>
            <xdr:spPr bwMode="auto">
              <a:xfrm>
                <a:off x="2994697" y="2201912"/>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0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0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0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1000-000039000000}"/>
                </a:ext>
              </a:extLst>
            </xdr:cNvPr>
            <xdr:cNvGrpSpPr/>
          </xdr:nvGrpSpPr>
          <xdr:grpSpPr>
            <a:xfrm>
              <a:off x="3706091" y="56157094"/>
              <a:ext cx="1962727" cy="1651000"/>
              <a:chOff x="2995447" y="3846796"/>
              <a:chExt cx="1960181" cy="1644869"/>
            </a:xfrm>
          </xdr:grpSpPr>
          <xdr:sp macro="" textlink="">
            <xdr:nvSpPr>
              <xdr:cNvPr id="243841" name="Option Button 129" hidden="1">
                <a:extLst>
                  <a:ext uri="{63B3BB69-23CF-44E3-9099-C40C66FF867C}">
                    <a14:compatExt spid="_x0000_s243841"/>
                  </a:ext>
                  <a:ext uri="{FF2B5EF4-FFF2-40B4-BE49-F238E27FC236}">
                    <a16:creationId xmlns:a16="http://schemas.microsoft.com/office/drawing/2014/main" id="{00000000-0008-0000-0F00-000081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42" name="Option Button 130" hidden="1">
                <a:extLst>
                  <a:ext uri="{63B3BB69-23CF-44E3-9099-C40C66FF867C}">
                    <a14:compatExt spid="_x0000_s243842"/>
                  </a:ext>
                  <a:ext uri="{FF2B5EF4-FFF2-40B4-BE49-F238E27FC236}">
                    <a16:creationId xmlns:a16="http://schemas.microsoft.com/office/drawing/2014/main" id="{00000000-0008-0000-0F00-000082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43" name="Option Button 131" hidden="1">
                <a:extLst>
                  <a:ext uri="{63B3BB69-23CF-44E3-9099-C40C66FF867C}">
                    <a14:compatExt spid="_x0000_s243843"/>
                  </a:ext>
                  <a:ext uri="{FF2B5EF4-FFF2-40B4-BE49-F238E27FC236}">
                    <a16:creationId xmlns:a16="http://schemas.microsoft.com/office/drawing/2014/main" id="{00000000-0008-0000-0F00-000083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44" name="Option Button 132" hidden="1">
                <a:extLst>
                  <a:ext uri="{63B3BB69-23CF-44E3-9099-C40C66FF867C}">
                    <a14:compatExt spid="_x0000_s243844"/>
                  </a:ext>
                  <a:ext uri="{FF2B5EF4-FFF2-40B4-BE49-F238E27FC236}">
                    <a16:creationId xmlns:a16="http://schemas.microsoft.com/office/drawing/2014/main" id="{00000000-0008-0000-0F00-000084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45" name="Group Box 133" hidden="1">
                <a:extLst>
                  <a:ext uri="{63B3BB69-23CF-44E3-9099-C40C66FF867C}">
                    <a14:compatExt spid="_x0000_s243845"/>
                  </a:ext>
                  <a:ext uri="{FF2B5EF4-FFF2-40B4-BE49-F238E27FC236}">
                    <a16:creationId xmlns:a16="http://schemas.microsoft.com/office/drawing/2014/main" id="{00000000-0008-0000-0F00-000085B80300}"/>
                  </a:ext>
                </a:extLst>
              </xdr:cNvPr>
              <xdr:cNvSpPr/>
            </xdr:nvSpPr>
            <xdr:spPr bwMode="auto">
              <a:xfrm>
                <a:off x="2995447" y="384679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000-00003A000000}"/>
                </a:ext>
              </a:extLst>
            </xdr:cNvPr>
            <xdr:cNvGrpSpPr/>
          </xdr:nvGrpSpPr>
          <xdr:grpSpPr>
            <a:xfrm>
              <a:off x="3709259" y="54506091"/>
              <a:ext cx="1959559" cy="1653058"/>
              <a:chOff x="2994673" y="2201913"/>
              <a:chExt cx="1960968" cy="1646925"/>
            </a:xfrm>
          </xdr:grpSpPr>
          <xdr:sp macro="" textlink="">
            <xdr:nvSpPr>
              <xdr:cNvPr id="243846" name="Option Button 134" descr="Case d'option 47" hidden="1">
                <a:extLst>
                  <a:ext uri="{63B3BB69-23CF-44E3-9099-C40C66FF867C}">
                    <a14:compatExt spid="_x0000_s243846"/>
                  </a:ext>
                  <a:ext uri="{FF2B5EF4-FFF2-40B4-BE49-F238E27FC236}">
                    <a16:creationId xmlns:a16="http://schemas.microsoft.com/office/drawing/2014/main" id="{00000000-0008-0000-0F00-000086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47" name="Option Button 135" hidden="1">
                <a:extLst>
                  <a:ext uri="{63B3BB69-23CF-44E3-9099-C40C66FF867C}">
                    <a14:compatExt spid="_x0000_s243847"/>
                  </a:ext>
                  <a:ext uri="{FF2B5EF4-FFF2-40B4-BE49-F238E27FC236}">
                    <a16:creationId xmlns:a16="http://schemas.microsoft.com/office/drawing/2014/main" id="{00000000-0008-0000-0F00-000087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48" name="Option Button 136" hidden="1">
                <a:extLst>
                  <a:ext uri="{63B3BB69-23CF-44E3-9099-C40C66FF867C}">
                    <a14:compatExt spid="_x0000_s243848"/>
                  </a:ext>
                  <a:ext uri="{FF2B5EF4-FFF2-40B4-BE49-F238E27FC236}">
                    <a16:creationId xmlns:a16="http://schemas.microsoft.com/office/drawing/2014/main" id="{00000000-0008-0000-0F00-000088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49" name="Option Button 137" hidden="1">
                <a:extLst>
                  <a:ext uri="{63B3BB69-23CF-44E3-9099-C40C66FF867C}">
                    <a14:compatExt spid="_x0000_s243849"/>
                  </a:ext>
                  <a:ext uri="{FF2B5EF4-FFF2-40B4-BE49-F238E27FC236}">
                    <a16:creationId xmlns:a16="http://schemas.microsoft.com/office/drawing/2014/main" id="{00000000-0008-0000-0F00-000089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50" name="Group Box 138" hidden="1">
                <a:extLst>
                  <a:ext uri="{63B3BB69-23CF-44E3-9099-C40C66FF867C}">
                    <a14:compatExt spid="_x0000_s243850"/>
                  </a:ext>
                  <a:ext uri="{FF2B5EF4-FFF2-40B4-BE49-F238E27FC236}">
                    <a16:creationId xmlns:a16="http://schemas.microsoft.com/office/drawing/2014/main" id="{00000000-0008-0000-0F00-00008AB80300}"/>
                  </a:ext>
                </a:extLst>
              </xdr:cNvPr>
              <xdr:cNvSpPr/>
            </xdr:nvSpPr>
            <xdr:spPr bwMode="auto">
              <a:xfrm>
                <a:off x="2994673" y="2201913"/>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000-00003B000000}"/>
                </a:ext>
              </a:extLst>
            </xdr:cNvPr>
            <xdr:cNvGrpSpPr/>
          </xdr:nvGrpSpPr>
          <xdr:grpSpPr>
            <a:xfrm>
              <a:off x="3706091" y="52855091"/>
              <a:ext cx="1962727" cy="1651000"/>
              <a:chOff x="2994693" y="2201920"/>
              <a:chExt cx="1960969" cy="1646929"/>
            </a:xfrm>
          </xdr:grpSpPr>
          <xdr:sp macro="" textlink="">
            <xdr:nvSpPr>
              <xdr:cNvPr id="243851" name="Option Button 139" descr="Case d'option 47" hidden="1">
                <a:extLst>
                  <a:ext uri="{63B3BB69-23CF-44E3-9099-C40C66FF867C}">
                    <a14:compatExt spid="_x0000_s243851"/>
                  </a:ext>
                  <a:ext uri="{FF2B5EF4-FFF2-40B4-BE49-F238E27FC236}">
                    <a16:creationId xmlns:a16="http://schemas.microsoft.com/office/drawing/2014/main" id="{00000000-0008-0000-0F00-00008B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52" name="Option Button 140" hidden="1">
                <a:extLst>
                  <a:ext uri="{63B3BB69-23CF-44E3-9099-C40C66FF867C}">
                    <a14:compatExt spid="_x0000_s243852"/>
                  </a:ext>
                  <a:ext uri="{FF2B5EF4-FFF2-40B4-BE49-F238E27FC236}">
                    <a16:creationId xmlns:a16="http://schemas.microsoft.com/office/drawing/2014/main" id="{00000000-0008-0000-0F00-00008C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53" name="Option Button 141" hidden="1">
                <a:extLst>
                  <a:ext uri="{63B3BB69-23CF-44E3-9099-C40C66FF867C}">
                    <a14:compatExt spid="_x0000_s243853"/>
                  </a:ext>
                  <a:ext uri="{FF2B5EF4-FFF2-40B4-BE49-F238E27FC236}">
                    <a16:creationId xmlns:a16="http://schemas.microsoft.com/office/drawing/2014/main" id="{00000000-0008-0000-0F00-00008D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54" name="Option Button 142" hidden="1">
                <a:extLst>
                  <a:ext uri="{63B3BB69-23CF-44E3-9099-C40C66FF867C}">
                    <a14:compatExt spid="_x0000_s243854"/>
                  </a:ext>
                  <a:ext uri="{FF2B5EF4-FFF2-40B4-BE49-F238E27FC236}">
                    <a16:creationId xmlns:a16="http://schemas.microsoft.com/office/drawing/2014/main" id="{00000000-0008-0000-0F00-00008E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55" name="Group Box 143" hidden="1">
                <a:extLst>
                  <a:ext uri="{63B3BB69-23CF-44E3-9099-C40C66FF867C}">
                    <a14:compatExt spid="_x0000_s243855"/>
                  </a:ext>
                  <a:ext uri="{FF2B5EF4-FFF2-40B4-BE49-F238E27FC236}">
                    <a16:creationId xmlns:a16="http://schemas.microsoft.com/office/drawing/2014/main" id="{00000000-0008-0000-0F00-00008FB80300}"/>
                  </a:ext>
                </a:extLst>
              </xdr:cNvPr>
              <xdr:cNvSpPr/>
            </xdr:nvSpPr>
            <xdr:spPr bwMode="auto">
              <a:xfrm>
                <a:off x="2994693" y="2201920"/>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243856" name="Group Box 144" hidden="1">
              <a:extLst>
                <a:ext uri="{63B3BB69-23CF-44E3-9099-C40C66FF867C}">
                  <a14:compatExt spid="_x0000_s243856"/>
                </a:ext>
                <a:ext uri="{FF2B5EF4-FFF2-40B4-BE49-F238E27FC236}">
                  <a16:creationId xmlns:a16="http://schemas.microsoft.com/office/drawing/2014/main" id="{00000000-0008-0000-0F00-000090B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0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0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0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0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243712" name="Ellipse 243711">
          <a:extLst>
            <a:ext uri="{FF2B5EF4-FFF2-40B4-BE49-F238E27FC236}">
              <a16:creationId xmlns:a16="http://schemas.microsoft.com/office/drawing/2014/main" id="{00000000-0008-0000-1000-000000B803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243857" name="Groupe 243856">
              <a:extLst>
                <a:ext uri="{FF2B5EF4-FFF2-40B4-BE49-F238E27FC236}">
                  <a16:creationId xmlns:a16="http://schemas.microsoft.com/office/drawing/2014/main" id="{00000000-0008-0000-1000-000091B80300}"/>
                </a:ext>
              </a:extLst>
            </xdr:cNvPr>
            <xdr:cNvGrpSpPr/>
          </xdr:nvGrpSpPr>
          <xdr:grpSpPr>
            <a:xfrm>
              <a:off x="3706091" y="13819909"/>
              <a:ext cx="1962727" cy="1651000"/>
              <a:chOff x="2995447" y="3846786"/>
              <a:chExt cx="1960181" cy="1644869"/>
            </a:xfrm>
          </xdr:grpSpPr>
          <xdr:sp macro="" textlink="">
            <xdr:nvSpPr>
              <xdr:cNvPr id="11" name="Option Button 145" hidden="1">
                <a:extLst>
                  <a:ext uri="{63B3BB69-23CF-44E3-9099-C40C66FF867C}">
                    <a14:compatExt spid="_x0000_s243857"/>
                  </a:ext>
                  <a:ext uri="{FF2B5EF4-FFF2-40B4-BE49-F238E27FC236}">
                    <a16:creationId xmlns:a16="http://schemas.microsoft.com/office/drawing/2014/main" id="{00000000-0008-0000-0F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58" name="Option Button 146" hidden="1">
                <a:extLst>
                  <a:ext uri="{63B3BB69-23CF-44E3-9099-C40C66FF867C}">
                    <a14:compatExt spid="_x0000_s243858"/>
                  </a:ext>
                  <a:ext uri="{FF2B5EF4-FFF2-40B4-BE49-F238E27FC236}">
                    <a16:creationId xmlns:a16="http://schemas.microsoft.com/office/drawing/2014/main" id="{00000000-0008-0000-0F00-000092B8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59" name="Option Button 147" hidden="1">
                <a:extLst>
                  <a:ext uri="{63B3BB69-23CF-44E3-9099-C40C66FF867C}">
                    <a14:compatExt spid="_x0000_s243859"/>
                  </a:ext>
                  <a:ext uri="{FF2B5EF4-FFF2-40B4-BE49-F238E27FC236}">
                    <a16:creationId xmlns:a16="http://schemas.microsoft.com/office/drawing/2014/main" id="{00000000-0008-0000-0F00-000093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60" name="Option Button 148" hidden="1">
                <a:extLst>
                  <a:ext uri="{63B3BB69-23CF-44E3-9099-C40C66FF867C}">
                    <a14:compatExt spid="_x0000_s243860"/>
                  </a:ext>
                  <a:ext uri="{FF2B5EF4-FFF2-40B4-BE49-F238E27FC236}">
                    <a16:creationId xmlns:a16="http://schemas.microsoft.com/office/drawing/2014/main" id="{00000000-0008-0000-0F00-000094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61" name="Group Box 149" hidden="1">
                <a:extLst>
                  <a:ext uri="{63B3BB69-23CF-44E3-9099-C40C66FF867C}">
                    <a14:compatExt spid="_x0000_s243861"/>
                  </a:ext>
                  <a:ext uri="{FF2B5EF4-FFF2-40B4-BE49-F238E27FC236}">
                    <a16:creationId xmlns:a16="http://schemas.microsoft.com/office/drawing/2014/main" id="{00000000-0008-0000-0F00-000095B80300}"/>
                  </a:ext>
                </a:extLst>
              </xdr:cNvPr>
              <xdr:cNvSpPr/>
            </xdr:nvSpPr>
            <xdr:spPr bwMode="auto">
              <a:xfrm>
                <a:off x="2995447" y="384678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243863" name="ZoneTexte 1">
          <a:extLst>
            <a:ext uri="{FF2B5EF4-FFF2-40B4-BE49-F238E27FC236}">
              <a16:creationId xmlns:a16="http://schemas.microsoft.com/office/drawing/2014/main" id="{00000000-0008-0000-1000-000097B803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243864" name="ZoneTexte 1">
          <a:extLst>
            <a:ext uri="{FF2B5EF4-FFF2-40B4-BE49-F238E27FC236}">
              <a16:creationId xmlns:a16="http://schemas.microsoft.com/office/drawing/2014/main" id="{00000000-0008-0000-1000-000098B803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243871" name="ZoneTexte 1">
          <a:extLst>
            <a:ext uri="{FF2B5EF4-FFF2-40B4-BE49-F238E27FC236}">
              <a16:creationId xmlns:a16="http://schemas.microsoft.com/office/drawing/2014/main" id="{00000000-0008-0000-1000-00009FB803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243872" name="Groupe 243871">
              <a:extLst>
                <a:ext uri="{FF2B5EF4-FFF2-40B4-BE49-F238E27FC236}">
                  <a16:creationId xmlns:a16="http://schemas.microsoft.com/office/drawing/2014/main" id="{00000000-0008-0000-1000-0000A0B80300}"/>
                </a:ext>
              </a:extLst>
            </xdr:cNvPr>
            <xdr:cNvGrpSpPr/>
          </xdr:nvGrpSpPr>
          <xdr:grpSpPr>
            <a:xfrm>
              <a:off x="3706091" y="34982727"/>
              <a:ext cx="1962727" cy="1651000"/>
              <a:chOff x="2994693" y="2201914"/>
              <a:chExt cx="1960969" cy="1646922"/>
            </a:xfrm>
          </xdr:grpSpPr>
          <xdr:sp macro="" textlink="">
            <xdr:nvSpPr>
              <xdr:cNvPr id="243867" name="Option Button 155" descr="Case d'option 47" hidden="1">
                <a:extLst>
                  <a:ext uri="{63B3BB69-23CF-44E3-9099-C40C66FF867C}">
                    <a14:compatExt spid="_x0000_s243867"/>
                  </a:ext>
                  <a:ext uri="{FF2B5EF4-FFF2-40B4-BE49-F238E27FC236}">
                    <a16:creationId xmlns:a16="http://schemas.microsoft.com/office/drawing/2014/main" id="{00000000-0008-0000-0F00-00009B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68" name="Option Button 156" hidden="1">
                <a:extLst>
                  <a:ext uri="{63B3BB69-23CF-44E3-9099-C40C66FF867C}">
                    <a14:compatExt spid="_x0000_s243868"/>
                  </a:ext>
                  <a:ext uri="{FF2B5EF4-FFF2-40B4-BE49-F238E27FC236}">
                    <a16:creationId xmlns:a16="http://schemas.microsoft.com/office/drawing/2014/main" id="{00000000-0008-0000-0F00-00009C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69" name="Option Button 157" hidden="1">
                <a:extLst>
                  <a:ext uri="{63B3BB69-23CF-44E3-9099-C40C66FF867C}">
                    <a14:compatExt spid="_x0000_s243869"/>
                  </a:ext>
                  <a:ext uri="{FF2B5EF4-FFF2-40B4-BE49-F238E27FC236}">
                    <a16:creationId xmlns:a16="http://schemas.microsoft.com/office/drawing/2014/main" id="{00000000-0008-0000-0F00-00009D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70" name="Option Button 158" hidden="1">
                <a:extLst>
                  <a:ext uri="{63B3BB69-23CF-44E3-9099-C40C66FF867C}">
                    <a14:compatExt spid="_x0000_s243870"/>
                  </a:ext>
                  <a:ext uri="{FF2B5EF4-FFF2-40B4-BE49-F238E27FC236}">
                    <a16:creationId xmlns:a16="http://schemas.microsoft.com/office/drawing/2014/main" id="{00000000-0008-0000-0F00-00009E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2" name="Group Box 159" hidden="1">
                <a:extLst>
                  <a:ext uri="{63B3BB69-23CF-44E3-9099-C40C66FF867C}">
                    <a14:compatExt spid="_x0000_s243871"/>
                  </a:ext>
                  <a:ext uri="{FF2B5EF4-FFF2-40B4-BE49-F238E27FC236}">
                    <a16:creationId xmlns:a16="http://schemas.microsoft.com/office/drawing/2014/main" id="{00000000-0008-0000-0F00-00000C000000}"/>
                  </a:ext>
                </a:extLst>
              </xdr:cNvPr>
              <xdr:cNvSpPr/>
            </xdr:nvSpPr>
            <xdr:spPr bwMode="auto">
              <a:xfrm>
                <a:off x="2994693" y="220191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243878" name="ZoneTexte 1">
          <a:extLst>
            <a:ext uri="{FF2B5EF4-FFF2-40B4-BE49-F238E27FC236}">
              <a16:creationId xmlns:a16="http://schemas.microsoft.com/office/drawing/2014/main" id="{00000000-0008-0000-1000-0000A6B803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243879" name="ZoneTexte 1">
          <a:extLst>
            <a:ext uri="{FF2B5EF4-FFF2-40B4-BE49-F238E27FC236}">
              <a16:creationId xmlns:a16="http://schemas.microsoft.com/office/drawing/2014/main" id="{00000000-0008-0000-1000-0000A7B803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243886" name="ZoneTexte 1">
          <a:extLst>
            <a:ext uri="{FF2B5EF4-FFF2-40B4-BE49-F238E27FC236}">
              <a16:creationId xmlns:a16="http://schemas.microsoft.com/office/drawing/2014/main" id="{00000000-0008-0000-1000-0000AEB803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243887" name="ZoneTexte 1">
          <a:extLst>
            <a:ext uri="{FF2B5EF4-FFF2-40B4-BE49-F238E27FC236}">
              <a16:creationId xmlns:a16="http://schemas.microsoft.com/office/drawing/2014/main" id="{00000000-0008-0000-1000-0000AFB803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83</xdr:row>
          <xdr:rowOff>3</xdr:rowOff>
        </xdr:from>
        <xdr:to>
          <xdr:col>8</xdr:col>
          <xdr:colOff>0</xdr:colOff>
          <xdr:row>84</xdr:row>
          <xdr:rowOff>3</xdr:rowOff>
        </xdr:to>
        <xdr:grpSp>
          <xdr:nvGrpSpPr>
            <xdr:cNvPr id="243888" name="Groupe 243887">
              <a:extLst>
                <a:ext uri="{FF2B5EF4-FFF2-40B4-BE49-F238E27FC236}">
                  <a16:creationId xmlns:a16="http://schemas.microsoft.com/office/drawing/2014/main" id="{00000000-0008-0000-1000-0000B0B80300}"/>
                </a:ext>
              </a:extLst>
            </xdr:cNvPr>
            <xdr:cNvGrpSpPr/>
          </xdr:nvGrpSpPr>
          <xdr:grpSpPr>
            <a:xfrm>
              <a:off x="3706091" y="59459094"/>
              <a:ext cx="1962727" cy="1651000"/>
              <a:chOff x="2995447" y="3846790"/>
              <a:chExt cx="1960181" cy="1644869"/>
            </a:xfrm>
          </xdr:grpSpPr>
          <xdr:sp macro="" textlink="">
            <xdr:nvSpPr>
              <xdr:cNvPr id="243877" name="Option Button 165" hidden="1">
                <a:extLst>
                  <a:ext uri="{63B3BB69-23CF-44E3-9099-C40C66FF867C}">
                    <a14:compatExt spid="_x0000_s243877"/>
                  </a:ext>
                  <a:ext uri="{FF2B5EF4-FFF2-40B4-BE49-F238E27FC236}">
                    <a16:creationId xmlns:a16="http://schemas.microsoft.com/office/drawing/2014/main" id="{00000000-0008-0000-0F00-0000A5B8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49" name="Option Button 166" hidden="1">
                <a:extLst>
                  <a:ext uri="{63B3BB69-23CF-44E3-9099-C40C66FF867C}">
                    <a14:compatExt spid="_x0000_s243878"/>
                  </a:ext>
                  <a:ext uri="{FF2B5EF4-FFF2-40B4-BE49-F238E27FC236}">
                    <a16:creationId xmlns:a16="http://schemas.microsoft.com/office/drawing/2014/main" id="{00000000-0008-0000-0F00-000031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718" name="Option Button 167" hidden="1">
                <a:extLst>
                  <a:ext uri="{63B3BB69-23CF-44E3-9099-C40C66FF867C}">
                    <a14:compatExt spid="_x0000_s243879"/>
                  </a:ext>
                  <a:ext uri="{FF2B5EF4-FFF2-40B4-BE49-F238E27FC236}">
                    <a16:creationId xmlns:a16="http://schemas.microsoft.com/office/drawing/2014/main" id="{00000000-0008-0000-0F00-000006B8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80" name="Option Button 168" hidden="1">
                <a:extLst>
                  <a:ext uri="{63B3BB69-23CF-44E3-9099-C40C66FF867C}">
                    <a14:compatExt spid="_x0000_s243880"/>
                  </a:ext>
                  <a:ext uri="{FF2B5EF4-FFF2-40B4-BE49-F238E27FC236}">
                    <a16:creationId xmlns:a16="http://schemas.microsoft.com/office/drawing/2014/main" id="{00000000-0008-0000-0F00-0000A8B8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881" name="Group Box 169" hidden="1">
                <a:extLst>
                  <a:ext uri="{63B3BB69-23CF-44E3-9099-C40C66FF867C}">
                    <a14:compatExt spid="_x0000_s243881"/>
                  </a:ext>
                  <a:ext uri="{FF2B5EF4-FFF2-40B4-BE49-F238E27FC236}">
                    <a16:creationId xmlns:a16="http://schemas.microsoft.com/office/drawing/2014/main" id="{00000000-0008-0000-0F00-0000A9B80300}"/>
                  </a:ext>
                </a:extLst>
              </xdr:cNvPr>
              <xdr:cNvSpPr/>
            </xdr:nvSpPr>
            <xdr:spPr bwMode="auto">
              <a:xfrm>
                <a:off x="2995447" y="3846790"/>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82</xdr:row>
          <xdr:rowOff>0</xdr:rowOff>
        </xdr:from>
        <xdr:to>
          <xdr:col>8</xdr:col>
          <xdr:colOff>0</xdr:colOff>
          <xdr:row>83</xdr:row>
          <xdr:rowOff>2058</xdr:rowOff>
        </xdr:to>
        <xdr:grpSp>
          <xdr:nvGrpSpPr>
            <xdr:cNvPr id="243894" name="Groupe 243893">
              <a:extLst>
                <a:ext uri="{FF2B5EF4-FFF2-40B4-BE49-F238E27FC236}">
                  <a16:creationId xmlns:a16="http://schemas.microsoft.com/office/drawing/2014/main" id="{00000000-0008-0000-1000-0000B6B80300}"/>
                </a:ext>
              </a:extLst>
            </xdr:cNvPr>
            <xdr:cNvGrpSpPr/>
          </xdr:nvGrpSpPr>
          <xdr:grpSpPr>
            <a:xfrm>
              <a:off x="3709259" y="57808091"/>
              <a:ext cx="1959559" cy="1653058"/>
              <a:chOff x="2994673" y="2201913"/>
              <a:chExt cx="1960968" cy="1646925"/>
            </a:xfrm>
          </xdr:grpSpPr>
          <xdr:sp macro="" textlink="">
            <xdr:nvSpPr>
              <xdr:cNvPr id="243882" name="Option Button 170" descr="Case d'option 47" hidden="1">
                <a:extLst>
                  <a:ext uri="{63B3BB69-23CF-44E3-9099-C40C66FF867C}">
                    <a14:compatExt spid="_x0000_s243882"/>
                  </a:ext>
                  <a:ext uri="{FF2B5EF4-FFF2-40B4-BE49-F238E27FC236}">
                    <a16:creationId xmlns:a16="http://schemas.microsoft.com/office/drawing/2014/main" id="{00000000-0008-0000-0F00-0000AAB8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3883" name="Option Button 171" hidden="1">
                <a:extLst>
                  <a:ext uri="{63B3BB69-23CF-44E3-9099-C40C66FF867C}">
                    <a14:compatExt spid="_x0000_s243883"/>
                  </a:ext>
                  <a:ext uri="{FF2B5EF4-FFF2-40B4-BE49-F238E27FC236}">
                    <a16:creationId xmlns:a16="http://schemas.microsoft.com/office/drawing/2014/main" id="{00000000-0008-0000-0F00-0000ABB8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3884" name="Option Button 172" hidden="1">
                <a:extLst>
                  <a:ext uri="{63B3BB69-23CF-44E3-9099-C40C66FF867C}">
                    <a14:compatExt spid="_x0000_s243884"/>
                  </a:ext>
                  <a:ext uri="{FF2B5EF4-FFF2-40B4-BE49-F238E27FC236}">
                    <a16:creationId xmlns:a16="http://schemas.microsoft.com/office/drawing/2014/main" id="{00000000-0008-0000-0F00-0000ACB8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3885" name="Option Button 173" hidden="1">
                <a:extLst>
                  <a:ext uri="{63B3BB69-23CF-44E3-9099-C40C66FF867C}">
                    <a14:compatExt spid="_x0000_s243885"/>
                  </a:ext>
                  <a:ext uri="{FF2B5EF4-FFF2-40B4-BE49-F238E27FC236}">
                    <a16:creationId xmlns:a16="http://schemas.microsoft.com/office/drawing/2014/main" id="{00000000-0008-0000-0F00-0000ADB8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3724" name="Group Box 174" hidden="1">
                <a:extLst>
                  <a:ext uri="{63B3BB69-23CF-44E3-9099-C40C66FF867C}">
                    <a14:compatExt spid="_x0000_s243886"/>
                  </a:ext>
                  <a:ext uri="{FF2B5EF4-FFF2-40B4-BE49-F238E27FC236}">
                    <a16:creationId xmlns:a16="http://schemas.microsoft.com/office/drawing/2014/main" id="{00000000-0008-0000-0F00-00000CB80300}"/>
                  </a:ext>
                </a:extLst>
              </xdr:cNvPr>
              <xdr:cNvSpPr/>
            </xdr:nvSpPr>
            <xdr:spPr bwMode="auto">
              <a:xfrm>
                <a:off x="2994673" y="2201913"/>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93</xdr:row>
      <xdr:rowOff>22860</xdr:rowOff>
    </xdr:from>
    <xdr:to>
      <xdr:col>9</xdr:col>
      <xdr:colOff>4503756</xdr:colOff>
      <xdr:row>94</xdr:row>
      <xdr:rowOff>0</xdr:rowOff>
    </xdr:to>
    <xdr:sp macro="" textlink="" fLocksText="0">
      <xdr:nvSpPr>
        <xdr:cNvPr id="243900" name="ZoneTexte 1">
          <a:extLst>
            <a:ext uri="{FF2B5EF4-FFF2-40B4-BE49-F238E27FC236}">
              <a16:creationId xmlns:a16="http://schemas.microsoft.com/office/drawing/2014/main" id="{00000000-0008-0000-1000-0000BCB803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94</xdr:row>
      <xdr:rowOff>57150</xdr:rowOff>
    </xdr:from>
    <xdr:to>
      <xdr:col>9</xdr:col>
      <xdr:colOff>4451453</xdr:colOff>
      <xdr:row>95</xdr:row>
      <xdr:rowOff>0</xdr:rowOff>
    </xdr:to>
    <xdr:sp macro="" textlink="">
      <xdr:nvSpPr>
        <xdr:cNvPr id="243901" name="ZoneTexte 1">
          <a:extLst>
            <a:ext uri="{FF2B5EF4-FFF2-40B4-BE49-F238E27FC236}">
              <a16:creationId xmlns:a16="http://schemas.microsoft.com/office/drawing/2014/main" id="{00000000-0008-0000-1000-0000BDB80300}"/>
            </a:ext>
          </a:extLst>
        </xdr:cNvPr>
        <xdr:cNvSpPr txBox="1">
          <a:spLocks noChangeArrowheads="1"/>
        </xdr:cNvSpPr>
      </xdr:nvSpPr>
      <xdr:spPr bwMode="auto">
        <a:xfrm>
          <a:off x="6894195" y="740625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95</xdr:row>
      <xdr:rowOff>15675</xdr:rowOff>
    </xdr:from>
    <xdr:to>
      <xdr:col>9</xdr:col>
      <xdr:colOff>4503756</xdr:colOff>
      <xdr:row>96</xdr:row>
      <xdr:rowOff>0</xdr:rowOff>
    </xdr:to>
    <xdr:sp macro="" textlink="" fLocksText="0">
      <xdr:nvSpPr>
        <xdr:cNvPr id="243914" name="ZoneTexte 1">
          <a:extLst>
            <a:ext uri="{FF2B5EF4-FFF2-40B4-BE49-F238E27FC236}">
              <a16:creationId xmlns:a16="http://schemas.microsoft.com/office/drawing/2014/main" id="{00000000-0008-0000-1000-0000CAB803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243915" name="ZoneTexte 1">
          <a:extLst>
            <a:ext uri="{FF2B5EF4-FFF2-40B4-BE49-F238E27FC236}">
              <a16:creationId xmlns:a16="http://schemas.microsoft.com/office/drawing/2014/main" id="{00000000-0008-0000-1000-0000CBB803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243916" name="ZoneTexte 1">
          <a:extLst>
            <a:ext uri="{FF2B5EF4-FFF2-40B4-BE49-F238E27FC236}">
              <a16:creationId xmlns:a16="http://schemas.microsoft.com/office/drawing/2014/main" id="{00000000-0008-0000-1000-0000CCB803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90</xdr:row>
      <xdr:rowOff>165251</xdr:rowOff>
    </xdr:from>
    <xdr:to>
      <xdr:col>5</xdr:col>
      <xdr:colOff>462364</xdr:colOff>
      <xdr:row>91</xdr:row>
      <xdr:rowOff>415621</xdr:rowOff>
    </xdr:to>
    <xdr:sp macro="" textlink="">
      <xdr:nvSpPr>
        <xdr:cNvPr id="243935" name="Ellipse 243934">
          <a:extLst>
            <a:ext uri="{FF2B5EF4-FFF2-40B4-BE49-F238E27FC236}">
              <a16:creationId xmlns:a16="http://schemas.microsoft.com/office/drawing/2014/main" id="{00000000-0008-0000-1000-0000DFB803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243936" name="ZoneTexte 1">
          <a:extLst>
            <a:ext uri="{FF2B5EF4-FFF2-40B4-BE49-F238E27FC236}">
              <a16:creationId xmlns:a16="http://schemas.microsoft.com/office/drawing/2014/main" id="{00000000-0008-0000-1000-0000E0B803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243937" name="ZoneTexte 1">
          <a:extLst>
            <a:ext uri="{FF2B5EF4-FFF2-40B4-BE49-F238E27FC236}">
              <a16:creationId xmlns:a16="http://schemas.microsoft.com/office/drawing/2014/main" id="{00000000-0008-0000-1000-0000E1B803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243950" name="ZoneTexte 1">
          <a:extLst>
            <a:ext uri="{FF2B5EF4-FFF2-40B4-BE49-F238E27FC236}">
              <a16:creationId xmlns:a16="http://schemas.microsoft.com/office/drawing/2014/main" id="{00000000-0008-0000-1000-0000EEB803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243951" name="ZoneTexte 1">
          <a:extLst>
            <a:ext uri="{FF2B5EF4-FFF2-40B4-BE49-F238E27FC236}">
              <a16:creationId xmlns:a16="http://schemas.microsoft.com/office/drawing/2014/main" id="{00000000-0008-0000-1000-0000EFB803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243964" name="ZoneTexte 1">
          <a:extLst>
            <a:ext uri="{FF2B5EF4-FFF2-40B4-BE49-F238E27FC236}">
              <a16:creationId xmlns:a16="http://schemas.microsoft.com/office/drawing/2014/main" id="{00000000-0008-0000-1000-0000FCB803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243965" name="ZoneTexte 1">
          <a:extLst>
            <a:ext uri="{FF2B5EF4-FFF2-40B4-BE49-F238E27FC236}">
              <a16:creationId xmlns:a16="http://schemas.microsoft.com/office/drawing/2014/main" id="{00000000-0008-0000-1000-0000FDB803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243966" name="ZoneTexte 1">
          <a:extLst>
            <a:ext uri="{FF2B5EF4-FFF2-40B4-BE49-F238E27FC236}">
              <a16:creationId xmlns:a16="http://schemas.microsoft.com/office/drawing/2014/main" id="{00000000-0008-0000-1000-0000FEB803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243985" name="Ellipse 243984">
          <a:extLst>
            <a:ext uri="{FF2B5EF4-FFF2-40B4-BE49-F238E27FC236}">
              <a16:creationId xmlns:a16="http://schemas.microsoft.com/office/drawing/2014/main" id="{00000000-0008-0000-1000-000011B903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243986" name="ZoneTexte 1">
          <a:extLst>
            <a:ext uri="{FF2B5EF4-FFF2-40B4-BE49-F238E27FC236}">
              <a16:creationId xmlns:a16="http://schemas.microsoft.com/office/drawing/2014/main" id="{00000000-0008-0000-1000-000012B903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243987" name="ZoneTexte 1">
          <a:extLst>
            <a:ext uri="{FF2B5EF4-FFF2-40B4-BE49-F238E27FC236}">
              <a16:creationId xmlns:a16="http://schemas.microsoft.com/office/drawing/2014/main" id="{00000000-0008-0000-1000-000013B903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12</xdr:row>
      <xdr:rowOff>34635</xdr:rowOff>
    </xdr:from>
    <xdr:to>
      <xdr:col>9</xdr:col>
      <xdr:colOff>4572000</xdr:colOff>
      <xdr:row>12</xdr:row>
      <xdr:rowOff>1639454</xdr:rowOff>
    </xdr:to>
    <xdr:sp macro="" textlink="" fLocksText="0">
      <xdr:nvSpPr>
        <xdr:cNvPr id="243725" name="ZoneTexte 243724">
          <a:extLst>
            <a:ext uri="{FF2B5EF4-FFF2-40B4-BE49-F238E27FC236}">
              <a16:creationId xmlns:a16="http://schemas.microsoft.com/office/drawing/2014/main" id="{2AAE6F37-8532-4256-A799-7D4118686A9E}"/>
            </a:ext>
          </a:extLst>
        </xdr:cNvPr>
        <xdr:cNvSpPr txBox="1">
          <a:spLocks noChangeArrowheads="1"/>
        </xdr:cNvSpPr>
      </xdr:nvSpPr>
      <xdr:spPr bwMode="auto">
        <a:xfrm>
          <a:off x="6904181" y="5079999"/>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28</xdr:row>
      <xdr:rowOff>23090</xdr:rowOff>
    </xdr:from>
    <xdr:to>
      <xdr:col>9</xdr:col>
      <xdr:colOff>4572000</xdr:colOff>
      <xdr:row>28</xdr:row>
      <xdr:rowOff>2343727</xdr:rowOff>
    </xdr:to>
    <xdr:sp macro="" textlink="" fLocksText="0">
      <xdr:nvSpPr>
        <xdr:cNvPr id="243726" name="ZoneTexte 243725">
          <a:extLst>
            <a:ext uri="{FF2B5EF4-FFF2-40B4-BE49-F238E27FC236}">
              <a16:creationId xmlns:a16="http://schemas.microsoft.com/office/drawing/2014/main" id="{38B9B3C4-D68E-4765-B413-D0D199C2AFC2}"/>
            </a:ext>
          </a:extLst>
        </xdr:cNvPr>
        <xdr:cNvSpPr txBox="1">
          <a:spLocks noChangeArrowheads="1"/>
        </xdr:cNvSpPr>
      </xdr:nvSpPr>
      <xdr:spPr bwMode="auto">
        <a:xfrm>
          <a:off x="6904181" y="15493999"/>
          <a:ext cx="4548910" cy="2320637"/>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44</xdr:row>
      <xdr:rowOff>23090</xdr:rowOff>
    </xdr:from>
    <xdr:to>
      <xdr:col>9</xdr:col>
      <xdr:colOff>4572000</xdr:colOff>
      <xdr:row>44</xdr:row>
      <xdr:rowOff>1858818</xdr:rowOff>
    </xdr:to>
    <xdr:sp macro="" textlink="" fLocksText="0">
      <xdr:nvSpPr>
        <xdr:cNvPr id="243727" name="ZoneTexte 243726">
          <a:extLst>
            <a:ext uri="{FF2B5EF4-FFF2-40B4-BE49-F238E27FC236}">
              <a16:creationId xmlns:a16="http://schemas.microsoft.com/office/drawing/2014/main" id="{4614A060-EC96-486A-858F-3F6F75041F47}"/>
            </a:ext>
          </a:extLst>
        </xdr:cNvPr>
        <xdr:cNvSpPr txBox="1">
          <a:spLocks noChangeArrowheads="1"/>
        </xdr:cNvSpPr>
      </xdr:nvSpPr>
      <xdr:spPr bwMode="auto">
        <a:xfrm>
          <a:off x="6904181" y="29925817"/>
          <a:ext cx="4548910" cy="183572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60</xdr:row>
      <xdr:rowOff>23090</xdr:rowOff>
    </xdr:from>
    <xdr:to>
      <xdr:col>9</xdr:col>
      <xdr:colOff>4572000</xdr:colOff>
      <xdr:row>60</xdr:row>
      <xdr:rowOff>1627909</xdr:rowOff>
    </xdr:to>
    <xdr:sp macro="" textlink="" fLocksText="0">
      <xdr:nvSpPr>
        <xdr:cNvPr id="243728" name="ZoneTexte 243727">
          <a:extLst>
            <a:ext uri="{FF2B5EF4-FFF2-40B4-BE49-F238E27FC236}">
              <a16:creationId xmlns:a16="http://schemas.microsoft.com/office/drawing/2014/main" id="{9FF866CE-4255-463F-8A69-5FA0A5786219}"/>
            </a:ext>
          </a:extLst>
        </xdr:cNvPr>
        <xdr:cNvSpPr txBox="1">
          <a:spLocks noChangeArrowheads="1"/>
        </xdr:cNvSpPr>
      </xdr:nvSpPr>
      <xdr:spPr bwMode="auto">
        <a:xfrm>
          <a:off x="6904181" y="4047836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23090</xdr:colOff>
      <xdr:row>78</xdr:row>
      <xdr:rowOff>23090</xdr:rowOff>
    </xdr:from>
    <xdr:to>
      <xdr:col>9</xdr:col>
      <xdr:colOff>4572000</xdr:colOff>
      <xdr:row>78</xdr:row>
      <xdr:rowOff>1627909</xdr:rowOff>
    </xdr:to>
    <xdr:sp macro="" textlink="" fLocksText="0">
      <xdr:nvSpPr>
        <xdr:cNvPr id="243729" name="ZoneTexte 243728">
          <a:extLst>
            <a:ext uri="{FF2B5EF4-FFF2-40B4-BE49-F238E27FC236}">
              <a16:creationId xmlns:a16="http://schemas.microsoft.com/office/drawing/2014/main" id="{DC52192E-372D-4D52-9FF6-AD752C2373EE}"/>
            </a:ext>
          </a:extLst>
        </xdr:cNvPr>
        <xdr:cNvSpPr txBox="1">
          <a:spLocks noChangeArrowheads="1"/>
        </xdr:cNvSpPr>
      </xdr:nvSpPr>
      <xdr:spPr bwMode="auto">
        <a:xfrm>
          <a:off x="6904181" y="51227181"/>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1049548</xdr:colOff>
      <xdr:row>21</xdr:row>
      <xdr:rowOff>186907</xdr:rowOff>
    </xdr:from>
    <xdr:to>
      <xdr:col>6</xdr:col>
      <xdr:colOff>4113423</xdr:colOff>
      <xdr:row>22</xdr:row>
      <xdr:rowOff>212448</xdr:rowOff>
    </xdr:to>
    <xdr:sp macro="[0]!CalculMaturiteVF" textlink="">
      <xdr:nvSpPr>
        <xdr:cNvPr id="2" name="Rectangle : coins arrondis 1">
          <a:extLst>
            <a:ext uri="{FF2B5EF4-FFF2-40B4-BE49-F238E27FC236}">
              <a16:creationId xmlns:a16="http://schemas.microsoft.com/office/drawing/2014/main" id="{00000000-0008-0000-1100-000002000000}"/>
            </a:ext>
          </a:extLst>
        </xdr:cNvPr>
        <xdr:cNvSpPr/>
      </xdr:nvSpPr>
      <xdr:spPr>
        <a:xfrm>
          <a:off x="3608718" y="8367624"/>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2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2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200-000005000000}"/>
                </a:ext>
              </a:extLst>
            </xdr:cNvPr>
            <xdr:cNvGrpSpPr/>
          </xdr:nvGrpSpPr>
          <xdr:grpSpPr>
            <a:xfrm>
              <a:off x="3696269" y="5390866"/>
              <a:ext cx="1956179" cy="2365612"/>
              <a:chOff x="2995478" y="3846790"/>
              <a:chExt cx="1960181" cy="1644870"/>
            </a:xfrm>
          </xdr:grpSpPr>
          <xdr:sp macro="" textlink="">
            <xdr:nvSpPr>
              <xdr:cNvPr id="155649" name="Option Button 1" hidden="1">
                <a:extLst>
                  <a:ext uri="{63B3BB69-23CF-44E3-9099-C40C66FF867C}">
                    <a14:compatExt spid="_x0000_s155649"/>
                  </a:ext>
                  <a:ext uri="{FF2B5EF4-FFF2-40B4-BE49-F238E27FC236}">
                    <a16:creationId xmlns:a16="http://schemas.microsoft.com/office/drawing/2014/main" id="{00000000-0008-0000-1100-000001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650" name="Option Button 2" hidden="1">
                <a:extLst>
                  <a:ext uri="{63B3BB69-23CF-44E3-9099-C40C66FF867C}">
                    <a14:compatExt spid="_x0000_s155650"/>
                  </a:ext>
                  <a:ext uri="{FF2B5EF4-FFF2-40B4-BE49-F238E27FC236}">
                    <a16:creationId xmlns:a16="http://schemas.microsoft.com/office/drawing/2014/main" id="{00000000-0008-0000-1100-000002600200}"/>
                  </a:ext>
                </a:extLst>
              </xdr:cNvPr>
              <xdr:cNvSpPr/>
            </xdr:nvSpPr>
            <xdr:spPr bwMode="auto">
              <a:xfrm>
                <a:off x="3109748" y="417458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651" name="Option Button 3" hidden="1">
                <a:extLst>
                  <a:ext uri="{63B3BB69-23CF-44E3-9099-C40C66FF867C}">
                    <a14:compatExt spid="_x0000_s155651"/>
                  </a:ext>
                  <a:ext uri="{FF2B5EF4-FFF2-40B4-BE49-F238E27FC236}">
                    <a16:creationId xmlns:a16="http://schemas.microsoft.com/office/drawing/2014/main" id="{00000000-0008-0000-1100-000003600200}"/>
                  </a:ext>
                </a:extLst>
              </xdr:cNvPr>
              <xdr:cNvSpPr/>
            </xdr:nvSpPr>
            <xdr:spPr bwMode="auto">
              <a:xfrm>
                <a:off x="3109748" y="4372845"/>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652" name="Option Button 4" hidden="1">
                <a:extLst>
                  <a:ext uri="{63B3BB69-23CF-44E3-9099-C40C66FF867C}">
                    <a14:compatExt spid="_x0000_s155652"/>
                  </a:ext>
                  <a:ext uri="{FF2B5EF4-FFF2-40B4-BE49-F238E27FC236}">
                    <a16:creationId xmlns:a16="http://schemas.microsoft.com/office/drawing/2014/main" id="{00000000-0008-0000-1100-000004600200}"/>
                  </a:ext>
                </a:extLst>
              </xdr:cNvPr>
              <xdr:cNvSpPr/>
            </xdr:nvSpPr>
            <xdr:spPr bwMode="auto">
              <a:xfrm>
                <a:off x="3109748" y="45711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653" name="Group Box 5" hidden="1">
                <a:extLst>
                  <a:ext uri="{63B3BB69-23CF-44E3-9099-C40C66FF867C}">
                    <a14:compatExt spid="_x0000_s155653"/>
                  </a:ext>
                  <a:ext uri="{FF2B5EF4-FFF2-40B4-BE49-F238E27FC236}">
                    <a16:creationId xmlns:a16="http://schemas.microsoft.com/office/drawing/2014/main" id="{00000000-0008-0000-1100-000005600200}"/>
                  </a:ext>
                </a:extLst>
              </xdr:cNvPr>
              <xdr:cNvSpPr/>
            </xdr:nvSpPr>
            <xdr:spPr bwMode="auto">
              <a:xfrm>
                <a:off x="2995478" y="3846790"/>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2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2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2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2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200-00000A000000}"/>
                </a:ext>
              </a:extLst>
            </xdr:cNvPr>
            <xdr:cNvGrpSpPr/>
          </xdr:nvGrpSpPr>
          <xdr:grpSpPr>
            <a:xfrm>
              <a:off x="3696269" y="3366450"/>
              <a:ext cx="1957768" cy="2026474"/>
              <a:chOff x="3693196" y="3303842"/>
              <a:chExt cx="1959429" cy="1648421"/>
            </a:xfrm>
          </xdr:grpSpPr>
          <xdr:sp macro="" textlink="">
            <xdr:nvSpPr>
              <xdr:cNvPr id="155655" name="Group Box 7" hidden="1">
                <a:extLst>
                  <a:ext uri="{63B3BB69-23CF-44E3-9099-C40C66FF867C}">
                    <a14:compatExt spid="_x0000_s155655"/>
                  </a:ext>
                  <a:ext uri="{FF2B5EF4-FFF2-40B4-BE49-F238E27FC236}">
                    <a16:creationId xmlns:a16="http://schemas.microsoft.com/office/drawing/2014/main" id="{00000000-0008-0000-1100-000007600200}"/>
                  </a:ext>
                </a:extLst>
              </xdr:cNvPr>
              <xdr:cNvSpPr/>
            </xdr:nvSpPr>
            <xdr:spPr bwMode="auto">
              <a:xfrm>
                <a:off x="3693196" y="3303842"/>
                <a:ext cx="1959426" cy="1648421"/>
              </a:xfrm>
              <a:prstGeom prst="rect">
                <a:avLst/>
              </a:prstGeom>
              <a:noFill/>
              <a:ln w="9525">
                <a:miter lim="800000"/>
                <a:headEnd/>
                <a:tailEnd/>
              </a:ln>
              <a:extLst>
                <a:ext uri="{909E8E84-426E-40DD-AFC4-6F175D3DCCD1}">
                  <a14:hiddenFill>
                    <a:noFill/>
                  </a14:hiddenFill>
                </a:ext>
              </a:extLst>
            </xdr:spPr>
          </xdr:sp>
          <xdr:sp macro="" textlink="">
            <xdr:nvSpPr>
              <xdr:cNvPr id="155656" name="Option Button 8" descr="Case d'option 47" hidden="1">
                <a:extLst>
                  <a:ext uri="{63B3BB69-23CF-44E3-9099-C40C66FF867C}">
                    <a14:compatExt spid="_x0000_s155656"/>
                  </a:ext>
                  <a:ext uri="{FF2B5EF4-FFF2-40B4-BE49-F238E27FC236}">
                    <a16:creationId xmlns:a16="http://schemas.microsoft.com/office/drawing/2014/main" id="{00000000-0008-0000-1100-00000860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657" name="Option Button 9" hidden="1">
                <a:extLst>
                  <a:ext uri="{63B3BB69-23CF-44E3-9099-C40C66FF867C}">
                    <a14:compatExt spid="_x0000_s155657"/>
                  </a:ext>
                  <a:ext uri="{FF2B5EF4-FFF2-40B4-BE49-F238E27FC236}">
                    <a16:creationId xmlns:a16="http://schemas.microsoft.com/office/drawing/2014/main" id="{00000000-0008-0000-1100-000009600200}"/>
                  </a:ext>
                </a:extLst>
              </xdr:cNvPr>
              <xdr:cNvSpPr/>
            </xdr:nvSpPr>
            <xdr:spPr bwMode="auto">
              <a:xfrm>
                <a:off x="3800580" y="3598975"/>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658" name="Option Button 10" hidden="1">
                <a:extLst>
                  <a:ext uri="{63B3BB69-23CF-44E3-9099-C40C66FF867C}">
                    <a14:compatExt spid="_x0000_s155658"/>
                  </a:ext>
                  <a:ext uri="{FF2B5EF4-FFF2-40B4-BE49-F238E27FC236}">
                    <a16:creationId xmlns:a16="http://schemas.microsoft.com/office/drawing/2014/main" id="{00000000-0008-0000-1100-00000A600200}"/>
                  </a:ext>
                </a:extLst>
              </xdr:cNvPr>
              <xdr:cNvSpPr/>
            </xdr:nvSpPr>
            <xdr:spPr bwMode="auto">
              <a:xfrm>
                <a:off x="3800580" y="3833080"/>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659" name="Option Button 11" hidden="1">
                <a:extLst>
                  <a:ext uri="{63B3BB69-23CF-44E3-9099-C40C66FF867C}">
                    <a14:compatExt spid="_x0000_s155659"/>
                  </a:ext>
                  <a:ext uri="{FF2B5EF4-FFF2-40B4-BE49-F238E27FC236}">
                    <a16:creationId xmlns:a16="http://schemas.microsoft.com/office/drawing/2014/main" id="{00000000-0008-0000-1100-00000B600200}"/>
                  </a:ext>
                </a:extLst>
              </xdr:cNvPr>
              <xdr:cNvSpPr/>
            </xdr:nvSpPr>
            <xdr:spPr bwMode="auto">
              <a:xfrm>
                <a:off x="3800580" y="4044304"/>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1200-00000E000000}"/>
                </a:ext>
              </a:extLst>
            </xdr:cNvPr>
            <xdr:cNvGrpSpPr/>
          </xdr:nvGrpSpPr>
          <xdr:grpSpPr>
            <a:xfrm>
              <a:off x="3696269" y="9405582"/>
              <a:ext cx="1956179" cy="1649105"/>
              <a:chOff x="2991504" y="2201948"/>
              <a:chExt cx="1964147" cy="1646924"/>
            </a:xfrm>
            <a:solidFill>
              <a:schemeClr val="accent1"/>
            </a:solidFill>
          </xdr:grpSpPr>
          <xdr:sp macro="" textlink="">
            <xdr:nvSpPr>
              <xdr:cNvPr id="155675" name="Option Button 27" descr="Case d'option 47" hidden="1">
                <a:extLst>
                  <a:ext uri="{63B3BB69-23CF-44E3-9099-C40C66FF867C}">
                    <a14:compatExt spid="_x0000_s155675"/>
                  </a:ext>
                  <a:ext uri="{FF2B5EF4-FFF2-40B4-BE49-F238E27FC236}">
                    <a16:creationId xmlns:a16="http://schemas.microsoft.com/office/drawing/2014/main" id="{00000000-0008-0000-1100-00001B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676" name="Option Button 28" hidden="1">
                <a:extLst>
                  <a:ext uri="{63B3BB69-23CF-44E3-9099-C40C66FF867C}">
                    <a14:compatExt spid="_x0000_s155676"/>
                  </a:ext>
                  <a:ext uri="{FF2B5EF4-FFF2-40B4-BE49-F238E27FC236}">
                    <a16:creationId xmlns:a16="http://schemas.microsoft.com/office/drawing/2014/main" id="{00000000-0008-0000-1100-00001C6002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677" name="Option Button 29" hidden="1">
                <a:extLst>
                  <a:ext uri="{63B3BB69-23CF-44E3-9099-C40C66FF867C}">
                    <a14:compatExt spid="_x0000_s155677"/>
                  </a:ext>
                  <a:ext uri="{FF2B5EF4-FFF2-40B4-BE49-F238E27FC236}">
                    <a16:creationId xmlns:a16="http://schemas.microsoft.com/office/drawing/2014/main" id="{00000000-0008-0000-1100-00001D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678" name="Option Button 30" hidden="1">
                <a:extLst>
                  <a:ext uri="{63B3BB69-23CF-44E3-9099-C40C66FF867C}">
                    <a14:compatExt spid="_x0000_s155678"/>
                  </a:ext>
                  <a:ext uri="{FF2B5EF4-FFF2-40B4-BE49-F238E27FC236}">
                    <a16:creationId xmlns:a16="http://schemas.microsoft.com/office/drawing/2014/main" id="{00000000-0008-0000-1100-00001E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679" name="Group Box 31" hidden="1">
                <a:extLst>
                  <a:ext uri="{63B3BB69-23CF-44E3-9099-C40C66FF867C}">
                    <a14:compatExt spid="_x0000_s155679"/>
                  </a:ext>
                  <a:ext uri="{FF2B5EF4-FFF2-40B4-BE49-F238E27FC236}">
                    <a16:creationId xmlns:a16="http://schemas.microsoft.com/office/drawing/2014/main" id="{00000000-0008-0000-1100-00001F600200}"/>
                  </a:ext>
                </a:extLst>
              </xdr:cNvPr>
              <xdr:cNvSpPr/>
            </xdr:nvSpPr>
            <xdr:spPr bwMode="auto">
              <a:xfrm>
                <a:off x="2991504" y="2201948"/>
                <a:ext cx="1964147"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1200-00000F000000}"/>
                </a:ext>
              </a:extLst>
            </xdr:cNvPr>
            <xdr:cNvGrpSpPr/>
          </xdr:nvGrpSpPr>
          <xdr:grpSpPr>
            <a:xfrm>
              <a:off x="3696269" y="7756478"/>
              <a:ext cx="1956179" cy="1649104"/>
              <a:chOff x="2994708" y="2201921"/>
              <a:chExt cx="1960968" cy="1646929"/>
            </a:xfrm>
          </xdr:grpSpPr>
          <xdr:sp macro="" textlink="">
            <xdr:nvSpPr>
              <xdr:cNvPr id="155680" name="Option Button 32" descr="Case d'option 47" hidden="1">
                <a:extLst>
                  <a:ext uri="{63B3BB69-23CF-44E3-9099-C40C66FF867C}">
                    <a14:compatExt spid="_x0000_s155680"/>
                  </a:ext>
                  <a:ext uri="{FF2B5EF4-FFF2-40B4-BE49-F238E27FC236}">
                    <a16:creationId xmlns:a16="http://schemas.microsoft.com/office/drawing/2014/main" id="{00000000-0008-0000-1100-000020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681" name="Option Button 33" hidden="1">
                <a:extLst>
                  <a:ext uri="{63B3BB69-23CF-44E3-9099-C40C66FF867C}">
                    <a14:compatExt spid="_x0000_s155681"/>
                  </a:ext>
                  <a:ext uri="{FF2B5EF4-FFF2-40B4-BE49-F238E27FC236}">
                    <a16:creationId xmlns:a16="http://schemas.microsoft.com/office/drawing/2014/main" id="{00000000-0008-0000-1100-000021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682" name="Option Button 34" hidden="1">
                <a:extLst>
                  <a:ext uri="{63B3BB69-23CF-44E3-9099-C40C66FF867C}">
                    <a14:compatExt spid="_x0000_s155682"/>
                  </a:ext>
                  <a:ext uri="{FF2B5EF4-FFF2-40B4-BE49-F238E27FC236}">
                    <a16:creationId xmlns:a16="http://schemas.microsoft.com/office/drawing/2014/main" id="{00000000-0008-0000-1100-000022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683" name="Option Button 35" hidden="1">
                <a:extLst>
                  <a:ext uri="{63B3BB69-23CF-44E3-9099-C40C66FF867C}">
                    <a14:compatExt spid="_x0000_s155683"/>
                  </a:ext>
                  <a:ext uri="{FF2B5EF4-FFF2-40B4-BE49-F238E27FC236}">
                    <a16:creationId xmlns:a16="http://schemas.microsoft.com/office/drawing/2014/main" id="{00000000-0008-0000-1100-000023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684" name="Group Box 36" hidden="1">
                <a:extLst>
                  <a:ext uri="{63B3BB69-23CF-44E3-9099-C40C66FF867C}">
                    <a14:compatExt spid="_x0000_s155684"/>
                  </a:ext>
                  <a:ext uri="{FF2B5EF4-FFF2-40B4-BE49-F238E27FC236}">
                    <a16:creationId xmlns:a16="http://schemas.microsoft.com/office/drawing/2014/main" id="{00000000-0008-0000-1100-000024600200}"/>
                  </a:ext>
                </a:extLst>
              </xdr:cNvPr>
              <xdr:cNvSpPr/>
            </xdr:nvSpPr>
            <xdr:spPr bwMode="auto">
              <a:xfrm>
                <a:off x="2994708" y="2201921"/>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2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200-000012000000}"/>
                </a:ext>
              </a:extLst>
            </xdr:cNvPr>
            <xdr:cNvGrpSpPr/>
          </xdr:nvGrpSpPr>
          <xdr:grpSpPr>
            <a:xfrm>
              <a:off x="3696269" y="14864687"/>
              <a:ext cx="1956179" cy="1649104"/>
              <a:chOff x="2995478" y="3846821"/>
              <a:chExt cx="1960181" cy="1644868"/>
            </a:xfrm>
          </xdr:grpSpPr>
          <xdr:sp macro="" textlink="">
            <xdr:nvSpPr>
              <xdr:cNvPr id="155685" name="Option Button 37" hidden="1">
                <a:extLst>
                  <a:ext uri="{63B3BB69-23CF-44E3-9099-C40C66FF867C}">
                    <a14:compatExt spid="_x0000_s155685"/>
                  </a:ext>
                  <a:ext uri="{FF2B5EF4-FFF2-40B4-BE49-F238E27FC236}">
                    <a16:creationId xmlns:a16="http://schemas.microsoft.com/office/drawing/2014/main" id="{00000000-0008-0000-1100-000025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686" name="Option Button 38" hidden="1">
                <a:extLst>
                  <a:ext uri="{63B3BB69-23CF-44E3-9099-C40C66FF867C}">
                    <a14:compatExt spid="_x0000_s155686"/>
                  </a:ext>
                  <a:ext uri="{FF2B5EF4-FFF2-40B4-BE49-F238E27FC236}">
                    <a16:creationId xmlns:a16="http://schemas.microsoft.com/office/drawing/2014/main" id="{00000000-0008-0000-1100-000026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687" name="Option Button 39" hidden="1">
                <a:extLst>
                  <a:ext uri="{63B3BB69-23CF-44E3-9099-C40C66FF867C}">
                    <a14:compatExt spid="_x0000_s155687"/>
                  </a:ext>
                  <a:ext uri="{FF2B5EF4-FFF2-40B4-BE49-F238E27FC236}">
                    <a16:creationId xmlns:a16="http://schemas.microsoft.com/office/drawing/2014/main" id="{00000000-0008-0000-1100-000027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688" name="Option Button 40" hidden="1">
                <a:extLst>
                  <a:ext uri="{63B3BB69-23CF-44E3-9099-C40C66FF867C}">
                    <a14:compatExt spid="_x0000_s155688"/>
                  </a:ext>
                  <a:ext uri="{FF2B5EF4-FFF2-40B4-BE49-F238E27FC236}">
                    <a16:creationId xmlns:a16="http://schemas.microsoft.com/office/drawing/2014/main" id="{00000000-0008-0000-1100-000028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689" name="Group Box 41" hidden="1">
                <a:extLst>
                  <a:ext uri="{63B3BB69-23CF-44E3-9099-C40C66FF867C}">
                    <a14:compatExt spid="_x0000_s155689"/>
                  </a:ext>
                  <a:ext uri="{FF2B5EF4-FFF2-40B4-BE49-F238E27FC236}">
                    <a16:creationId xmlns:a16="http://schemas.microsoft.com/office/drawing/2014/main" id="{00000000-0008-0000-1100-000029600200}"/>
                  </a:ext>
                </a:extLst>
              </xdr:cNvPr>
              <xdr:cNvSpPr/>
            </xdr:nvSpPr>
            <xdr:spPr bwMode="auto">
              <a:xfrm>
                <a:off x="2995478" y="3846821"/>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2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2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2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2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2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1200-00001B000000}"/>
                </a:ext>
              </a:extLst>
            </xdr:cNvPr>
            <xdr:cNvGrpSpPr/>
          </xdr:nvGrpSpPr>
          <xdr:grpSpPr>
            <a:xfrm>
              <a:off x="3696829" y="18163203"/>
              <a:ext cx="1954893" cy="1648797"/>
              <a:chOff x="2994659" y="2201916"/>
              <a:chExt cx="1960969" cy="1646926"/>
            </a:xfrm>
          </xdr:grpSpPr>
          <xdr:sp macro="" textlink="">
            <xdr:nvSpPr>
              <xdr:cNvPr id="155706" name="Option Button 58" descr="Case d'option 47" hidden="1">
                <a:extLst>
                  <a:ext uri="{63B3BB69-23CF-44E3-9099-C40C66FF867C}">
                    <a14:compatExt spid="_x0000_s155706"/>
                  </a:ext>
                  <a:ext uri="{FF2B5EF4-FFF2-40B4-BE49-F238E27FC236}">
                    <a16:creationId xmlns:a16="http://schemas.microsoft.com/office/drawing/2014/main" id="{00000000-0008-0000-1100-00003A6002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07" name="Option Button 59" hidden="1">
                <a:extLst>
                  <a:ext uri="{63B3BB69-23CF-44E3-9099-C40C66FF867C}">
                    <a14:compatExt spid="_x0000_s155707"/>
                  </a:ext>
                  <a:ext uri="{FF2B5EF4-FFF2-40B4-BE49-F238E27FC236}">
                    <a16:creationId xmlns:a16="http://schemas.microsoft.com/office/drawing/2014/main" id="{00000000-0008-0000-1100-00003B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08" name="Option Button 60" hidden="1">
                <a:extLst>
                  <a:ext uri="{63B3BB69-23CF-44E3-9099-C40C66FF867C}">
                    <a14:compatExt spid="_x0000_s155708"/>
                  </a:ext>
                  <a:ext uri="{FF2B5EF4-FFF2-40B4-BE49-F238E27FC236}">
                    <a16:creationId xmlns:a16="http://schemas.microsoft.com/office/drawing/2014/main" id="{00000000-0008-0000-1100-00003C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09" name="Option Button 61" hidden="1">
                <a:extLst>
                  <a:ext uri="{63B3BB69-23CF-44E3-9099-C40C66FF867C}">
                    <a14:compatExt spid="_x0000_s155709"/>
                  </a:ext>
                  <a:ext uri="{FF2B5EF4-FFF2-40B4-BE49-F238E27FC236}">
                    <a16:creationId xmlns:a16="http://schemas.microsoft.com/office/drawing/2014/main" id="{00000000-0008-0000-1100-00003D6002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10" name="Group Box 62" hidden="1">
                <a:extLst>
                  <a:ext uri="{63B3BB69-23CF-44E3-9099-C40C66FF867C}">
                    <a14:compatExt spid="_x0000_s155710"/>
                  </a:ext>
                  <a:ext uri="{FF2B5EF4-FFF2-40B4-BE49-F238E27FC236}">
                    <a16:creationId xmlns:a16="http://schemas.microsoft.com/office/drawing/2014/main" id="{00000000-0008-0000-1100-00003E600200}"/>
                  </a:ext>
                </a:extLst>
              </xdr:cNvPr>
              <xdr:cNvSpPr/>
            </xdr:nvSpPr>
            <xdr:spPr bwMode="auto">
              <a:xfrm>
                <a:off x="2994659" y="2201916"/>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200-00001C000000}"/>
                </a:ext>
              </a:extLst>
            </xdr:cNvPr>
            <xdr:cNvGrpSpPr/>
          </xdr:nvGrpSpPr>
          <xdr:grpSpPr>
            <a:xfrm>
              <a:off x="3696269" y="16513791"/>
              <a:ext cx="1956179" cy="1649105"/>
              <a:chOff x="2994708" y="2201918"/>
              <a:chExt cx="1960968" cy="1646923"/>
            </a:xfrm>
          </xdr:grpSpPr>
          <xdr:sp macro="" textlink="">
            <xdr:nvSpPr>
              <xdr:cNvPr id="155711" name="Option Button 63" descr="Case d'option 47" hidden="1">
                <a:extLst>
                  <a:ext uri="{63B3BB69-23CF-44E3-9099-C40C66FF867C}">
                    <a14:compatExt spid="_x0000_s155711"/>
                  </a:ext>
                  <a:ext uri="{FF2B5EF4-FFF2-40B4-BE49-F238E27FC236}">
                    <a16:creationId xmlns:a16="http://schemas.microsoft.com/office/drawing/2014/main" id="{00000000-0008-0000-1100-00003F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12" name="Option Button 64" hidden="1">
                <a:extLst>
                  <a:ext uri="{63B3BB69-23CF-44E3-9099-C40C66FF867C}">
                    <a14:compatExt spid="_x0000_s155712"/>
                  </a:ext>
                  <a:ext uri="{FF2B5EF4-FFF2-40B4-BE49-F238E27FC236}">
                    <a16:creationId xmlns:a16="http://schemas.microsoft.com/office/drawing/2014/main" id="{00000000-0008-0000-1100-000040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13" name="Option Button 65" hidden="1">
                <a:extLst>
                  <a:ext uri="{63B3BB69-23CF-44E3-9099-C40C66FF867C}">
                    <a14:compatExt spid="_x0000_s155713"/>
                  </a:ext>
                  <a:ext uri="{FF2B5EF4-FFF2-40B4-BE49-F238E27FC236}">
                    <a16:creationId xmlns:a16="http://schemas.microsoft.com/office/drawing/2014/main" id="{00000000-0008-0000-1100-000041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14" name="Option Button 66" hidden="1">
                <a:extLst>
                  <a:ext uri="{63B3BB69-23CF-44E3-9099-C40C66FF867C}">
                    <a14:compatExt spid="_x0000_s155714"/>
                  </a:ext>
                  <a:ext uri="{FF2B5EF4-FFF2-40B4-BE49-F238E27FC236}">
                    <a16:creationId xmlns:a16="http://schemas.microsoft.com/office/drawing/2014/main" id="{00000000-0008-0000-1100-000042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15" name="Group Box 67" hidden="1">
                <a:extLst>
                  <a:ext uri="{63B3BB69-23CF-44E3-9099-C40C66FF867C}">
                    <a14:compatExt spid="_x0000_s155715"/>
                  </a:ext>
                  <a:ext uri="{FF2B5EF4-FFF2-40B4-BE49-F238E27FC236}">
                    <a16:creationId xmlns:a16="http://schemas.microsoft.com/office/drawing/2014/main" id="{00000000-0008-0000-1100-000043600200}"/>
                  </a:ext>
                </a:extLst>
              </xdr:cNvPr>
              <xdr:cNvSpPr/>
            </xdr:nvSpPr>
            <xdr:spPr bwMode="auto">
              <a:xfrm>
                <a:off x="2994708" y="220191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2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200-00001E000000}"/>
                </a:ext>
              </a:extLst>
            </xdr:cNvPr>
            <xdr:cNvGrpSpPr/>
          </xdr:nvGrpSpPr>
          <xdr:grpSpPr>
            <a:xfrm>
              <a:off x="3696269" y="21972896"/>
              <a:ext cx="1956179" cy="1651159"/>
              <a:chOff x="2994712" y="2201922"/>
              <a:chExt cx="1960968" cy="1646922"/>
            </a:xfrm>
          </xdr:grpSpPr>
          <xdr:sp macro="" textlink="">
            <xdr:nvSpPr>
              <xdr:cNvPr id="155716" name="Option Button 68" descr="Case d'option 47" hidden="1">
                <a:extLst>
                  <a:ext uri="{63B3BB69-23CF-44E3-9099-C40C66FF867C}">
                    <a14:compatExt spid="_x0000_s155716"/>
                  </a:ext>
                  <a:ext uri="{FF2B5EF4-FFF2-40B4-BE49-F238E27FC236}">
                    <a16:creationId xmlns:a16="http://schemas.microsoft.com/office/drawing/2014/main" id="{00000000-0008-0000-1100-000044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17" name="Option Button 69" hidden="1">
                <a:extLst>
                  <a:ext uri="{63B3BB69-23CF-44E3-9099-C40C66FF867C}">
                    <a14:compatExt spid="_x0000_s155717"/>
                  </a:ext>
                  <a:ext uri="{FF2B5EF4-FFF2-40B4-BE49-F238E27FC236}">
                    <a16:creationId xmlns:a16="http://schemas.microsoft.com/office/drawing/2014/main" id="{00000000-0008-0000-1100-000045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18" name="Option Button 70" hidden="1">
                <a:extLst>
                  <a:ext uri="{63B3BB69-23CF-44E3-9099-C40C66FF867C}">
                    <a14:compatExt spid="_x0000_s155718"/>
                  </a:ext>
                  <a:ext uri="{FF2B5EF4-FFF2-40B4-BE49-F238E27FC236}">
                    <a16:creationId xmlns:a16="http://schemas.microsoft.com/office/drawing/2014/main" id="{00000000-0008-0000-1100-000046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19" name="Option Button 71" hidden="1">
                <a:extLst>
                  <a:ext uri="{63B3BB69-23CF-44E3-9099-C40C66FF867C}">
                    <a14:compatExt spid="_x0000_s155719"/>
                  </a:ext>
                  <a:ext uri="{FF2B5EF4-FFF2-40B4-BE49-F238E27FC236}">
                    <a16:creationId xmlns:a16="http://schemas.microsoft.com/office/drawing/2014/main" id="{00000000-0008-0000-1100-000047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20" name="Group Box 72" hidden="1">
                <a:extLst>
                  <a:ext uri="{63B3BB69-23CF-44E3-9099-C40C66FF867C}">
                    <a14:compatExt spid="_x0000_s155720"/>
                  </a:ext>
                  <a:ext uri="{FF2B5EF4-FFF2-40B4-BE49-F238E27FC236}">
                    <a16:creationId xmlns:a16="http://schemas.microsoft.com/office/drawing/2014/main" id="{00000000-0008-0000-1100-000048600200}"/>
                  </a:ext>
                </a:extLst>
              </xdr:cNvPr>
              <xdr:cNvSpPr/>
            </xdr:nvSpPr>
            <xdr:spPr bwMode="auto">
              <a:xfrm>
                <a:off x="2994712" y="220192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2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200-000021000000}"/>
                </a:ext>
              </a:extLst>
            </xdr:cNvPr>
            <xdr:cNvGrpSpPr/>
          </xdr:nvGrpSpPr>
          <xdr:grpSpPr>
            <a:xfrm>
              <a:off x="3696269" y="23622000"/>
              <a:ext cx="1956179" cy="1910687"/>
              <a:chOff x="2995478" y="3846755"/>
              <a:chExt cx="1960181" cy="1644868"/>
            </a:xfrm>
          </xdr:grpSpPr>
          <xdr:sp macro="" textlink="">
            <xdr:nvSpPr>
              <xdr:cNvPr id="155721" name="Option Button 73" hidden="1">
                <a:extLst>
                  <a:ext uri="{63B3BB69-23CF-44E3-9099-C40C66FF867C}">
                    <a14:compatExt spid="_x0000_s155721"/>
                  </a:ext>
                  <a:ext uri="{FF2B5EF4-FFF2-40B4-BE49-F238E27FC236}">
                    <a16:creationId xmlns:a16="http://schemas.microsoft.com/office/drawing/2014/main" id="{00000000-0008-0000-1100-000049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22" name="Option Button 74" hidden="1">
                <a:extLst>
                  <a:ext uri="{63B3BB69-23CF-44E3-9099-C40C66FF867C}">
                    <a14:compatExt spid="_x0000_s155722"/>
                  </a:ext>
                  <a:ext uri="{FF2B5EF4-FFF2-40B4-BE49-F238E27FC236}">
                    <a16:creationId xmlns:a16="http://schemas.microsoft.com/office/drawing/2014/main" id="{00000000-0008-0000-1100-00004A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23" name="Option Button 75" hidden="1">
                <a:extLst>
                  <a:ext uri="{63B3BB69-23CF-44E3-9099-C40C66FF867C}">
                    <a14:compatExt spid="_x0000_s155723"/>
                  </a:ext>
                  <a:ext uri="{FF2B5EF4-FFF2-40B4-BE49-F238E27FC236}">
                    <a16:creationId xmlns:a16="http://schemas.microsoft.com/office/drawing/2014/main" id="{00000000-0008-0000-1100-00004B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24" name="Option Button 76" hidden="1">
                <a:extLst>
                  <a:ext uri="{63B3BB69-23CF-44E3-9099-C40C66FF867C}">
                    <a14:compatExt spid="_x0000_s155724"/>
                  </a:ext>
                  <a:ext uri="{FF2B5EF4-FFF2-40B4-BE49-F238E27FC236}">
                    <a16:creationId xmlns:a16="http://schemas.microsoft.com/office/drawing/2014/main" id="{00000000-0008-0000-1100-00004C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25" name="Group Box 77" hidden="1">
                <a:extLst>
                  <a:ext uri="{63B3BB69-23CF-44E3-9099-C40C66FF867C}">
                    <a14:compatExt spid="_x0000_s155725"/>
                  </a:ext>
                  <a:ext uri="{FF2B5EF4-FFF2-40B4-BE49-F238E27FC236}">
                    <a16:creationId xmlns:a16="http://schemas.microsoft.com/office/drawing/2014/main" id="{00000000-0008-0000-1100-00004D600200}"/>
                  </a:ext>
                </a:extLst>
              </xdr:cNvPr>
              <xdr:cNvSpPr/>
            </xdr:nvSpPr>
            <xdr:spPr bwMode="auto">
              <a:xfrm>
                <a:off x="2995478" y="3846755"/>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2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2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1200-000024000000}"/>
                </a:ext>
              </a:extLst>
            </xdr:cNvPr>
            <xdr:cNvGrpSpPr/>
          </xdr:nvGrpSpPr>
          <xdr:grpSpPr>
            <a:xfrm>
              <a:off x="3696506" y="27181791"/>
              <a:ext cx="1955942" cy="1522150"/>
              <a:chOff x="2994708" y="2201918"/>
              <a:chExt cx="1960968" cy="1646925"/>
            </a:xfrm>
          </xdr:grpSpPr>
          <xdr:sp macro="" textlink="">
            <xdr:nvSpPr>
              <xdr:cNvPr id="155726" name="Option Button 78" descr="Case d'option 47" hidden="1">
                <a:extLst>
                  <a:ext uri="{63B3BB69-23CF-44E3-9099-C40C66FF867C}">
                    <a14:compatExt spid="_x0000_s155726"/>
                  </a:ext>
                  <a:ext uri="{FF2B5EF4-FFF2-40B4-BE49-F238E27FC236}">
                    <a16:creationId xmlns:a16="http://schemas.microsoft.com/office/drawing/2014/main" id="{00000000-0008-0000-1100-00004E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27" name="Option Button 79" hidden="1">
                <a:extLst>
                  <a:ext uri="{63B3BB69-23CF-44E3-9099-C40C66FF867C}">
                    <a14:compatExt spid="_x0000_s155727"/>
                  </a:ext>
                  <a:ext uri="{FF2B5EF4-FFF2-40B4-BE49-F238E27FC236}">
                    <a16:creationId xmlns:a16="http://schemas.microsoft.com/office/drawing/2014/main" id="{00000000-0008-0000-1100-00004F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28" name="Option Button 80" hidden="1">
                <a:extLst>
                  <a:ext uri="{63B3BB69-23CF-44E3-9099-C40C66FF867C}">
                    <a14:compatExt spid="_x0000_s155728"/>
                  </a:ext>
                  <a:ext uri="{FF2B5EF4-FFF2-40B4-BE49-F238E27FC236}">
                    <a16:creationId xmlns:a16="http://schemas.microsoft.com/office/drawing/2014/main" id="{00000000-0008-0000-1100-000050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29" name="Option Button 81" hidden="1">
                <a:extLst>
                  <a:ext uri="{63B3BB69-23CF-44E3-9099-C40C66FF867C}">
                    <a14:compatExt spid="_x0000_s155729"/>
                  </a:ext>
                  <a:ext uri="{FF2B5EF4-FFF2-40B4-BE49-F238E27FC236}">
                    <a16:creationId xmlns:a16="http://schemas.microsoft.com/office/drawing/2014/main" id="{00000000-0008-0000-1100-000051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30" name="Group Box 82" hidden="1">
                <a:extLst>
                  <a:ext uri="{63B3BB69-23CF-44E3-9099-C40C66FF867C}">
                    <a14:compatExt spid="_x0000_s155730"/>
                  </a:ext>
                  <a:ext uri="{FF2B5EF4-FFF2-40B4-BE49-F238E27FC236}">
                    <a16:creationId xmlns:a16="http://schemas.microsoft.com/office/drawing/2014/main" id="{00000000-0008-0000-1100-000052600200}"/>
                  </a:ext>
                </a:extLst>
              </xdr:cNvPr>
              <xdr:cNvSpPr/>
            </xdr:nvSpPr>
            <xdr:spPr bwMode="auto">
              <a:xfrm>
                <a:off x="2994708"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200-000025000000}"/>
                </a:ext>
              </a:extLst>
            </xdr:cNvPr>
            <xdr:cNvGrpSpPr/>
          </xdr:nvGrpSpPr>
          <xdr:grpSpPr>
            <a:xfrm>
              <a:off x="3696269" y="25532687"/>
              <a:ext cx="1956179" cy="1649104"/>
              <a:chOff x="2994708" y="2201896"/>
              <a:chExt cx="1960968" cy="1646922"/>
            </a:xfrm>
          </xdr:grpSpPr>
          <xdr:sp macro="" textlink="">
            <xdr:nvSpPr>
              <xdr:cNvPr id="155731" name="Option Button 83" descr="Case d'option 47" hidden="1">
                <a:extLst>
                  <a:ext uri="{63B3BB69-23CF-44E3-9099-C40C66FF867C}">
                    <a14:compatExt spid="_x0000_s155731"/>
                  </a:ext>
                  <a:ext uri="{FF2B5EF4-FFF2-40B4-BE49-F238E27FC236}">
                    <a16:creationId xmlns:a16="http://schemas.microsoft.com/office/drawing/2014/main" id="{00000000-0008-0000-1100-000053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32" name="Option Button 84" hidden="1">
                <a:extLst>
                  <a:ext uri="{63B3BB69-23CF-44E3-9099-C40C66FF867C}">
                    <a14:compatExt spid="_x0000_s155732"/>
                  </a:ext>
                  <a:ext uri="{FF2B5EF4-FFF2-40B4-BE49-F238E27FC236}">
                    <a16:creationId xmlns:a16="http://schemas.microsoft.com/office/drawing/2014/main" id="{00000000-0008-0000-1100-000054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33" name="Option Button 85" hidden="1">
                <a:extLst>
                  <a:ext uri="{63B3BB69-23CF-44E3-9099-C40C66FF867C}">
                    <a14:compatExt spid="_x0000_s155733"/>
                  </a:ext>
                  <a:ext uri="{FF2B5EF4-FFF2-40B4-BE49-F238E27FC236}">
                    <a16:creationId xmlns:a16="http://schemas.microsoft.com/office/drawing/2014/main" id="{00000000-0008-0000-1100-000055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34" name="Option Button 86" hidden="1">
                <a:extLst>
                  <a:ext uri="{63B3BB69-23CF-44E3-9099-C40C66FF867C}">
                    <a14:compatExt spid="_x0000_s155734"/>
                  </a:ext>
                  <a:ext uri="{FF2B5EF4-FFF2-40B4-BE49-F238E27FC236}">
                    <a16:creationId xmlns:a16="http://schemas.microsoft.com/office/drawing/2014/main" id="{00000000-0008-0000-1100-000056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35" name="Group Box 87" hidden="1">
                <a:extLst>
                  <a:ext uri="{63B3BB69-23CF-44E3-9099-C40C66FF867C}">
                    <a14:compatExt spid="_x0000_s155735"/>
                  </a:ext>
                  <a:ext uri="{FF2B5EF4-FFF2-40B4-BE49-F238E27FC236}">
                    <a16:creationId xmlns:a16="http://schemas.microsoft.com/office/drawing/2014/main" id="{00000000-0008-0000-1100-000057600200}"/>
                  </a:ext>
                </a:extLst>
              </xdr:cNvPr>
              <xdr:cNvSpPr/>
            </xdr:nvSpPr>
            <xdr:spPr bwMode="auto">
              <a:xfrm>
                <a:off x="2994708" y="2201896"/>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2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200-000028000000}"/>
                </a:ext>
              </a:extLst>
            </xdr:cNvPr>
            <xdr:cNvGrpSpPr/>
          </xdr:nvGrpSpPr>
          <xdr:grpSpPr>
            <a:xfrm>
              <a:off x="3696269" y="34164896"/>
              <a:ext cx="1956179" cy="1649104"/>
              <a:chOff x="2995478" y="3846759"/>
              <a:chExt cx="1960181" cy="1644867"/>
            </a:xfrm>
          </xdr:grpSpPr>
          <xdr:sp macro="" textlink="">
            <xdr:nvSpPr>
              <xdr:cNvPr id="155736" name="Option Button 88" hidden="1">
                <a:extLst>
                  <a:ext uri="{63B3BB69-23CF-44E3-9099-C40C66FF867C}">
                    <a14:compatExt spid="_x0000_s155736"/>
                  </a:ext>
                  <a:ext uri="{FF2B5EF4-FFF2-40B4-BE49-F238E27FC236}">
                    <a16:creationId xmlns:a16="http://schemas.microsoft.com/office/drawing/2014/main" id="{00000000-0008-0000-1100-000058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37" name="Option Button 89" hidden="1">
                <a:extLst>
                  <a:ext uri="{63B3BB69-23CF-44E3-9099-C40C66FF867C}">
                    <a14:compatExt spid="_x0000_s155737"/>
                  </a:ext>
                  <a:ext uri="{FF2B5EF4-FFF2-40B4-BE49-F238E27FC236}">
                    <a16:creationId xmlns:a16="http://schemas.microsoft.com/office/drawing/2014/main" id="{00000000-0008-0000-1100-000059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38" name="Option Button 90" hidden="1">
                <a:extLst>
                  <a:ext uri="{63B3BB69-23CF-44E3-9099-C40C66FF867C}">
                    <a14:compatExt spid="_x0000_s155738"/>
                  </a:ext>
                  <a:ext uri="{FF2B5EF4-FFF2-40B4-BE49-F238E27FC236}">
                    <a16:creationId xmlns:a16="http://schemas.microsoft.com/office/drawing/2014/main" id="{00000000-0008-0000-1100-00005A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39" name="Option Button 91" hidden="1">
                <a:extLst>
                  <a:ext uri="{63B3BB69-23CF-44E3-9099-C40C66FF867C}">
                    <a14:compatExt spid="_x0000_s155739"/>
                  </a:ext>
                  <a:ext uri="{FF2B5EF4-FFF2-40B4-BE49-F238E27FC236}">
                    <a16:creationId xmlns:a16="http://schemas.microsoft.com/office/drawing/2014/main" id="{00000000-0008-0000-1100-00005B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40" name="Group Box 92" hidden="1">
                <a:extLst>
                  <a:ext uri="{63B3BB69-23CF-44E3-9099-C40C66FF867C}">
                    <a14:compatExt spid="_x0000_s155740"/>
                  </a:ext>
                  <a:ext uri="{FF2B5EF4-FFF2-40B4-BE49-F238E27FC236}">
                    <a16:creationId xmlns:a16="http://schemas.microsoft.com/office/drawing/2014/main" id="{00000000-0008-0000-1100-00005C600200}"/>
                  </a:ext>
                </a:extLst>
              </xdr:cNvPr>
              <xdr:cNvSpPr/>
            </xdr:nvSpPr>
            <xdr:spPr bwMode="auto">
              <a:xfrm>
                <a:off x="2995478" y="3846759"/>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200-000029000000}"/>
                </a:ext>
              </a:extLst>
            </xdr:cNvPr>
            <xdr:cNvGrpSpPr/>
          </xdr:nvGrpSpPr>
          <xdr:grpSpPr>
            <a:xfrm>
              <a:off x="3696269" y="32515791"/>
              <a:ext cx="1956179" cy="1651160"/>
              <a:chOff x="2994712" y="2201912"/>
              <a:chExt cx="1960968" cy="1646922"/>
            </a:xfrm>
          </xdr:grpSpPr>
          <xdr:sp macro="" textlink="">
            <xdr:nvSpPr>
              <xdr:cNvPr id="155741" name="Option Button 93" descr="Case d'option 47" hidden="1">
                <a:extLst>
                  <a:ext uri="{63B3BB69-23CF-44E3-9099-C40C66FF867C}">
                    <a14:compatExt spid="_x0000_s155741"/>
                  </a:ext>
                  <a:ext uri="{FF2B5EF4-FFF2-40B4-BE49-F238E27FC236}">
                    <a16:creationId xmlns:a16="http://schemas.microsoft.com/office/drawing/2014/main" id="{00000000-0008-0000-1100-00005D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42" name="Option Button 94" hidden="1">
                <a:extLst>
                  <a:ext uri="{63B3BB69-23CF-44E3-9099-C40C66FF867C}">
                    <a14:compatExt spid="_x0000_s155742"/>
                  </a:ext>
                  <a:ext uri="{FF2B5EF4-FFF2-40B4-BE49-F238E27FC236}">
                    <a16:creationId xmlns:a16="http://schemas.microsoft.com/office/drawing/2014/main" id="{00000000-0008-0000-1100-00005E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43" name="Option Button 95" hidden="1">
                <a:extLst>
                  <a:ext uri="{63B3BB69-23CF-44E3-9099-C40C66FF867C}">
                    <a14:compatExt spid="_x0000_s155743"/>
                  </a:ext>
                  <a:ext uri="{FF2B5EF4-FFF2-40B4-BE49-F238E27FC236}">
                    <a16:creationId xmlns:a16="http://schemas.microsoft.com/office/drawing/2014/main" id="{00000000-0008-0000-1100-00005F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44" name="Option Button 96" hidden="1">
                <a:extLst>
                  <a:ext uri="{63B3BB69-23CF-44E3-9099-C40C66FF867C}">
                    <a14:compatExt spid="_x0000_s155744"/>
                  </a:ext>
                  <a:ext uri="{FF2B5EF4-FFF2-40B4-BE49-F238E27FC236}">
                    <a16:creationId xmlns:a16="http://schemas.microsoft.com/office/drawing/2014/main" id="{00000000-0008-0000-1100-000060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45" name="Group Box 97" hidden="1">
                <a:extLst>
                  <a:ext uri="{63B3BB69-23CF-44E3-9099-C40C66FF867C}">
                    <a14:compatExt spid="_x0000_s155745"/>
                  </a:ext>
                  <a:ext uri="{FF2B5EF4-FFF2-40B4-BE49-F238E27FC236}">
                    <a16:creationId xmlns:a16="http://schemas.microsoft.com/office/drawing/2014/main" id="{00000000-0008-0000-1100-000061600200}"/>
                  </a:ext>
                </a:extLst>
              </xdr:cNvPr>
              <xdr:cNvSpPr/>
            </xdr:nvSpPr>
            <xdr:spPr bwMode="auto">
              <a:xfrm>
                <a:off x="2994712"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2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2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2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2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200-00002F000000}"/>
                </a:ext>
              </a:extLst>
            </xdr:cNvPr>
            <xdr:cNvGrpSpPr/>
          </xdr:nvGrpSpPr>
          <xdr:grpSpPr>
            <a:xfrm>
              <a:off x="3699437" y="37463104"/>
              <a:ext cx="1953011" cy="1649105"/>
              <a:chOff x="2994665" y="2201914"/>
              <a:chExt cx="1960968" cy="1646923"/>
            </a:xfrm>
          </xdr:grpSpPr>
          <xdr:sp macro="" textlink="">
            <xdr:nvSpPr>
              <xdr:cNvPr id="155752" name="Option Button 104" descr="Case d'option 47" hidden="1">
                <a:extLst>
                  <a:ext uri="{63B3BB69-23CF-44E3-9099-C40C66FF867C}">
                    <a14:compatExt spid="_x0000_s155752"/>
                  </a:ext>
                  <a:ext uri="{FF2B5EF4-FFF2-40B4-BE49-F238E27FC236}">
                    <a16:creationId xmlns:a16="http://schemas.microsoft.com/office/drawing/2014/main" id="{00000000-0008-0000-1100-000068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53" name="Option Button 105" hidden="1">
                <a:extLst>
                  <a:ext uri="{63B3BB69-23CF-44E3-9099-C40C66FF867C}">
                    <a14:compatExt spid="_x0000_s155753"/>
                  </a:ext>
                  <a:ext uri="{FF2B5EF4-FFF2-40B4-BE49-F238E27FC236}">
                    <a16:creationId xmlns:a16="http://schemas.microsoft.com/office/drawing/2014/main" id="{00000000-0008-0000-1100-000069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54" name="Option Button 106" hidden="1">
                <a:extLst>
                  <a:ext uri="{63B3BB69-23CF-44E3-9099-C40C66FF867C}">
                    <a14:compatExt spid="_x0000_s155754"/>
                  </a:ext>
                  <a:ext uri="{FF2B5EF4-FFF2-40B4-BE49-F238E27FC236}">
                    <a16:creationId xmlns:a16="http://schemas.microsoft.com/office/drawing/2014/main" id="{00000000-0008-0000-1100-00006A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55" name="Option Button 107" hidden="1">
                <a:extLst>
                  <a:ext uri="{63B3BB69-23CF-44E3-9099-C40C66FF867C}">
                    <a14:compatExt spid="_x0000_s155755"/>
                  </a:ext>
                  <a:ext uri="{FF2B5EF4-FFF2-40B4-BE49-F238E27FC236}">
                    <a16:creationId xmlns:a16="http://schemas.microsoft.com/office/drawing/2014/main" id="{00000000-0008-0000-1100-00006B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56" name="Group Box 108" hidden="1">
                <a:extLst>
                  <a:ext uri="{63B3BB69-23CF-44E3-9099-C40C66FF867C}">
                    <a14:compatExt spid="_x0000_s155756"/>
                  </a:ext>
                  <a:ext uri="{FF2B5EF4-FFF2-40B4-BE49-F238E27FC236}">
                    <a16:creationId xmlns:a16="http://schemas.microsoft.com/office/drawing/2014/main" id="{00000000-0008-0000-1100-00006C600200}"/>
                  </a:ext>
                </a:extLst>
              </xdr:cNvPr>
              <xdr:cNvSpPr/>
            </xdr:nvSpPr>
            <xdr:spPr bwMode="auto">
              <a:xfrm>
                <a:off x="2994665" y="2201914"/>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200-000030000000}"/>
                </a:ext>
              </a:extLst>
            </xdr:cNvPr>
            <xdr:cNvGrpSpPr/>
          </xdr:nvGrpSpPr>
          <xdr:grpSpPr>
            <a:xfrm>
              <a:off x="3696269" y="35814000"/>
              <a:ext cx="1956179" cy="1649104"/>
              <a:chOff x="2994708" y="2201923"/>
              <a:chExt cx="1960968" cy="1646929"/>
            </a:xfrm>
          </xdr:grpSpPr>
          <xdr:sp macro="" textlink="">
            <xdr:nvSpPr>
              <xdr:cNvPr id="155757" name="Option Button 109" descr="Case d'option 47" hidden="1">
                <a:extLst>
                  <a:ext uri="{63B3BB69-23CF-44E3-9099-C40C66FF867C}">
                    <a14:compatExt spid="_x0000_s155757"/>
                  </a:ext>
                  <a:ext uri="{FF2B5EF4-FFF2-40B4-BE49-F238E27FC236}">
                    <a16:creationId xmlns:a16="http://schemas.microsoft.com/office/drawing/2014/main" id="{00000000-0008-0000-1100-00006D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58" name="Option Button 110" hidden="1">
                <a:extLst>
                  <a:ext uri="{63B3BB69-23CF-44E3-9099-C40C66FF867C}">
                    <a14:compatExt spid="_x0000_s155758"/>
                  </a:ext>
                  <a:ext uri="{FF2B5EF4-FFF2-40B4-BE49-F238E27FC236}">
                    <a16:creationId xmlns:a16="http://schemas.microsoft.com/office/drawing/2014/main" id="{00000000-0008-0000-1100-00006E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59" name="Option Button 111" hidden="1">
                <a:extLst>
                  <a:ext uri="{63B3BB69-23CF-44E3-9099-C40C66FF867C}">
                    <a14:compatExt spid="_x0000_s155759"/>
                  </a:ext>
                  <a:ext uri="{FF2B5EF4-FFF2-40B4-BE49-F238E27FC236}">
                    <a16:creationId xmlns:a16="http://schemas.microsoft.com/office/drawing/2014/main" id="{00000000-0008-0000-1100-00006F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60" name="Option Button 112" hidden="1">
                <a:extLst>
                  <a:ext uri="{63B3BB69-23CF-44E3-9099-C40C66FF867C}">
                    <a14:compatExt spid="_x0000_s155760"/>
                  </a:ext>
                  <a:ext uri="{FF2B5EF4-FFF2-40B4-BE49-F238E27FC236}">
                    <a16:creationId xmlns:a16="http://schemas.microsoft.com/office/drawing/2014/main" id="{00000000-0008-0000-1100-000070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61" name="Group Box 113" hidden="1">
                <a:extLst>
                  <a:ext uri="{63B3BB69-23CF-44E3-9099-C40C66FF867C}">
                    <a14:compatExt spid="_x0000_s155761"/>
                  </a:ext>
                  <a:ext uri="{FF2B5EF4-FFF2-40B4-BE49-F238E27FC236}">
                    <a16:creationId xmlns:a16="http://schemas.microsoft.com/office/drawing/2014/main" id="{00000000-0008-0000-1100-000071600200}"/>
                  </a:ext>
                </a:extLst>
              </xdr:cNvPr>
              <xdr:cNvSpPr/>
            </xdr:nvSpPr>
            <xdr:spPr bwMode="auto">
              <a:xfrm>
                <a:off x="2994708" y="2201923"/>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2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200-000034000000}"/>
                </a:ext>
              </a:extLst>
            </xdr:cNvPr>
            <xdr:cNvGrpSpPr/>
          </xdr:nvGrpSpPr>
          <xdr:grpSpPr>
            <a:xfrm>
              <a:off x="3696269" y="43240657"/>
              <a:ext cx="1956179" cy="1649104"/>
              <a:chOff x="2995478" y="3846753"/>
              <a:chExt cx="1960181" cy="1644867"/>
            </a:xfrm>
          </xdr:grpSpPr>
          <xdr:sp macro="" textlink="">
            <xdr:nvSpPr>
              <xdr:cNvPr id="155767" name="Option Button 119" hidden="1">
                <a:extLst>
                  <a:ext uri="{63B3BB69-23CF-44E3-9099-C40C66FF867C}">
                    <a14:compatExt spid="_x0000_s155767"/>
                  </a:ext>
                  <a:ext uri="{FF2B5EF4-FFF2-40B4-BE49-F238E27FC236}">
                    <a16:creationId xmlns:a16="http://schemas.microsoft.com/office/drawing/2014/main" id="{00000000-0008-0000-1100-000077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68" name="Option Button 120" hidden="1">
                <a:extLst>
                  <a:ext uri="{63B3BB69-23CF-44E3-9099-C40C66FF867C}">
                    <a14:compatExt spid="_x0000_s155768"/>
                  </a:ext>
                  <a:ext uri="{FF2B5EF4-FFF2-40B4-BE49-F238E27FC236}">
                    <a16:creationId xmlns:a16="http://schemas.microsoft.com/office/drawing/2014/main" id="{00000000-0008-0000-1100-000078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69" name="Option Button 121" hidden="1">
                <a:extLst>
                  <a:ext uri="{63B3BB69-23CF-44E3-9099-C40C66FF867C}">
                    <a14:compatExt spid="_x0000_s155769"/>
                  </a:ext>
                  <a:ext uri="{FF2B5EF4-FFF2-40B4-BE49-F238E27FC236}">
                    <a16:creationId xmlns:a16="http://schemas.microsoft.com/office/drawing/2014/main" id="{00000000-0008-0000-1100-000079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70" name="Option Button 122" hidden="1">
                <a:extLst>
                  <a:ext uri="{63B3BB69-23CF-44E3-9099-C40C66FF867C}">
                    <a14:compatExt spid="_x0000_s155770"/>
                  </a:ext>
                  <a:ext uri="{FF2B5EF4-FFF2-40B4-BE49-F238E27FC236}">
                    <a16:creationId xmlns:a16="http://schemas.microsoft.com/office/drawing/2014/main" id="{00000000-0008-0000-1100-00007A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71" name="Group Box 123" hidden="1">
                <a:extLst>
                  <a:ext uri="{63B3BB69-23CF-44E3-9099-C40C66FF867C}">
                    <a14:compatExt spid="_x0000_s155771"/>
                  </a:ext>
                  <a:ext uri="{FF2B5EF4-FFF2-40B4-BE49-F238E27FC236}">
                    <a16:creationId xmlns:a16="http://schemas.microsoft.com/office/drawing/2014/main" id="{00000000-0008-0000-1100-00007B600200}"/>
                  </a:ext>
                </a:extLst>
              </xdr:cNvPr>
              <xdr:cNvSpPr/>
            </xdr:nvSpPr>
            <xdr:spPr bwMode="auto">
              <a:xfrm>
                <a:off x="2995478" y="3846753"/>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200-000035000000}"/>
                </a:ext>
              </a:extLst>
            </xdr:cNvPr>
            <xdr:cNvGrpSpPr/>
          </xdr:nvGrpSpPr>
          <xdr:grpSpPr>
            <a:xfrm>
              <a:off x="3696269" y="41591552"/>
              <a:ext cx="1956179" cy="1651160"/>
              <a:chOff x="2994712" y="2201912"/>
              <a:chExt cx="1960968" cy="1646922"/>
            </a:xfrm>
          </xdr:grpSpPr>
          <xdr:sp macro="" textlink="">
            <xdr:nvSpPr>
              <xdr:cNvPr id="155772" name="Option Button 124" descr="Case d'option 47" hidden="1">
                <a:extLst>
                  <a:ext uri="{63B3BB69-23CF-44E3-9099-C40C66FF867C}">
                    <a14:compatExt spid="_x0000_s155772"/>
                  </a:ext>
                  <a:ext uri="{FF2B5EF4-FFF2-40B4-BE49-F238E27FC236}">
                    <a16:creationId xmlns:a16="http://schemas.microsoft.com/office/drawing/2014/main" id="{00000000-0008-0000-1100-00007C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73" name="Option Button 125" hidden="1">
                <a:extLst>
                  <a:ext uri="{63B3BB69-23CF-44E3-9099-C40C66FF867C}">
                    <a14:compatExt spid="_x0000_s155773"/>
                  </a:ext>
                  <a:ext uri="{FF2B5EF4-FFF2-40B4-BE49-F238E27FC236}">
                    <a16:creationId xmlns:a16="http://schemas.microsoft.com/office/drawing/2014/main" id="{00000000-0008-0000-1100-00007D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74" name="Option Button 126" hidden="1">
                <a:extLst>
                  <a:ext uri="{63B3BB69-23CF-44E3-9099-C40C66FF867C}">
                    <a14:compatExt spid="_x0000_s155774"/>
                  </a:ext>
                  <a:ext uri="{FF2B5EF4-FFF2-40B4-BE49-F238E27FC236}">
                    <a16:creationId xmlns:a16="http://schemas.microsoft.com/office/drawing/2014/main" id="{00000000-0008-0000-1100-00007E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75" name="Option Button 127" hidden="1">
                <a:extLst>
                  <a:ext uri="{63B3BB69-23CF-44E3-9099-C40C66FF867C}">
                    <a14:compatExt spid="_x0000_s155775"/>
                  </a:ext>
                  <a:ext uri="{FF2B5EF4-FFF2-40B4-BE49-F238E27FC236}">
                    <a16:creationId xmlns:a16="http://schemas.microsoft.com/office/drawing/2014/main" id="{00000000-0008-0000-1100-00007F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76" name="Group Box 128" hidden="1">
                <a:extLst>
                  <a:ext uri="{63B3BB69-23CF-44E3-9099-C40C66FF867C}">
                    <a14:compatExt spid="_x0000_s155776"/>
                  </a:ext>
                  <a:ext uri="{FF2B5EF4-FFF2-40B4-BE49-F238E27FC236}">
                    <a16:creationId xmlns:a16="http://schemas.microsoft.com/office/drawing/2014/main" id="{00000000-0008-0000-1100-000080600200}"/>
                  </a:ext>
                </a:extLst>
              </xdr:cNvPr>
              <xdr:cNvSpPr/>
            </xdr:nvSpPr>
            <xdr:spPr bwMode="auto">
              <a:xfrm>
                <a:off x="2994712"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2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2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2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1200-000039000000}"/>
                </a:ext>
              </a:extLst>
            </xdr:cNvPr>
            <xdr:cNvGrpSpPr/>
          </xdr:nvGrpSpPr>
          <xdr:grpSpPr>
            <a:xfrm>
              <a:off x="3696269" y="48187973"/>
              <a:ext cx="1956179" cy="1649105"/>
              <a:chOff x="2995478" y="3846759"/>
              <a:chExt cx="1960181" cy="1644868"/>
            </a:xfrm>
          </xdr:grpSpPr>
          <xdr:sp macro="" textlink="">
            <xdr:nvSpPr>
              <xdr:cNvPr id="155777" name="Option Button 129" hidden="1">
                <a:extLst>
                  <a:ext uri="{63B3BB69-23CF-44E3-9099-C40C66FF867C}">
                    <a14:compatExt spid="_x0000_s155777"/>
                  </a:ext>
                  <a:ext uri="{FF2B5EF4-FFF2-40B4-BE49-F238E27FC236}">
                    <a16:creationId xmlns:a16="http://schemas.microsoft.com/office/drawing/2014/main" id="{00000000-0008-0000-1100-000081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78" name="Option Button 130" hidden="1">
                <a:extLst>
                  <a:ext uri="{63B3BB69-23CF-44E3-9099-C40C66FF867C}">
                    <a14:compatExt spid="_x0000_s155778"/>
                  </a:ext>
                  <a:ext uri="{FF2B5EF4-FFF2-40B4-BE49-F238E27FC236}">
                    <a16:creationId xmlns:a16="http://schemas.microsoft.com/office/drawing/2014/main" id="{00000000-0008-0000-1100-000082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79" name="Option Button 131" hidden="1">
                <a:extLst>
                  <a:ext uri="{63B3BB69-23CF-44E3-9099-C40C66FF867C}">
                    <a14:compatExt spid="_x0000_s155779"/>
                  </a:ext>
                  <a:ext uri="{FF2B5EF4-FFF2-40B4-BE49-F238E27FC236}">
                    <a16:creationId xmlns:a16="http://schemas.microsoft.com/office/drawing/2014/main" id="{00000000-0008-0000-1100-000083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80" name="Option Button 132" hidden="1">
                <a:extLst>
                  <a:ext uri="{63B3BB69-23CF-44E3-9099-C40C66FF867C}">
                    <a14:compatExt spid="_x0000_s155780"/>
                  </a:ext>
                  <a:ext uri="{FF2B5EF4-FFF2-40B4-BE49-F238E27FC236}">
                    <a16:creationId xmlns:a16="http://schemas.microsoft.com/office/drawing/2014/main" id="{00000000-0008-0000-1100-000084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81" name="Group Box 133" hidden="1">
                <a:extLst>
                  <a:ext uri="{63B3BB69-23CF-44E3-9099-C40C66FF867C}">
                    <a14:compatExt spid="_x0000_s155781"/>
                  </a:ext>
                  <a:ext uri="{FF2B5EF4-FFF2-40B4-BE49-F238E27FC236}">
                    <a16:creationId xmlns:a16="http://schemas.microsoft.com/office/drawing/2014/main" id="{00000000-0008-0000-1100-000085600200}"/>
                  </a:ext>
                </a:extLst>
              </xdr:cNvPr>
              <xdr:cNvSpPr/>
            </xdr:nvSpPr>
            <xdr:spPr bwMode="auto">
              <a:xfrm>
                <a:off x="2995478" y="3846759"/>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200-00003A000000}"/>
                </a:ext>
              </a:extLst>
            </xdr:cNvPr>
            <xdr:cNvGrpSpPr/>
          </xdr:nvGrpSpPr>
          <xdr:grpSpPr>
            <a:xfrm>
              <a:off x="3699437" y="46538866"/>
              <a:ext cx="1953011" cy="1651162"/>
              <a:chOff x="2994665" y="2201917"/>
              <a:chExt cx="1960968" cy="1646925"/>
            </a:xfrm>
          </xdr:grpSpPr>
          <xdr:sp macro="" textlink="">
            <xdr:nvSpPr>
              <xdr:cNvPr id="155782" name="Option Button 134" descr="Case d'option 47" hidden="1">
                <a:extLst>
                  <a:ext uri="{63B3BB69-23CF-44E3-9099-C40C66FF867C}">
                    <a14:compatExt spid="_x0000_s155782"/>
                  </a:ext>
                  <a:ext uri="{FF2B5EF4-FFF2-40B4-BE49-F238E27FC236}">
                    <a16:creationId xmlns:a16="http://schemas.microsoft.com/office/drawing/2014/main" id="{00000000-0008-0000-1100-000086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83" name="Option Button 135" hidden="1">
                <a:extLst>
                  <a:ext uri="{63B3BB69-23CF-44E3-9099-C40C66FF867C}">
                    <a14:compatExt spid="_x0000_s155783"/>
                  </a:ext>
                  <a:ext uri="{FF2B5EF4-FFF2-40B4-BE49-F238E27FC236}">
                    <a16:creationId xmlns:a16="http://schemas.microsoft.com/office/drawing/2014/main" id="{00000000-0008-0000-1100-000087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84" name="Option Button 136" hidden="1">
                <a:extLst>
                  <a:ext uri="{63B3BB69-23CF-44E3-9099-C40C66FF867C}">
                    <a14:compatExt spid="_x0000_s155784"/>
                  </a:ext>
                  <a:ext uri="{FF2B5EF4-FFF2-40B4-BE49-F238E27FC236}">
                    <a16:creationId xmlns:a16="http://schemas.microsoft.com/office/drawing/2014/main" id="{00000000-0008-0000-1100-000088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85" name="Option Button 137" hidden="1">
                <a:extLst>
                  <a:ext uri="{63B3BB69-23CF-44E3-9099-C40C66FF867C}">
                    <a14:compatExt spid="_x0000_s155785"/>
                  </a:ext>
                  <a:ext uri="{FF2B5EF4-FFF2-40B4-BE49-F238E27FC236}">
                    <a16:creationId xmlns:a16="http://schemas.microsoft.com/office/drawing/2014/main" id="{00000000-0008-0000-1100-000089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86" name="Group Box 138" hidden="1">
                <a:extLst>
                  <a:ext uri="{63B3BB69-23CF-44E3-9099-C40C66FF867C}">
                    <a14:compatExt spid="_x0000_s155786"/>
                  </a:ext>
                  <a:ext uri="{FF2B5EF4-FFF2-40B4-BE49-F238E27FC236}">
                    <a16:creationId xmlns:a16="http://schemas.microsoft.com/office/drawing/2014/main" id="{00000000-0008-0000-1100-00008A600200}"/>
                  </a:ext>
                </a:extLst>
              </xdr:cNvPr>
              <xdr:cNvSpPr/>
            </xdr:nvSpPr>
            <xdr:spPr bwMode="auto">
              <a:xfrm>
                <a:off x="2994665" y="2201917"/>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200-00003B000000}"/>
                </a:ext>
              </a:extLst>
            </xdr:cNvPr>
            <xdr:cNvGrpSpPr/>
          </xdr:nvGrpSpPr>
          <xdr:grpSpPr>
            <a:xfrm>
              <a:off x="3696269" y="44889761"/>
              <a:ext cx="1956179" cy="1649105"/>
              <a:chOff x="2994708" y="2201921"/>
              <a:chExt cx="1960968" cy="1646930"/>
            </a:xfrm>
          </xdr:grpSpPr>
          <xdr:sp macro="" textlink="">
            <xdr:nvSpPr>
              <xdr:cNvPr id="155787" name="Option Button 139" descr="Case d'option 47" hidden="1">
                <a:extLst>
                  <a:ext uri="{63B3BB69-23CF-44E3-9099-C40C66FF867C}">
                    <a14:compatExt spid="_x0000_s155787"/>
                  </a:ext>
                  <a:ext uri="{FF2B5EF4-FFF2-40B4-BE49-F238E27FC236}">
                    <a16:creationId xmlns:a16="http://schemas.microsoft.com/office/drawing/2014/main" id="{00000000-0008-0000-1100-00008B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88" name="Option Button 140" hidden="1">
                <a:extLst>
                  <a:ext uri="{63B3BB69-23CF-44E3-9099-C40C66FF867C}">
                    <a14:compatExt spid="_x0000_s155788"/>
                  </a:ext>
                  <a:ext uri="{FF2B5EF4-FFF2-40B4-BE49-F238E27FC236}">
                    <a16:creationId xmlns:a16="http://schemas.microsoft.com/office/drawing/2014/main" id="{00000000-0008-0000-1100-00008C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89" name="Option Button 141" hidden="1">
                <a:extLst>
                  <a:ext uri="{63B3BB69-23CF-44E3-9099-C40C66FF867C}">
                    <a14:compatExt spid="_x0000_s155789"/>
                  </a:ext>
                  <a:ext uri="{FF2B5EF4-FFF2-40B4-BE49-F238E27FC236}">
                    <a16:creationId xmlns:a16="http://schemas.microsoft.com/office/drawing/2014/main" id="{00000000-0008-0000-1100-00008D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90" name="Option Button 142" hidden="1">
                <a:extLst>
                  <a:ext uri="{63B3BB69-23CF-44E3-9099-C40C66FF867C}">
                    <a14:compatExt spid="_x0000_s155790"/>
                  </a:ext>
                  <a:ext uri="{FF2B5EF4-FFF2-40B4-BE49-F238E27FC236}">
                    <a16:creationId xmlns:a16="http://schemas.microsoft.com/office/drawing/2014/main" id="{00000000-0008-0000-1100-00008E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91" name="Group Box 143" hidden="1">
                <a:extLst>
                  <a:ext uri="{63B3BB69-23CF-44E3-9099-C40C66FF867C}">
                    <a14:compatExt spid="_x0000_s155791"/>
                  </a:ext>
                  <a:ext uri="{FF2B5EF4-FFF2-40B4-BE49-F238E27FC236}">
                    <a16:creationId xmlns:a16="http://schemas.microsoft.com/office/drawing/2014/main" id="{00000000-0008-0000-1100-00008F600200}"/>
                  </a:ext>
                </a:extLst>
              </xdr:cNvPr>
              <xdr:cNvSpPr/>
            </xdr:nvSpPr>
            <xdr:spPr bwMode="auto">
              <a:xfrm>
                <a:off x="2994708" y="2201921"/>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2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2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2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2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55648" name="Ellipse 155647">
          <a:extLst>
            <a:ext uri="{FF2B5EF4-FFF2-40B4-BE49-F238E27FC236}">
              <a16:creationId xmlns:a16="http://schemas.microsoft.com/office/drawing/2014/main" id="{00000000-0008-0000-1200-00000060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55793" name="Groupe 155792">
              <a:extLst>
                <a:ext uri="{FF2B5EF4-FFF2-40B4-BE49-F238E27FC236}">
                  <a16:creationId xmlns:a16="http://schemas.microsoft.com/office/drawing/2014/main" id="{00000000-0008-0000-1200-000091600200}"/>
                </a:ext>
              </a:extLst>
            </xdr:cNvPr>
            <xdr:cNvGrpSpPr/>
          </xdr:nvGrpSpPr>
          <xdr:grpSpPr>
            <a:xfrm>
              <a:off x="3696269" y="13215582"/>
              <a:ext cx="1956179" cy="1649105"/>
              <a:chOff x="2995478" y="3846749"/>
              <a:chExt cx="1960181" cy="1644868"/>
            </a:xfrm>
          </xdr:grpSpPr>
          <xdr:sp macro="" textlink="">
            <xdr:nvSpPr>
              <xdr:cNvPr id="11" name="Option Button 145" hidden="1">
                <a:extLst>
                  <a:ext uri="{63B3BB69-23CF-44E3-9099-C40C66FF867C}">
                    <a14:compatExt spid="_x0000_s155793"/>
                  </a:ext>
                  <a:ext uri="{FF2B5EF4-FFF2-40B4-BE49-F238E27FC236}">
                    <a16:creationId xmlns:a16="http://schemas.microsoft.com/office/drawing/2014/main" id="{00000000-0008-0000-11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794" name="Option Button 146" hidden="1">
                <a:extLst>
                  <a:ext uri="{63B3BB69-23CF-44E3-9099-C40C66FF867C}">
                    <a14:compatExt spid="_x0000_s155794"/>
                  </a:ext>
                  <a:ext uri="{FF2B5EF4-FFF2-40B4-BE49-F238E27FC236}">
                    <a16:creationId xmlns:a16="http://schemas.microsoft.com/office/drawing/2014/main" id="{00000000-0008-0000-1100-000092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795" name="Option Button 147" hidden="1">
                <a:extLst>
                  <a:ext uri="{63B3BB69-23CF-44E3-9099-C40C66FF867C}">
                    <a14:compatExt spid="_x0000_s155795"/>
                  </a:ext>
                  <a:ext uri="{FF2B5EF4-FFF2-40B4-BE49-F238E27FC236}">
                    <a16:creationId xmlns:a16="http://schemas.microsoft.com/office/drawing/2014/main" id="{00000000-0008-0000-1100-000093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796" name="Option Button 148" hidden="1">
                <a:extLst>
                  <a:ext uri="{63B3BB69-23CF-44E3-9099-C40C66FF867C}">
                    <a14:compatExt spid="_x0000_s155796"/>
                  </a:ext>
                  <a:ext uri="{FF2B5EF4-FFF2-40B4-BE49-F238E27FC236}">
                    <a16:creationId xmlns:a16="http://schemas.microsoft.com/office/drawing/2014/main" id="{00000000-0008-0000-1100-000094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797" name="Group Box 149" hidden="1">
                <a:extLst>
                  <a:ext uri="{63B3BB69-23CF-44E3-9099-C40C66FF867C}">
                    <a14:compatExt spid="_x0000_s155797"/>
                  </a:ext>
                  <a:ext uri="{FF2B5EF4-FFF2-40B4-BE49-F238E27FC236}">
                    <a16:creationId xmlns:a16="http://schemas.microsoft.com/office/drawing/2014/main" id="{00000000-0008-0000-1100-000095600200}"/>
                  </a:ext>
                </a:extLst>
              </xdr:cNvPr>
              <xdr:cNvSpPr/>
            </xdr:nvSpPr>
            <xdr:spPr bwMode="auto">
              <a:xfrm>
                <a:off x="2995478" y="3846749"/>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55799" name="ZoneTexte 1">
          <a:extLst>
            <a:ext uri="{FF2B5EF4-FFF2-40B4-BE49-F238E27FC236}">
              <a16:creationId xmlns:a16="http://schemas.microsoft.com/office/drawing/2014/main" id="{00000000-0008-0000-1200-00009760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55800" name="ZoneTexte 1">
          <a:extLst>
            <a:ext uri="{FF2B5EF4-FFF2-40B4-BE49-F238E27FC236}">
              <a16:creationId xmlns:a16="http://schemas.microsoft.com/office/drawing/2014/main" id="{00000000-0008-0000-1200-00009860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55807" name="ZoneTexte 1">
          <a:extLst>
            <a:ext uri="{FF2B5EF4-FFF2-40B4-BE49-F238E27FC236}">
              <a16:creationId xmlns:a16="http://schemas.microsoft.com/office/drawing/2014/main" id="{00000000-0008-0000-1200-00009F60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155808" name="Groupe 155807">
              <a:extLst>
                <a:ext uri="{FF2B5EF4-FFF2-40B4-BE49-F238E27FC236}">
                  <a16:creationId xmlns:a16="http://schemas.microsoft.com/office/drawing/2014/main" id="{00000000-0008-0000-1200-0000A0600200}"/>
                </a:ext>
              </a:extLst>
            </xdr:cNvPr>
            <xdr:cNvGrpSpPr/>
          </xdr:nvGrpSpPr>
          <xdr:grpSpPr>
            <a:xfrm>
              <a:off x="3696269" y="28705791"/>
              <a:ext cx="1956179" cy="1649105"/>
              <a:chOff x="2994708" y="2201916"/>
              <a:chExt cx="1960968" cy="1646923"/>
            </a:xfrm>
          </xdr:grpSpPr>
          <xdr:sp macro="" textlink="">
            <xdr:nvSpPr>
              <xdr:cNvPr id="155803" name="Option Button 155" descr="Case d'option 47" hidden="1">
                <a:extLst>
                  <a:ext uri="{63B3BB69-23CF-44E3-9099-C40C66FF867C}">
                    <a14:compatExt spid="_x0000_s155803"/>
                  </a:ext>
                  <a:ext uri="{FF2B5EF4-FFF2-40B4-BE49-F238E27FC236}">
                    <a16:creationId xmlns:a16="http://schemas.microsoft.com/office/drawing/2014/main" id="{00000000-0008-0000-1100-00009B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04" name="Option Button 156" hidden="1">
                <a:extLst>
                  <a:ext uri="{63B3BB69-23CF-44E3-9099-C40C66FF867C}">
                    <a14:compatExt spid="_x0000_s155804"/>
                  </a:ext>
                  <a:ext uri="{FF2B5EF4-FFF2-40B4-BE49-F238E27FC236}">
                    <a16:creationId xmlns:a16="http://schemas.microsoft.com/office/drawing/2014/main" id="{00000000-0008-0000-1100-00009C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05" name="Option Button 157" hidden="1">
                <a:extLst>
                  <a:ext uri="{63B3BB69-23CF-44E3-9099-C40C66FF867C}">
                    <a14:compatExt spid="_x0000_s155805"/>
                  </a:ext>
                  <a:ext uri="{FF2B5EF4-FFF2-40B4-BE49-F238E27FC236}">
                    <a16:creationId xmlns:a16="http://schemas.microsoft.com/office/drawing/2014/main" id="{00000000-0008-0000-1100-00009D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06" name="Option Button 158" hidden="1">
                <a:extLst>
                  <a:ext uri="{63B3BB69-23CF-44E3-9099-C40C66FF867C}">
                    <a14:compatExt spid="_x0000_s155806"/>
                  </a:ext>
                  <a:ext uri="{FF2B5EF4-FFF2-40B4-BE49-F238E27FC236}">
                    <a16:creationId xmlns:a16="http://schemas.microsoft.com/office/drawing/2014/main" id="{00000000-0008-0000-1100-00009E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2" name="Group Box 159" hidden="1">
                <a:extLst>
                  <a:ext uri="{63B3BB69-23CF-44E3-9099-C40C66FF867C}">
                    <a14:compatExt spid="_x0000_s155807"/>
                  </a:ext>
                  <a:ext uri="{FF2B5EF4-FFF2-40B4-BE49-F238E27FC236}">
                    <a16:creationId xmlns:a16="http://schemas.microsoft.com/office/drawing/2014/main" id="{00000000-0008-0000-1100-00000C000000}"/>
                  </a:ext>
                </a:extLst>
              </xdr:cNvPr>
              <xdr:cNvSpPr/>
            </xdr:nvSpPr>
            <xdr:spPr bwMode="auto">
              <a:xfrm>
                <a:off x="2994708" y="2201916"/>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155814" name="ZoneTexte 1">
          <a:extLst>
            <a:ext uri="{FF2B5EF4-FFF2-40B4-BE49-F238E27FC236}">
              <a16:creationId xmlns:a16="http://schemas.microsoft.com/office/drawing/2014/main" id="{00000000-0008-0000-1200-0000A660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55815" name="ZoneTexte 1">
          <a:extLst>
            <a:ext uri="{FF2B5EF4-FFF2-40B4-BE49-F238E27FC236}">
              <a16:creationId xmlns:a16="http://schemas.microsoft.com/office/drawing/2014/main" id="{00000000-0008-0000-1200-0000A760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155822" name="ZoneTexte 1">
          <a:extLst>
            <a:ext uri="{FF2B5EF4-FFF2-40B4-BE49-F238E27FC236}">
              <a16:creationId xmlns:a16="http://schemas.microsoft.com/office/drawing/2014/main" id="{00000000-0008-0000-1200-0000AE60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55823" name="ZoneTexte 1">
          <a:extLst>
            <a:ext uri="{FF2B5EF4-FFF2-40B4-BE49-F238E27FC236}">
              <a16:creationId xmlns:a16="http://schemas.microsoft.com/office/drawing/2014/main" id="{00000000-0008-0000-1200-0000AF60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82</xdr:row>
          <xdr:rowOff>0</xdr:rowOff>
        </xdr:from>
        <xdr:to>
          <xdr:col>8</xdr:col>
          <xdr:colOff>0</xdr:colOff>
          <xdr:row>83</xdr:row>
          <xdr:rowOff>2058</xdr:rowOff>
        </xdr:to>
        <xdr:grpSp>
          <xdr:nvGrpSpPr>
            <xdr:cNvPr id="155830" name="Groupe 155829">
              <a:extLst>
                <a:ext uri="{FF2B5EF4-FFF2-40B4-BE49-F238E27FC236}">
                  <a16:creationId xmlns:a16="http://schemas.microsoft.com/office/drawing/2014/main" id="{00000000-0008-0000-1200-0000B6600200}"/>
                </a:ext>
              </a:extLst>
            </xdr:cNvPr>
            <xdr:cNvGrpSpPr/>
          </xdr:nvGrpSpPr>
          <xdr:grpSpPr>
            <a:xfrm>
              <a:off x="3699437" y="49837075"/>
              <a:ext cx="1953011" cy="1649104"/>
              <a:chOff x="2994665" y="2201948"/>
              <a:chExt cx="1960968" cy="1646923"/>
            </a:xfrm>
          </xdr:grpSpPr>
          <xdr:sp macro="" textlink="">
            <xdr:nvSpPr>
              <xdr:cNvPr id="155818" name="Option Button 170" descr="Case d'option 47" hidden="1">
                <a:extLst>
                  <a:ext uri="{63B3BB69-23CF-44E3-9099-C40C66FF867C}">
                    <a14:compatExt spid="_x0000_s155818"/>
                  </a:ext>
                  <a:ext uri="{FF2B5EF4-FFF2-40B4-BE49-F238E27FC236}">
                    <a16:creationId xmlns:a16="http://schemas.microsoft.com/office/drawing/2014/main" id="{00000000-0008-0000-1100-0000AA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19" name="Option Button 171" hidden="1">
                <a:extLst>
                  <a:ext uri="{63B3BB69-23CF-44E3-9099-C40C66FF867C}">
                    <a14:compatExt spid="_x0000_s155819"/>
                  </a:ext>
                  <a:ext uri="{FF2B5EF4-FFF2-40B4-BE49-F238E27FC236}">
                    <a16:creationId xmlns:a16="http://schemas.microsoft.com/office/drawing/2014/main" id="{00000000-0008-0000-1100-0000AB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20" name="Option Button 172" hidden="1">
                <a:extLst>
                  <a:ext uri="{63B3BB69-23CF-44E3-9099-C40C66FF867C}">
                    <a14:compatExt spid="_x0000_s155820"/>
                  </a:ext>
                  <a:ext uri="{FF2B5EF4-FFF2-40B4-BE49-F238E27FC236}">
                    <a16:creationId xmlns:a16="http://schemas.microsoft.com/office/drawing/2014/main" id="{00000000-0008-0000-1100-0000AC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21" name="Option Button 173" hidden="1">
                <a:extLst>
                  <a:ext uri="{63B3BB69-23CF-44E3-9099-C40C66FF867C}">
                    <a14:compatExt spid="_x0000_s155821"/>
                  </a:ext>
                  <a:ext uri="{FF2B5EF4-FFF2-40B4-BE49-F238E27FC236}">
                    <a16:creationId xmlns:a16="http://schemas.microsoft.com/office/drawing/2014/main" id="{00000000-0008-0000-1100-0000AD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3" name="Group Box 174" hidden="1">
                <a:extLst>
                  <a:ext uri="{63B3BB69-23CF-44E3-9099-C40C66FF867C}">
                    <a14:compatExt spid="_x0000_s155822"/>
                  </a:ext>
                  <a:ext uri="{FF2B5EF4-FFF2-40B4-BE49-F238E27FC236}">
                    <a16:creationId xmlns:a16="http://schemas.microsoft.com/office/drawing/2014/main" id="{00000000-0008-0000-1100-00000D000000}"/>
                  </a:ext>
                </a:extLst>
              </xdr:cNvPr>
              <xdr:cNvSpPr/>
            </xdr:nvSpPr>
            <xdr:spPr bwMode="auto">
              <a:xfrm>
                <a:off x="2994665" y="220194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93</xdr:row>
      <xdr:rowOff>22860</xdr:rowOff>
    </xdr:from>
    <xdr:to>
      <xdr:col>9</xdr:col>
      <xdr:colOff>4503756</xdr:colOff>
      <xdr:row>94</xdr:row>
      <xdr:rowOff>0</xdr:rowOff>
    </xdr:to>
    <xdr:sp macro="" textlink="" fLocksText="0">
      <xdr:nvSpPr>
        <xdr:cNvPr id="155836" name="ZoneTexte 1">
          <a:extLst>
            <a:ext uri="{FF2B5EF4-FFF2-40B4-BE49-F238E27FC236}">
              <a16:creationId xmlns:a16="http://schemas.microsoft.com/office/drawing/2014/main" id="{00000000-0008-0000-1200-0000BC60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155838" name="Groupe 155837">
              <a:extLst>
                <a:ext uri="{FF2B5EF4-FFF2-40B4-BE49-F238E27FC236}">
                  <a16:creationId xmlns:a16="http://schemas.microsoft.com/office/drawing/2014/main" id="{00000000-0008-0000-1200-0000BE600200}"/>
                </a:ext>
              </a:extLst>
            </xdr:cNvPr>
            <xdr:cNvGrpSpPr/>
          </xdr:nvGrpSpPr>
          <xdr:grpSpPr>
            <a:xfrm>
              <a:off x="3696269" y="55250687"/>
              <a:ext cx="1956179" cy="1694597"/>
              <a:chOff x="2995478" y="3846789"/>
              <a:chExt cx="1960181" cy="1644869"/>
            </a:xfrm>
          </xdr:grpSpPr>
          <xdr:sp macro="" textlink="">
            <xdr:nvSpPr>
              <xdr:cNvPr id="24" name="Option Button 175" hidden="1">
                <a:extLst>
                  <a:ext uri="{63B3BB69-23CF-44E3-9099-C40C66FF867C}">
                    <a14:compatExt spid="_x0000_s155823"/>
                  </a:ext>
                  <a:ext uri="{FF2B5EF4-FFF2-40B4-BE49-F238E27FC236}">
                    <a16:creationId xmlns:a16="http://schemas.microsoft.com/office/drawing/2014/main" id="{00000000-0008-0000-1100-000018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24" name="Option Button 176" hidden="1">
                <a:extLst>
                  <a:ext uri="{63B3BB69-23CF-44E3-9099-C40C66FF867C}">
                    <a14:compatExt spid="_x0000_s155824"/>
                  </a:ext>
                  <a:ext uri="{FF2B5EF4-FFF2-40B4-BE49-F238E27FC236}">
                    <a16:creationId xmlns:a16="http://schemas.microsoft.com/office/drawing/2014/main" id="{00000000-0008-0000-1100-0000B0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25" name="Option Button 177" hidden="1">
                <a:extLst>
                  <a:ext uri="{63B3BB69-23CF-44E3-9099-C40C66FF867C}">
                    <a14:compatExt spid="_x0000_s155825"/>
                  </a:ext>
                  <a:ext uri="{FF2B5EF4-FFF2-40B4-BE49-F238E27FC236}">
                    <a16:creationId xmlns:a16="http://schemas.microsoft.com/office/drawing/2014/main" id="{00000000-0008-0000-1100-0000B1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26" name="Option Button 178" hidden="1">
                <a:extLst>
                  <a:ext uri="{63B3BB69-23CF-44E3-9099-C40C66FF867C}">
                    <a14:compatExt spid="_x0000_s155826"/>
                  </a:ext>
                  <a:ext uri="{FF2B5EF4-FFF2-40B4-BE49-F238E27FC236}">
                    <a16:creationId xmlns:a16="http://schemas.microsoft.com/office/drawing/2014/main" id="{00000000-0008-0000-1100-0000B26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827" name="Group Box 179" hidden="1">
                <a:extLst>
                  <a:ext uri="{63B3BB69-23CF-44E3-9099-C40C66FF867C}">
                    <a14:compatExt spid="_x0000_s155827"/>
                  </a:ext>
                  <a:ext uri="{FF2B5EF4-FFF2-40B4-BE49-F238E27FC236}">
                    <a16:creationId xmlns:a16="http://schemas.microsoft.com/office/drawing/2014/main" id="{00000000-0008-0000-1100-0000B3600200}"/>
                  </a:ext>
                </a:extLst>
              </xdr:cNvPr>
              <xdr:cNvSpPr/>
            </xdr:nvSpPr>
            <xdr:spPr bwMode="auto">
              <a:xfrm>
                <a:off x="2995478" y="3846789"/>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155844" name="Groupe 155843">
              <a:extLst>
                <a:ext uri="{FF2B5EF4-FFF2-40B4-BE49-F238E27FC236}">
                  <a16:creationId xmlns:a16="http://schemas.microsoft.com/office/drawing/2014/main" id="{00000000-0008-0000-1200-0000C4600200}"/>
                </a:ext>
              </a:extLst>
            </xdr:cNvPr>
            <xdr:cNvGrpSpPr/>
          </xdr:nvGrpSpPr>
          <xdr:grpSpPr>
            <a:xfrm>
              <a:off x="3696269" y="53601582"/>
              <a:ext cx="1956179" cy="1651160"/>
              <a:chOff x="2994712" y="2201912"/>
              <a:chExt cx="1960968" cy="1646922"/>
            </a:xfrm>
          </xdr:grpSpPr>
          <xdr:sp macro="" textlink="">
            <xdr:nvSpPr>
              <xdr:cNvPr id="155828" name="Option Button 180" descr="Case d'option 47" hidden="1">
                <a:extLst>
                  <a:ext uri="{63B3BB69-23CF-44E3-9099-C40C66FF867C}">
                    <a14:compatExt spid="_x0000_s155828"/>
                  </a:ext>
                  <a:ext uri="{FF2B5EF4-FFF2-40B4-BE49-F238E27FC236}">
                    <a16:creationId xmlns:a16="http://schemas.microsoft.com/office/drawing/2014/main" id="{00000000-0008-0000-1100-0000B4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29" name="Option Button 181" hidden="1">
                <a:extLst>
                  <a:ext uri="{63B3BB69-23CF-44E3-9099-C40C66FF867C}">
                    <a14:compatExt spid="_x0000_s155829"/>
                  </a:ext>
                  <a:ext uri="{FF2B5EF4-FFF2-40B4-BE49-F238E27FC236}">
                    <a16:creationId xmlns:a16="http://schemas.microsoft.com/office/drawing/2014/main" id="{00000000-0008-0000-1100-0000B5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5" name="Option Button 182" hidden="1">
                <a:extLst>
                  <a:ext uri="{63B3BB69-23CF-44E3-9099-C40C66FF867C}">
                    <a14:compatExt spid="_x0000_s155830"/>
                  </a:ext>
                  <a:ext uri="{FF2B5EF4-FFF2-40B4-BE49-F238E27FC236}">
                    <a16:creationId xmlns:a16="http://schemas.microsoft.com/office/drawing/2014/main" id="{00000000-0008-0000-1100-0000190000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31" name="Option Button 183" hidden="1">
                <a:extLst>
                  <a:ext uri="{63B3BB69-23CF-44E3-9099-C40C66FF867C}">
                    <a14:compatExt spid="_x0000_s155831"/>
                  </a:ext>
                  <a:ext uri="{FF2B5EF4-FFF2-40B4-BE49-F238E27FC236}">
                    <a16:creationId xmlns:a16="http://schemas.microsoft.com/office/drawing/2014/main" id="{00000000-0008-0000-1100-0000B7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832" name="Group Box 184" hidden="1">
                <a:extLst>
                  <a:ext uri="{63B3BB69-23CF-44E3-9099-C40C66FF867C}">
                    <a14:compatExt spid="_x0000_s155832"/>
                  </a:ext>
                  <a:ext uri="{FF2B5EF4-FFF2-40B4-BE49-F238E27FC236}">
                    <a16:creationId xmlns:a16="http://schemas.microsoft.com/office/drawing/2014/main" id="{00000000-0008-0000-1100-0000B8600200}"/>
                  </a:ext>
                </a:extLst>
              </xdr:cNvPr>
              <xdr:cNvSpPr/>
            </xdr:nvSpPr>
            <xdr:spPr bwMode="auto">
              <a:xfrm>
                <a:off x="2994712"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155850" name="ZoneTexte 1">
          <a:extLst>
            <a:ext uri="{FF2B5EF4-FFF2-40B4-BE49-F238E27FC236}">
              <a16:creationId xmlns:a16="http://schemas.microsoft.com/office/drawing/2014/main" id="{00000000-0008-0000-1200-0000CA60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155851" name="ZoneTexte 1">
          <a:extLst>
            <a:ext uri="{FF2B5EF4-FFF2-40B4-BE49-F238E27FC236}">
              <a16:creationId xmlns:a16="http://schemas.microsoft.com/office/drawing/2014/main" id="{00000000-0008-0000-1200-0000CB6002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55852" name="ZoneTexte 1">
          <a:extLst>
            <a:ext uri="{FF2B5EF4-FFF2-40B4-BE49-F238E27FC236}">
              <a16:creationId xmlns:a16="http://schemas.microsoft.com/office/drawing/2014/main" id="{00000000-0008-0000-1200-0000CC60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97</xdr:row>
          <xdr:rowOff>3</xdr:rowOff>
        </xdr:from>
        <xdr:to>
          <xdr:col>8</xdr:col>
          <xdr:colOff>0</xdr:colOff>
          <xdr:row>98</xdr:row>
          <xdr:rowOff>3</xdr:rowOff>
        </xdr:to>
        <xdr:grpSp>
          <xdr:nvGrpSpPr>
            <xdr:cNvPr id="155853" name="Groupe 155852">
              <a:extLst>
                <a:ext uri="{FF2B5EF4-FFF2-40B4-BE49-F238E27FC236}">
                  <a16:creationId xmlns:a16="http://schemas.microsoft.com/office/drawing/2014/main" id="{00000000-0008-0000-1200-0000CD600200}"/>
                </a:ext>
              </a:extLst>
            </xdr:cNvPr>
            <xdr:cNvGrpSpPr/>
          </xdr:nvGrpSpPr>
          <xdr:grpSpPr>
            <a:xfrm>
              <a:off x="3696269" y="60243496"/>
              <a:ext cx="1956179" cy="1649104"/>
              <a:chOff x="2995478" y="3846819"/>
              <a:chExt cx="1960181" cy="1644868"/>
            </a:xfrm>
          </xdr:grpSpPr>
          <xdr:sp macro="" textlink="">
            <xdr:nvSpPr>
              <xdr:cNvPr id="155833" name="Option Button 185" hidden="1">
                <a:extLst>
                  <a:ext uri="{63B3BB69-23CF-44E3-9099-C40C66FF867C}">
                    <a14:compatExt spid="_x0000_s155833"/>
                  </a:ext>
                  <a:ext uri="{FF2B5EF4-FFF2-40B4-BE49-F238E27FC236}">
                    <a16:creationId xmlns:a16="http://schemas.microsoft.com/office/drawing/2014/main" id="{00000000-0008-0000-1100-0000B9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34" name="Option Button 186" hidden="1">
                <a:extLst>
                  <a:ext uri="{63B3BB69-23CF-44E3-9099-C40C66FF867C}">
                    <a14:compatExt spid="_x0000_s155834"/>
                  </a:ext>
                  <a:ext uri="{FF2B5EF4-FFF2-40B4-BE49-F238E27FC236}">
                    <a16:creationId xmlns:a16="http://schemas.microsoft.com/office/drawing/2014/main" id="{00000000-0008-0000-1100-0000BA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35" name="Option Button 187" hidden="1">
                <a:extLst>
                  <a:ext uri="{63B3BB69-23CF-44E3-9099-C40C66FF867C}">
                    <a14:compatExt spid="_x0000_s155835"/>
                  </a:ext>
                  <a:ext uri="{FF2B5EF4-FFF2-40B4-BE49-F238E27FC236}">
                    <a16:creationId xmlns:a16="http://schemas.microsoft.com/office/drawing/2014/main" id="{00000000-0008-0000-1100-0000BB6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6" name="Option Button 188" hidden="1">
                <a:extLst>
                  <a:ext uri="{63B3BB69-23CF-44E3-9099-C40C66FF867C}">
                    <a14:compatExt spid="_x0000_s155836"/>
                  </a:ext>
                  <a:ext uri="{FF2B5EF4-FFF2-40B4-BE49-F238E27FC236}">
                    <a16:creationId xmlns:a16="http://schemas.microsoft.com/office/drawing/2014/main" id="{00000000-0008-0000-1100-00001A0000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46" name="Group Box 189" hidden="1">
                <a:extLst>
                  <a:ext uri="{63B3BB69-23CF-44E3-9099-C40C66FF867C}">
                    <a14:compatExt spid="_x0000_s155837"/>
                  </a:ext>
                  <a:ext uri="{FF2B5EF4-FFF2-40B4-BE49-F238E27FC236}">
                    <a16:creationId xmlns:a16="http://schemas.microsoft.com/office/drawing/2014/main" id="{00000000-0008-0000-1100-00002E000000}"/>
                  </a:ext>
                </a:extLst>
              </xdr:cNvPr>
              <xdr:cNvSpPr/>
            </xdr:nvSpPr>
            <xdr:spPr bwMode="auto">
              <a:xfrm>
                <a:off x="2995478" y="3846819"/>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155859" name="Groupe 155858">
              <a:extLst>
                <a:ext uri="{FF2B5EF4-FFF2-40B4-BE49-F238E27FC236}">
                  <a16:creationId xmlns:a16="http://schemas.microsoft.com/office/drawing/2014/main" id="{00000000-0008-0000-1200-0000D3600200}"/>
                </a:ext>
              </a:extLst>
            </xdr:cNvPr>
            <xdr:cNvGrpSpPr/>
          </xdr:nvGrpSpPr>
          <xdr:grpSpPr>
            <a:xfrm>
              <a:off x="3699437" y="58594388"/>
              <a:ext cx="1953011" cy="1651163"/>
              <a:chOff x="2994665" y="2201912"/>
              <a:chExt cx="1960968" cy="1646925"/>
            </a:xfrm>
          </xdr:grpSpPr>
          <xdr:sp macro="" textlink="">
            <xdr:nvSpPr>
              <xdr:cNvPr id="49" name="Option Button 190" descr="Case d'option 47" hidden="1">
                <a:extLst>
                  <a:ext uri="{63B3BB69-23CF-44E3-9099-C40C66FF867C}">
                    <a14:compatExt spid="_x0000_s155838"/>
                  </a:ext>
                  <a:ext uri="{FF2B5EF4-FFF2-40B4-BE49-F238E27FC236}">
                    <a16:creationId xmlns:a16="http://schemas.microsoft.com/office/drawing/2014/main" id="{00000000-0008-0000-1100-000031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39" name="Option Button 191" hidden="1">
                <a:extLst>
                  <a:ext uri="{63B3BB69-23CF-44E3-9099-C40C66FF867C}">
                    <a14:compatExt spid="_x0000_s155839"/>
                  </a:ext>
                  <a:ext uri="{FF2B5EF4-FFF2-40B4-BE49-F238E27FC236}">
                    <a16:creationId xmlns:a16="http://schemas.microsoft.com/office/drawing/2014/main" id="{00000000-0008-0000-1100-0000BF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40" name="Option Button 192" hidden="1">
                <a:extLst>
                  <a:ext uri="{63B3BB69-23CF-44E3-9099-C40C66FF867C}">
                    <a14:compatExt spid="_x0000_s155840"/>
                  </a:ext>
                  <a:ext uri="{FF2B5EF4-FFF2-40B4-BE49-F238E27FC236}">
                    <a16:creationId xmlns:a16="http://schemas.microsoft.com/office/drawing/2014/main" id="{00000000-0008-0000-1100-0000C0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41" name="Option Button 193" hidden="1">
                <a:extLst>
                  <a:ext uri="{63B3BB69-23CF-44E3-9099-C40C66FF867C}">
                    <a14:compatExt spid="_x0000_s155841"/>
                  </a:ext>
                  <a:ext uri="{FF2B5EF4-FFF2-40B4-BE49-F238E27FC236}">
                    <a16:creationId xmlns:a16="http://schemas.microsoft.com/office/drawing/2014/main" id="{00000000-0008-0000-1100-0000C1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842" name="Group Box 194" hidden="1">
                <a:extLst>
                  <a:ext uri="{63B3BB69-23CF-44E3-9099-C40C66FF867C}">
                    <a14:compatExt spid="_x0000_s155842"/>
                  </a:ext>
                  <a:ext uri="{FF2B5EF4-FFF2-40B4-BE49-F238E27FC236}">
                    <a16:creationId xmlns:a16="http://schemas.microsoft.com/office/drawing/2014/main" id="{00000000-0008-0000-1100-0000C2600200}"/>
                  </a:ext>
                </a:extLst>
              </xdr:cNvPr>
              <xdr:cNvSpPr/>
            </xdr:nvSpPr>
            <xdr:spPr bwMode="auto">
              <a:xfrm>
                <a:off x="2994665"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155865" name="Groupe 155864">
              <a:extLst>
                <a:ext uri="{FF2B5EF4-FFF2-40B4-BE49-F238E27FC236}">
                  <a16:creationId xmlns:a16="http://schemas.microsoft.com/office/drawing/2014/main" id="{00000000-0008-0000-1200-0000D9600200}"/>
                </a:ext>
              </a:extLst>
            </xdr:cNvPr>
            <xdr:cNvGrpSpPr/>
          </xdr:nvGrpSpPr>
          <xdr:grpSpPr>
            <a:xfrm>
              <a:off x="3696269" y="56945284"/>
              <a:ext cx="1956179" cy="1649104"/>
              <a:chOff x="2994708" y="2201923"/>
              <a:chExt cx="1960968" cy="1646929"/>
            </a:xfrm>
          </xdr:grpSpPr>
          <xdr:sp macro="" textlink="">
            <xdr:nvSpPr>
              <xdr:cNvPr id="155843" name="Option Button 195" descr="Case d'option 47" hidden="1">
                <a:extLst>
                  <a:ext uri="{63B3BB69-23CF-44E3-9099-C40C66FF867C}">
                    <a14:compatExt spid="_x0000_s155843"/>
                  </a:ext>
                  <a:ext uri="{FF2B5EF4-FFF2-40B4-BE49-F238E27FC236}">
                    <a16:creationId xmlns:a16="http://schemas.microsoft.com/office/drawing/2014/main" id="{00000000-0008-0000-1100-0000C36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904" name="Option Button 196" hidden="1">
                <a:extLst>
                  <a:ext uri="{63B3BB69-23CF-44E3-9099-C40C66FF867C}">
                    <a14:compatExt spid="_x0000_s155844"/>
                  </a:ext>
                  <a:ext uri="{FF2B5EF4-FFF2-40B4-BE49-F238E27FC236}">
                    <a16:creationId xmlns:a16="http://schemas.microsoft.com/office/drawing/2014/main" id="{00000000-0008-0000-1100-00000061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45" name="Option Button 197" hidden="1">
                <a:extLst>
                  <a:ext uri="{63B3BB69-23CF-44E3-9099-C40C66FF867C}">
                    <a14:compatExt spid="_x0000_s155845"/>
                  </a:ext>
                  <a:ext uri="{FF2B5EF4-FFF2-40B4-BE49-F238E27FC236}">
                    <a16:creationId xmlns:a16="http://schemas.microsoft.com/office/drawing/2014/main" id="{00000000-0008-0000-1100-0000C5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46" name="Option Button 198" hidden="1">
                <a:extLst>
                  <a:ext uri="{63B3BB69-23CF-44E3-9099-C40C66FF867C}">
                    <a14:compatExt spid="_x0000_s155846"/>
                  </a:ext>
                  <a:ext uri="{FF2B5EF4-FFF2-40B4-BE49-F238E27FC236}">
                    <a16:creationId xmlns:a16="http://schemas.microsoft.com/office/drawing/2014/main" id="{00000000-0008-0000-1100-0000C6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847" name="Group Box 199" hidden="1">
                <a:extLst>
                  <a:ext uri="{63B3BB69-23CF-44E3-9099-C40C66FF867C}">
                    <a14:compatExt spid="_x0000_s155847"/>
                  </a:ext>
                  <a:ext uri="{FF2B5EF4-FFF2-40B4-BE49-F238E27FC236}">
                    <a16:creationId xmlns:a16="http://schemas.microsoft.com/office/drawing/2014/main" id="{00000000-0008-0000-1100-0000C7600200}"/>
                  </a:ext>
                </a:extLst>
              </xdr:cNvPr>
              <xdr:cNvSpPr/>
            </xdr:nvSpPr>
            <xdr:spPr bwMode="auto">
              <a:xfrm>
                <a:off x="2994708" y="2201923"/>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155871" name="Ellipse 155870">
          <a:extLst>
            <a:ext uri="{FF2B5EF4-FFF2-40B4-BE49-F238E27FC236}">
              <a16:creationId xmlns:a16="http://schemas.microsoft.com/office/drawing/2014/main" id="{00000000-0008-0000-1200-0000DF60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155872" name="ZoneTexte 1">
          <a:extLst>
            <a:ext uri="{FF2B5EF4-FFF2-40B4-BE49-F238E27FC236}">
              <a16:creationId xmlns:a16="http://schemas.microsoft.com/office/drawing/2014/main" id="{00000000-0008-0000-1200-0000E06002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55873" name="ZoneTexte 1">
          <a:extLst>
            <a:ext uri="{FF2B5EF4-FFF2-40B4-BE49-F238E27FC236}">
              <a16:creationId xmlns:a16="http://schemas.microsoft.com/office/drawing/2014/main" id="{00000000-0008-0000-1200-0000E160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99</xdr:row>
          <xdr:rowOff>3</xdr:rowOff>
        </xdr:from>
        <xdr:to>
          <xdr:col>8</xdr:col>
          <xdr:colOff>0</xdr:colOff>
          <xdr:row>100</xdr:row>
          <xdr:rowOff>3</xdr:rowOff>
        </xdr:to>
        <xdr:grpSp>
          <xdr:nvGrpSpPr>
            <xdr:cNvPr id="155874" name="Groupe 155873">
              <a:extLst>
                <a:ext uri="{FF2B5EF4-FFF2-40B4-BE49-F238E27FC236}">
                  <a16:creationId xmlns:a16="http://schemas.microsoft.com/office/drawing/2014/main" id="{00000000-0008-0000-1200-0000E2600200}"/>
                </a:ext>
              </a:extLst>
            </xdr:cNvPr>
            <xdr:cNvGrpSpPr/>
          </xdr:nvGrpSpPr>
          <xdr:grpSpPr>
            <a:xfrm>
              <a:off x="3696269" y="63541704"/>
              <a:ext cx="1956179" cy="1649105"/>
              <a:chOff x="2995478" y="3846757"/>
              <a:chExt cx="1960181" cy="1644868"/>
            </a:xfrm>
          </xdr:grpSpPr>
          <xdr:sp macro="" textlink="">
            <xdr:nvSpPr>
              <xdr:cNvPr id="155848" name="Option Button 200" hidden="1">
                <a:extLst>
                  <a:ext uri="{63B3BB69-23CF-44E3-9099-C40C66FF867C}">
                    <a14:compatExt spid="_x0000_s155848"/>
                  </a:ext>
                  <a:ext uri="{FF2B5EF4-FFF2-40B4-BE49-F238E27FC236}">
                    <a16:creationId xmlns:a16="http://schemas.microsoft.com/office/drawing/2014/main" id="{00000000-0008-0000-1100-0000C86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49" name="Option Button 201" hidden="1">
                <a:extLst>
                  <a:ext uri="{63B3BB69-23CF-44E3-9099-C40C66FF867C}">
                    <a14:compatExt spid="_x0000_s155849"/>
                  </a:ext>
                  <a:ext uri="{FF2B5EF4-FFF2-40B4-BE49-F238E27FC236}">
                    <a16:creationId xmlns:a16="http://schemas.microsoft.com/office/drawing/2014/main" id="{00000000-0008-0000-1100-0000C96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905" name="Option Button 202" hidden="1">
                <a:extLst>
                  <a:ext uri="{63B3BB69-23CF-44E3-9099-C40C66FF867C}">
                    <a14:compatExt spid="_x0000_s155850"/>
                  </a:ext>
                  <a:ext uri="{FF2B5EF4-FFF2-40B4-BE49-F238E27FC236}">
                    <a16:creationId xmlns:a16="http://schemas.microsoft.com/office/drawing/2014/main" id="{00000000-0008-0000-1100-00000161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906" name="Option Button 203" hidden="1">
                <a:extLst>
                  <a:ext uri="{63B3BB69-23CF-44E3-9099-C40C66FF867C}">
                    <a14:compatExt spid="_x0000_s155851"/>
                  </a:ext>
                  <a:ext uri="{FF2B5EF4-FFF2-40B4-BE49-F238E27FC236}">
                    <a16:creationId xmlns:a16="http://schemas.microsoft.com/office/drawing/2014/main" id="{00000000-0008-0000-1100-00000261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907" name="Group Box 204" hidden="1">
                <a:extLst>
                  <a:ext uri="{63B3BB69-23CF-44E3-9099-C40C66FF867C}">
                    <a14:compatExt spid="_x0000_s155852"/>
                  </a:ext>
                  <a:ext uri="{FF2B5EF4-FFF2-40B4-BE49-F238E27FC236}">
                    <a16:creationId xmlns:a16="http://schemas.microsoft.com/office/drawing/2014/main" id="{00000000-0008-0000-1100-000003610200}"/>
                  </a:ext>
                </a:extLst>
              </xdr:cNvPr>
              <xdr:cNvSpPr/>
            </xdr:nvSpPr>
            <xdr:spPr bwMode="auto">
              <a:xfrm>
                <a:off x="2995478" y="3846757"/>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98</xdr:row>
          <xdr:rowOff>0</xdr:rowOff>
        </xdr:from>
        <xdr:to>
          <xdr:col>8</xdr:col>
          <xdr:colOff>0</xdr:colOff>
          <xdr:row>99</xdr:row>
          <xdr:rowOff>2058</xdr:rowOff>
        </xdr:to>
        <xdr:grpSp>
          <xdr:nvGrpSpPr>
            <xdr:cNvPr id="155880" name="Groupe 155879">
              <a:extLst>
                <a:ext uri="{FF2B5EF4-FFF2-40B4-BE49-F238E27FC236}">
                  <a16:creationId xmlns:a16="http://schemas.microsoft.com/office/drawing/2014/main" id="{00000000-0008-0000-1200-0000E8600200}"/>
                </a:ext>
              </a:extLst>
            </xdr:cNvPr>
            <xdr:cNvGrpSpPr/>
          </xdr:nvGrpSpPr>
          <xdr:grpSpPr>
            <a:xfrm>
              <a:off x="3699437" y="61892597"/>
              <a:ext cx="1953011" cy="1651162"/>
              <a:chOff x="2994665" y="2201918"/>
              <a:chExt cx="1960968" cy="1646925"/>
            </a:xfrm>
          </xdr:grpSpPr>
          <xdr:sp macro="" textlink="">
            <xdr:nvSpPr>
              <xdr:cNvPr id="155908" name="Option Button 205" descr="Case d'option 47" hidden="1">
                <a:extLst>
                  <a:ext uri="{63B3BB69-23CF-44E3-9099-C40C66FF867C}">
                    <a14:compatExt spid="_x0000_s155853"/>
                  </a:ext>
                  <a:ext uri="{FF2B5EF4-FFF2-40B4-BE49-F238E27FC236}">
                    <a16:creationId xmlns:a16="http://schemas.microsoft.com/office/drawing/2014/main" id="{00000000-0008-0000-1100-00000461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5854" name="Option Button 206" hidden="1">
                <a:extLst>
                  <a:ext uri="{63B3BB69-23CF-44E3-9099-C40C66FF867C}">
                    <a14:compatExt spid="_x0000_s155854"/>
                  </a:ext>
                  <a:ext uri="{FF2B5EF4-FFF2-40B4-BE49-F238E27FC236}">
                    <a16:creationId xmlns:a16="http://schemas.microsoft.com/office/drawing/2014/main" id="{00000000-0008-0000-1100-0000CE6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5855" name="Option Button 207" hidden="1">
                <a:extLst>
                  <a:ext uri="{63B3BB69-23CF-44E3-9099-C40C66FF867C}">
                    <a14:compatExt spid="_x0000_s155855"/>
                  </a:ext>
                  <a:ext uri="{FF2B5EF4-FFF2-40B4-BE49-F238E27FC236}">
                    <a16:creationId xmlns:a16="http://schemas.microsoft.com/office/drawing/2014/main" id="{00000000-0008-0000-1100-0000CF6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5856" name="Option Button 208" hidden="1">
                <a:extLst>
                  <a:ext uri="{63B3BB69-23CF-44E3-9099-C40C66FF867C}">
                    <a14:compatExt spid="_x0000_s155856"/>
                  </a:ext>
                  <a:ext uri="{FF2B5EF4-FFF2-40B4-BE49-F238E27FC236}">
                    <a16:creationId xmlns:a16="http://schemas.microsoft.com/office/drawing/2014/main" id="{00000000-0008-0000-1100-0000D06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5857" name="Group Box 209" hidden="1">
                <a:extLst>
                  <a:ext uri="{63B3BB69-23CF-44E3-9099-C40C66FF867C}">
                    <a14:compatExt spid="_x0000_s155857"/>
                  </a:ext>
                  <a:ext uri="{FF2B5EF4-FFF2-40B4-BE49-F238E27FC236}">
                    <a16:creationId xmlns:a16="http://schemas.microsoft.com/office/drawing/2014/main" id="{00000000-0008-0000-1100-0000D1600200}"/>
                  </a:ext>
                </a:extLst>
              </xdr:cNvPr>
              <xdr:cNvSpPr/>
            </xdr:nvSpPr>
            <xdr:spPr bwMode="auto">
              <a:xfrm>
                <a:off x="2994665"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109</xdr:row>
      <xdr:rowOff>22860</xdr:rowOff>
    </xdr:from>
    <xdr:to>
      <xdr:col>9</xdr:col>
      <xdr:colOff>4503756</xdr:colOff>
      <xdr:row>110</xdr:row>
      <xdr:rowOff>0</xdr:rowOff>
    </xdr:to>
    <xdr:sp macro="" textlink="" fLocksText="0">
      <xdr:nvSpPr>
        <xdr:cNvPr id="155886" name="ZoneTexte 1">
          <a:extLst>
            <a:ext uri="{FF2B5EF4-FFF2-40B4-BE49-F238E27FC236}">
              <a16:creationId xmlns:a16="http://schemas.microsoft.com/office/drawing/2014/main" id="{00000000-0008-0000-1200-0000EE60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155887" name="ZoneTexte 1">
          <a:extLst>
            <a:ext uri="{FF2B5EF4-FFF2-40B4-BE49-F238E27FC236}">
              <a16:creationId xmlns:a16="http://schemas.microsoft.com/office/drawing/2014/main" id="{00000000-0008-0000-1200-0000EF6002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155900" name="ZoneTexte 1">
          <a:extLst>
            <a:ext uri="{FF2B5EF4-FFF2-40B4-BE49-F238E27FC236}">
              <a16:creationId xmlns:a16="http://schemas.microsoft.com/office/drawing/2014/main" id="{00000000-0008-0000-1200-0000FC60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155901" name="ZoneTexte 1">
          <a:extLst>
            <a:ext uri="{FF2B5EF4-FFF2-40B4-BE49-F238E27FC236}">
              <a16:creationId xmlns:a16="http://schemas.microsoft.com/office/drawing/2014/main" id="{00000000-0008-0000-1200-0000FD6002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55902" name="ZoneTexte 1">
          <a:extLst>
            <a:ext uri="{FF2B5EF4-FFF2-40B4-BE49-F238E27FC236}">
              <a16:creationId xmlns:a16="http://schemas.microsoft.com/office/drawing/2014/main" id="{00000000-0008-0000-1200-0000FE60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155921" name="Ellipse 155920">
          <a:extLst>
            <a:ext uri="{FF2B5EF4-FFF2-40B4-BE49-F238E27FC236}">
              <a16:creationId xmlns:a16="http://schemas.microsoft.com/office/drawing/2014/main" id="{00000000-0008-0000-1200-00001161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55922" name="ZoneTexte 1">
          <a:extLst>
            <a:ext uri="{FF2B5EF4-FFF2-40B4-BE49-F238E27FC236}">
              <a16:creationId xmlns:a16="http://schemas.microsoft.com/office/drawing/2014/main" id="{00000000-0008-0000-1200-00001261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55923" name="ZoneTexte 1">
          <a:extLst>
            <a:ext uri="{FF2B5EF4-FFF2-40B4-BE49-F238E27FC236}">
              <a16:creationId xmlns:a16="http://schemas.microsoft.com/office/drawing/2014/main" id="{00000000-0008-0000-1200-00001361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12</xdr:row>
      <xdr:rowOff>22746</xdr:rowOff>
    </xdr:from>
    <xdr:to>
      <xdr:col>9</xdr:col>
      <xdr:colOff>4571656</xdr:colOff>
      <xdr:row>12</xdr:row>
      <xdr:rowOff>2354238</xdr:rowOff>
    </xdr:to>
    <xdr:sp macro="" textlink="" fLocksText="0">
      <xdr:nvSpPr>
        <xdr:cNvPr id="155909" name="ZoneTexte 155908">
          <a:extLst>
            <a:ext uri="{FF2B5EF4-FFF2-40B4-BE49-F238E27FC236}">
              <a16:creationId xmlns:a16="http://schemas.microsoft.com/office/drawing/2014/main" id="{BF39C01D-AEA4-4676-8323-919A3390209B}"/>
            </a:ext>
          </a:extLst>
        </xdr:cNvPr>
        <xdr:cNvSpPr txBox="1">
          <a:spLocks noChangeArrowheads="1"/>
        </xdr:cNvSpPr>
      </xdr:nvSpPr>
      <xdr:spPr bwMode="auto">
        <a:xfrm>
          <a:off x="6892119" y="5413612"/>
          <a:ext cx="4548910" cy="2331492"/>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155910" name="ZoneTexte 155909">
          <a:extLst>
            <a:ext uri="{FF2B5EF4-FFF2-40B4-BE49-F238E27FC236}">
              <a16:creationId xmlns:a16="http://schemas.microsoft.com/office/drawing/2014/main" id="{D5DA842A-898D-420A-BA58-654A8D2DB2A4}"/>
            </a:ext>
          </a:extLst>
        </xdr:cNvPr>
        <xdr:cNvSpPr txBox="1">
          <a:spLocks noChangeArrowheads="1"/>
        </xdr:cNvSpPr>
      </xdr:nvSpPr>
      <xdr:spPr bwMode="auto">
        <a:xfrm>
          <a:off x="6892119" y="1488743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1876567</xdr:rowOff>
    </xdr:to>
    <xdr:sp macro="" textlink="" fLocksText="0">
      <xdr:nvSpPr>
        <xdr:cNvPr id="155911" name="ZoneTexte 155910">
          <a:extLst>
            <a:ext uri="{FF2B5EF4-FFF2-40B4-BE49-F238E27FC236}">
              <a16:creationId xmlns:a16="http://schemas.microsoft.com/office/drawing/2014/main" id="{54AE6C66-409D-4BD5-8ECC-0A159D8C78A0}"/>
            </a:ext>
          </a:extLst>
        </xdr:cNvPr>
        <xdr:cNvSpPr txBox="1">
          <a:spLocks noChangeArrowheads="1"/>
        </xdr:cNvSpPr>
      </xdr:nvSpPr>
      <xdr:spPr bwMode="auto">
        <a:xfrm>
          <a:off x="6892119" y="23644746"/>
          <a:ext cx="4548910" cy="185382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155912" name="ZoneTexte 155911">
          <a:extLst>
            <a:ext uri="{FF2B5EF4-FFF2-40B4-BE49-F238E27FC236}">
              <a16:creationId xmlns:a16="http://schemas.microsoft.com/office/drawing/2014/main" id="{670BE200-2771-46DD-A07F-0AB5F2FB739D}"/>
            </a:ext>
          </a:extLst>
        </xdr:cNvPr>
        <xdr:cNvSpPr txBox="1">
          <a:spLocks noChangeArrowheads="1"/>
        </xdr:cNvSpPr>
      </xdr:nvSpPr>
      <xdr:spPr bwMode="auto">
        <a:xfrm>
          <a:off x="6892119" y="34187642"/>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78</xdr:row>
      <xdr:rowOff>22746</xdr:rowOff>
    </xdr:from>
    <xdr:to>
      <xdr:col>9</xdr:col>
      <xdr:colOff>4571656</xdr:colOff>
      <xdr:row>78</xdr:row>
      <xdr:rowOff>1627565</xdr:rowOff>
    </xdr:to>
    <xdr:sp macro="" textlink="" fLocksText="0">
      <xdr:nvSpPr>
        <xdr:cNvPr id="155913" name="ZoneTexte 155912">
          <a:extLst>
            <a:ext uri="{FF2B5EF4-FFF2-40B4-BE49-F238E27FC236}">
              <a16:creationId xmlns:a16="http://schemas.microsoft.com/office/drawing/2014/main" id="{9B38AE66-67AB-4ADD-BD8F-4EFAE52C7395}"/>
            </a:ext>
          </a:extLst>
        </xdr:cNvPr>
        <xdr:cNvSpPr txBox="1">
          <a:spLocks noChangeArrowheads="1"/>
        </xdr:cNvSpPr>
      </xdr:nvSpPr>
      <xdr:spPr bwMode="auto">
        <a:xfrm>
          <a:off x="6892119" y="4326340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94</xdr:row>
      <xdr:rowOff>22746</xdr:rowOff>
    </xdr:from>
    <xdr:to>
      <xdr:col>9</xdr:col>
      <xdr:colOff>4571656</xdr:colOff>
      <xdr:row>94</xdr:row>
      <xdr:rowOff>1627565</xdr:rowOff>
    </xdr:to>
    <xdr:sp macro="" textlink="" fLocksText="0">
      <xdr:nvSpPr>
        <xdr:cNvPr id="155914" name="ZoneTexte 155913">
          <a:extLst>
            <a:ext uri="{FF2B5EF4-FFF2-40B4-BE49-F238E27FC236}">
              <a16:creationId xmlns:a16="http://schemas.microsoft.com/office/drawing/2014/main" id="{C76EB2D8-91D1-403F-B450-711568EAB2BC}"/>
            </a:ext>
          </a:extLst>
        </xdr:cNvPr>
        <xdr:cNvSpPr txBox="1">
          <a:spLocks noChangeArrowheads="1"/>
        </xdr:cNvSpPr>
      </xdr:nvSpPr>
      <xdr:spPr bwMode="auto">
        <a:xfrm>
          <a:off x="6892119" y="5527343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1021080</xdr:colOff>
      <xdr:row>21</xdr:row>
      <xdr:rowOff>137160</xdr:rowOff>
    </xdr:from>
    <xdr:to>
      <xdr:col>6</xdr:col>
      <xdr:colOff>4084955</xdr:colOff>
      <xdr:row>22</xdr:row>
      <xdr:rowOff>169602</xdr:rowOff>
    </xdr:to>
    <xdr:sp macro="[0]!CalculMaturiteVF" textlink="">
      <xdr:nvSpPr>
        <xdr:cNvPr id="2" name="Rectangle : coins arrondis 1">
          <a:extLst>
            <a:ext uri="{FF2B5EF4-FFF2-40B4-BE49-F238E27FC236}">
              <a16:creationId xmlns:a16="http://schemas.microsoft.com/office/drawing/2014/main" id="{00000000-0008-0000-1300-000002000000}"/>
            </a:ext>
          </a:extLst>
        </xdr:cNvPr>
        <xdr:cNvSpPr/>
      </xdr:nvSpPr>
      <xdr:spPr>
        <a:xfrm>
          <a:off x="3566160" y="8976360"/>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4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4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400-000005000000}"/>
                </a:ext>
              </a:extLst>
            </xdr:cNvPr>
            <xdr:cNvGrpSpPr/>
          </xdr:nvGrpSpPr>
          <xdr:grpSpPr>
            <a:xfrm>
              <a:off x="3696269" y="5015552"/>
              <a:ext cx="1956179" cy="3957851"/>
              <a:chOff x="2995478" y="3846792"/>
              <a:chExt cx="1960181" cy="1644869"/>
            </a:xfrm>
          </xdr:grpSpPr>
          <xdr:sp macro="" textlink="">
            <xdr:nvSpPr>
              <xdr:cNvPr id="156673" name="Option Button 1" hidden="1">
                <a:extLst>
                  <a:ext uri="{63B3BB69-23CF-44E3-9099-C40C66FF867C}">
                    <a14:compatExt spid="_x0000_s156673"/>
                  </a:ext>
                  <a:ext uri="{FF2B5EF4-FFF2-40B4-BE49-F238E27FC236}">
                    <a16:creationId xmlns:a16="http://schemas.microsoft.com/office/drawing/2014/main" id="{00000000-0008-0000-1300-000001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674" name="Option Button 2" hidden="1">
                <a:extLst>
                  <a:ext uri="{63B3BB69-23CF-44E3-9099-C40C66FF867C}">
                    <a14:compatExt spid="_x0000_s156674"/>
                  </a:ext>
                  <a:ext uri="{FF2B5EF4-FFF2-40B4-BE49-F238E27FC236}">
                    <a16:creationId xmlns:a16="http://schemas.microsoft.com/office/drawing/2014/main" id="{00000000-0008-0000-1300-000002640200}"/>
                  </a:ext>
                </a:extLst>
              </xdr:cNvPr>
              <xdr:cNvSpPr/>
            </xdr:nvSpPr>
            <xdr:spPr bwMode="auto">
              <a:xfrm>
                <a:off x="3109748" y="4100511"/>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675" name="Option Button 3" hidden="1">
                <a:extLst>
                  <a:ext uri="{63B3BB69-23CF-44E3-9099-C40C66FF867C}">
                    <a14:compatExt spid="_x0000_s156675"/>
                  </a:ext>
                  <a:ext uri="{FF2B5EF4-FFF2-40B4-BE49-F238E27FC236}">
                    <a16:creationId xmlns:a16="http://schemas.microsoft.com/office/drawing/2014/main" id="{00000000-0008-0000-1300-000003640200}"/>
                  </a:ext>
                </a:extLst>
              </xdr:cNvPr>
              <xdr:cNvSpPr/>
            </xdr:nvSpPr>
            <xdr:spPr bwMode="auto">
              <a:xfrm>
                <a:off x="3109748" y="422469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676" name="Option Button 4" hidden="1">
                <a:extLst>
                  <a:ext uri="{63B3BB69-23CF-44E3-9099-C40C66FF867C}">
                    <a14:compatExt spid="_x0000_s156676"/>
                  </a:ext>
                  <a:ext uri="{FF2B5EF4-FFF2-40B4-BE49-F238E27FC236}">
                    <a16:creationId xmlns:a16="http://schemas.microsoft.com/office/drawing/2014/main" id="{00000000-0008-0000-1300-000004640200}"/>
                  </a:ext>
                </a:extLst>
              </xdr:cNvPr>
              <xdr:cNvSpPr/>
            </xdr:nvSpPr>
            <xdr:spPr bwMode="auto">
              <a:xfrm>
                <a:off x="3109748" y="4348882"/>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677" name="Group Box 5" hidden="1">
                <a:extLst>
                  <a:ext uri="{63B3BB69-23CF-44E3-9099-C40C66FF867C}">
                    <a14:compatExt spid="_x0000_s156677"/>
                  </a:ext>
                  <a:ext uri="{FF2B5EF4-FFF2-40B4-BE49-F238E27FC236}">
                    <a16:creationId xmlns:a16="http://schemas.microsoft.com/office/drawing/2014/main" id="{00000000-0008-0000-1300-000005640200}"/>
                  </a:ext>
                </a:extLst>
              </xdr:cNvPr>
              <xdr:cNvSpPr/>
            </xdr:nvSpPr>
            <xdr:spPr bwMode="auto">
              <a:xfrm>
                <a:off x="2995478" y="3846792"/>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4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4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4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4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400-00000A000000}"/>
                </a:ext>
              </a:extLst>
            </xdr:cNvPr>
            <xdr:cNvGrpSpPr/>
          </xdr:nvGrpSpPr>
          <xdr:grpSpPr>
            <a:xfrm>
              <a:off x="3696269" y="3366450"/>
              <a:ext cx="1957768" cy="1651160"/>
              <a:chOff x="3693194" y="3303874"/>
              <a:chExt cx="1959431" cy="1648422"/>
            </a:xfrm>
          </xdr:grpSpPr>
          <xdr:sp macro="" textlink="">
            <xdr:nvSpPr>
              <xdr:cNvPr id="156679" name="Group Box 7" hidden="1">
                <a:extLst>
                  <a:ext uri="{63B3BB69-23CF-44E3-9099-C40C66FF867C}">
                    <a14:compatExt spid="_x0000_s156679"/>
                  </a:ext>
                  <a:ext uri="{FF2B5EF4-FFF2-40B4-BE49-F238E27FC236}">
                    <a16:creationId xmlns:a16="http://schemas.microsoft.com/office/drawing/2014/main" id="{00000000-0008-0000-1300-000007640200}"/>
                  </a:ext>
                </a:extLst>
              </xdr:cNvPr>
              <xdr:cNvSpPr/>
            </xdr:nvSpPr>
            <xdr:spPr bwMode="auto">
              <a:xfrm>
                <a:off x="3693194" y="3303874"/>
                <a:ext cx="1959425" cy="1648422"/>
              </a:xfrm>
              <a:prstGeom prst="rect">
                <a:avLst/>
              </a:prstGeom>
              <a:noFill/>
              <a:ln w="9525">
                <a:miter lim="800000"/>
                <a:headEnd/>
                <a:tailEnd/>
              </a:ln>
              <a:extLst>
                <a:ext uri="{909E8E84-426E-40DD-AFC4-6F175D3DCCD1}">
                  <a14:hiddenFill>
                    <a:noFill/>
                  </a14:hiddenFill>
                </a:ext>
              </a:extLst>
            </xdr:spPr>
          </xdr:sp>
          <xdr:sp macro="" textlink="">
            <xdr:nvSpPr>
              <xdr:cNvPr id="156680" name="Option Button 8" descr="Case d'option 47" hidden="1">
                <a:extLst>
                  <a:ext uri="{63B3BB69-23CF-44E3-9099-C40C66FF867C}">
                    <a14:compatExt spid="_x0000_s156680"/>
                  </a:ext>
                  <a:ext uri="{FF2B5EF4-FFF2-40B4-BE49-F238E27FC236}">
                    <a16:creationId xmlns:a16="http://schemas.microsoft.com/office/drawing/2014/main" id="{00000000-0008-0000-1300-00000864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681" name="Option Button 9" hidden="1">
                <a:extLst>
                  <a:ext uri="{63B3BB69-23CF-44E3-9099-C40C66FF867C}">
                    <a14:compatExt spid="_x0000_s156681"/>
                  </a:ext>
                  <a:ext uri="{FF2B5EF4-FFF2-40B4-BE49-F238E27FC236}">
                    <a16:creationId xmlns:a16="http://schemas.microsoft.com/office/drawing/2014/main" id="{00000000-0008-0000-1300-0000096402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682" name="Option Button 10" hidden="1">
                <a:extLst>
                  <a:ext uri="{63B3BB69-23CF-44E3-9099-C40C66FF867C}">
                    <a14:compatExt spid="_x0000_s156682"/>
                  </a:ext>
                  <a:ext uri="{FF2B5EF4-FFF2-40B4-BE49-F238E27FC236}">
                    <a16:creationId xmlns:a16="http://schemas.microsoft.com/office/drawing/2014/main" id="{00000000-0008-0000-1300-00000A6402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683" name="Option Button 11" hidden="1">
                <a:extLst>
                  <a:ext uri="{63B3BB69-23CF-44E3-9099-C40C66FF867C}">
                    <a14:compatExt spid="_x0000_s156683"/>
                  </a:ext>
                  <a:ext uri="{FF2B5EF4-FFF2-40B4-BE49-F238E27FC236}">
                    <a16:creationId xmlns:a16="http://schemas.microsoft.com/office/drawing/2014/main" id="{00000000-0008-0000-1300-00000B6402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1400-00000E000000}"/>
                </a:ext>
              </a:extLst>
            </xdr:cNvPr>
            <xdr:cNvGrpSpPr/>
          </xdr:nvGrpSpPr>
          <xdr:grpSpPr>
            <a:xfrm>
              <a:off x="3696269" y="10622507"/>
              <a:ext cx="1956179" cy="1649105"/>
              <a:chOff x="2991502" y="2201916"/>
              <a:chExt cx="1964147" cy="1646923"/>
            </a:xfrm>
            <a:solidFill>
              <a:schemeClr val="accent1"/>
            </a:solidFill>
          </xdr:grpSpPr>
          <xdr:sp macro="" textlink="">
            <xdr:nvSpPr>
              <xdr:cNvPr id="156699" name="Option Button 27" descr="Case d'option 47" hidden="1">
                <a:extLst>
                  <a:ext uri="{63B3BB69-23CF-44E3-9099-C40C66FF867C}">
                    <a14:compatExt spid="_x0000_s156699"/>
                  </a:ext>
                  <a:ext uri="{FF2B5EF4-FFF2-40B4-BE49-F238E27FC236}">
                    <a16:creationId xmlns:a16="http://schemas.microsoft.com/office/drawing/2014/main" id="{00000000-0008-0000-1300-00001B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00" name="Option Button 28" hidden="1">
                <a:extLst>
                  <a:ext uri="{63B3BB69-23CF-44E3-9099-C40C66FF867C}">
                    <a14:compatExt spid="_x0000_s156700"/>
                  </a:ext>
                  <a:ext uri="{FF2B5EF4-FFF2-40B4-BE49-F238E27FC236}">
                    <a16:creationId xmlns:a16="http://schemas.microsoft.com/office/drawing/2014/main" id="{00000000-0008-0000-1300-00001C6402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01" name="Option Button 29" hidden="1">
                <a:extLst>
                  <a:ext uri="{63B3BB69-23CF-44E3-9099-C40C66FF867C}">
                    <a14:compatExt spid="_x0000_s156701"/>
                  </a:ext>
                  <a:ext uri="{FF2B5EF4-FFF2-40B4-BE49-F238E27FC236}">
                    <a16:creationId xmlns:a16="http://schemas.microsoft.com/office/drawing/2014/main" id="{00000000-0008-0000-1300-00001D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02" name="Option Button 30" hidden="1">
                <a:extLst>
                  <a:ext uri="{63B3BB69-23CF-44E3-9099-C40C66FF867C}">
                    <a14:compatExt spid="_x0000_s156702"/>
                  </a:ext>
                  <a:ext uri="{FF2B5EF4-FFF2-40B4-BE49-F238E27FC236}">
                    <a16:creationId xmlns:a16="http://schemas.microsoft.com/office/drawing/2014/main" id="{00000000-0008-0000-1300-00001E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03" name="Group Box 31" hidden="1">
                <a:extLst>
                  <a:ext uri="{63B3BB69-23CF-44E3-9099-C40C66FF867C}">
                    <a14:compatExt spid="_x0000_s156703"/>
                  </a:ext>
                  <a:ext uri="{FF2B5EF4-FFF2-40B4-BE49-F238E27FC236}">
                    <a16:creationId xmlns:a16="http://schemas.microsoft.com/office/drawing/2014/main" id="{00000000-0008-0000-1300-00001F640200}"/>
                  </a:ext>
                </a:extLst>
              </xdr:cNvPr>
              <xdr:cNvSpPr/>
            </xdr:nvSpPr>
            <xdr:spPr bwMode="auto">
              <a:xfrm>
                <a:off x="2991502" y="2201916"/>
                <a:ext cx="1964147"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1400-00000F000000}"/>
                </a:ext>
              </a:extLst>
            </xdr:cNvPr>
            <xdr:cNvGrpSpPr/>
          </xdr:nvGrpSpPr>
          <xdr:grpSpPr>
            <a:xfrm>
              <a:off x="3696269" y="8973403"/>
              <a:ext cx="1956179" cy="1649104"/>
              <a:chOff x="2994706" y="2201926"/>
              <a:chExt cx="1960968" cy="1646930"/>
            </a:xfrm>
          </xdr:grpSpPr>
          <xdr:sp macro="" textlink="">
            <xdr:nvSpPr>
              <xdr:cNvPr id="156704" name="Option Button 32" descr="Case d'option 47" hidden="1">
                <a:extLst>
                  <a:ext uri="{63B3BB69-23CF-44E3-9099-C40C66FF867C}">
                    <a14:compatExt spid="_x0000_s156704"/>
                  </a:ext>
                  <a:ext uri="{FF2B5EF4-FFF2-40B4-BE49-F238E27FC236}">
                    <a16:creationId xmlns:a16="http://schemas.microsoft.com/office/drawing/2014/main" id="{00000000-0008-0000-1300-000020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05" name="Option Button 33" hidden="1">
                <a:extLst>
                  <a:ext uri="{63B3BB69-23CF-44E3-9099-C40C66FF867C}">
                    <a14:compatExt spid="_x0000_s156705"/>
                  </a:ext>
                  <a:ext uri="{FF2B5EF4-FFF2-40B4-BE49-F238E27FC236}">
                    <a16:creationId xmlns:a16="http://schemas.microsoft.com/office/drawing/2014/main" id="{00000000-0008-0000-1300-000021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06" name="Option Button 34" hidden="1">
                <a:extLst>
                  <a:ext uri="{63B3BB69-23CF-44E3-9099-C40C66FF867C}">
                    <a14:compatExt spid="_x0000_s156706"/>
                  </a:ext>
                  <a:ext uri="{FF2B5EF4-FFF2-40B4-BE49-F238E27FC236}">
                    <a16:creationId xmlns:a16="http://schemas.microsoft.com/office/drawing/2014/main" id="{00000000-0008-0000-1300-000022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07" name="Option Button 35" hidden="1">
                <a:extLst>
                  <a:ext uri="{63B3BB69-23CF-44E3-9099-C40C66FF867C}">
                    <a14:compatExt spid="_x0000_s156707"/>
                  </a:ext>
                  <a:ext uri="{FF2B5EF4-FFF2-40B4-BE49-F238E27FC236}">
                    <a16:creationId xmlns:a16="http://schemas.microsoft.com/office/drawing/2014/main" id="{00000000-0008-0000-1300-000023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08" name="Group Box 36" hidden="1">
                <a:extLst>
                  <a:ext uri="{63B3BB69-23CF-44E3-9099-C40C66FF867C}">
                    <a14:compatExt spid="_x0000_s156708"/>
                  </a:ext>
                  <a:ext uri="{FF2B5EF4-FFF2-40B4-BE49-F238E27FC236}">
                    <a16:creationId xmlns:a16="http://schemas.microsoft.com/office/drawing/2014/main" id="{00000000-0008-0000-1300-000024640200}"/>
                  </a:ext>
                </a:extLst>
              </xdr:cNvPr>
              <xdr:cNvSpPr/>
            </xdr:nvSpPr>
            <xdr:spPr bwMode="auto">
              <a:xfrm>
                <a:off x="2994706" y="2201926"/>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4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400-000012000000}"/>
                </a:ext>
              </a:extLst>
            </xdr:cNvPr>
            <xdr:cNvGrpSpPr/>
          </xdr:nvGrpSpPr>
          <xdr:grpSpPr>
            <a:xfrm>
              <a:off x="3696269" y="17105194"/>
              <a:ext cx="1956179" cy="1649105"/>
              <a:chOff x="2995478" y="3846810"/>
              <a:chExt cx="1960181" cy="1644868"/>
            </a:xfrm>
          </xdr:grpSpPr>
          <xdr:sp macro="" textlink="">
            <xdr:nvSpPr>
              <xdr:cNvPr id="156709" name="Option Button 37" hidden="1">
                <a:extLst>
                  <a:ext uri="{63B3BB69-23CF-44E3-9099-C40C66FF867C}">
                    <a14:compatExt spid="_x0000_s156709"/>
                  </a:ext>
                  <a:ext uri="{FF2B5EF4-FFF2-40B4-BE49-F238E27FC236}">
                    <a16:creationId xmlns:a16="http://schemas.microsoft.com/office/drawing/2014/main" id="{00000000-0008-0000-1300-000025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10" name="Option Button 38" hidden="1">
                <a:extLst>
                  <a:ext uri="{63B3BB69-23CF-44E3-9099-C40C66FF867C}">
                    <a14:compatExt spid="_x0000_s156710"/>
                  </a:ext>
                  <a:ext uri="{FF2B5EF4-FFF2-40B4-BE49-F238E27FC236}">
                    <a16:creationId xmlns:a16="http://schemas.microsoft.com/office/drawing/2014/main" id="{00000000-0008-0000-1300-000026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11" name="Option Button 39" hidden="1">
                <a:extLst>
                  <a:ext uri="{63B3BB69-23CF-44E3-9099-C40C66FF867C}">
                    <a14:compatExt spid="_x0000_s156711"/>
                  </a:ext>
                  <a:ext uri="{FF2B5EF4-FFF2-40B4-BE49-F238E27FC236}">
                    <a16:creationId xmlns:a16="http://schemas.microsoft.com/office/drawing/2014/main" id="{00000000-0008-0000-1300-000027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12" name="Option Button 40" hidden="1">
                <a:extLst>
                  <a:ext uri="{63B3BB69-23CF-44E3-9099-C40C66FF867C}">
                    <a14:compatExt spid="_x0000_s156712"/>
                  </a:ext>
                  <a:ext uri="{FF2B5EF4-FFF2-40B4-BE49-F238E27FC236}">
                    <a16:creationId xmlns:a16="http://schemas.microsoft.com/office/drawing/2014/main" id="{00000000-0008-0000-1300-000028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13" name="Group Box 41" hidden="1">
                <a:extLst>
                  <a:ext uri="{63B3BB69-23CF-44E3-9099-C40C66FF867C}">
                    <a14:compatExt spid="_x0000_s156713"/>
                  </a:ext>
                  <a:ext uri="{FF2B5EF4-FFF2-40B4-BE49-F238E27FC236}">
                    <a16:creationId xmlns:a16="http://schemas.microsoft.com/office/drawing/2014/main" id="{00000000-0008-0000-1300-000029640200}"/>
                  </a:ext>
                </a:extLst>
              </xdr:cNvPr>
              <xdr:cNvSpPr/>
            </xdr:nvSpPr>
            <xdr:spPr bwMode="auto">
              <a:xfrm>
                <a:off x="2995478" y="3846810"/>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4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4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4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4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4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1400-000019000000}"/>
                </a:ext>
              </a:extLst>
            </xdr:cNvPr>
            <xdr:cNvGrpSpPr/>
          </xdr:nvGrpSpPr>
          <xdr:grpSpPr>
            <a:xfrm>
              <a:off x="3697726" y="23701612"/>
              <a:ext cx="1955323" cy="1649104"/>
              <a:chOff x="2994693" y="2201950"/>
              <a:chExt cx="1960967" cy="1646923"/>
            </a:xfrm>
          </xdr:grpSpPr>
          <xdr:sp macro="" textlink="">
            <xdr:nvSpPr>
              <xdr:cNvPr id="156720" name="Option Button 48" descr="Case d'option 47" hidden="1">
                <a:extLst>
                  <a:ext uri="{63B3BB69-23CF-44E3-9099-C40C66FF867C}">
                    <a14:compatExt spid="_x0000_s156720"/>
                  </a:ext>
                  <a:ext uri="{FF2B5EF4-FFF2-40B4-BE49-F238E27FC236}">
                    <a16:creationId xmlns:a16="http://schemas.microsoft.com/office/drawing/2014/main" id="{00000000-0008-0000-1300-000030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21" name="Option Button 49" hidden="1">
                <a:extLst>
                  <a:ext uri="{63B3BB69-23CF-44E3-9099-C40C66FF867C}">
                    <a14:compatExt spid="_x0000_s156721"/>
                  </a:ext>
                  <a:ext uri="{FF2B5EF4-FFF2-40B4-BE49-F238E27FC236}">
                    <a16:creationId xmlns:a16="http://schemas.microsoft.com/office/drawing/2014/main" id="{00000000-0008-0000-1300-000031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22" name="Option Button 50" hidden="1">
                <a:extLst>
                  <a:ext uri="{63B3BB69-23CF-44E3-9099-C40C66FF867C}">
                    <a14:compatExt spid="_x0000_s156722"/>
                  </a:ext>
                  <a:ext uri="{FF2B5EF4-FFF2-40B4-BE49-F238E27FC236}">
                    <a16:creationId xmlns:a16="http://schemas.microsoft.com/office/drawing/2014/main" id="{00000000-0008-0000-1300-000032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23" name="Option Button 51" hidden="1">
                <a:extLst>
                  <a:ext uri="{63B3BB69-23CF-44E3-9099-C40C66FF867C}">
                    <a14:compatExt spid="_x0000_s156723"/>
                  </a:ext>
                  <a:ext uri="{FF2B5EF4-FFF2-40B4-BE49-F238E27FC236}">
                    <a16:creationId xmlns:a16="http://schemas.microsoft.com/office/drawing/2014/main" id="{00000000-0008-0000-1300-000033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24" name="Group Box 52" hidden="1">
                <a:extLst>
                  <a:ext uri="{63B3BB69-23CF-44E3-9099-C40C66FF867C}">
                    <a14:compatExt spid="_x0000_s156724"/>
                  </a:ext>
                  <a:ext uri="{FF2B5EF4-FFF2-40B4-BE49-F238E27FC236}">
                    <a16:creationId xmlns:a16="http://schemas.microsoft.com/office/drawing/2014/main" id="{00000000-0008-0000-1300-000034640200}"/>
                  </a:ext>
                </a:extLst>
              </xdr:cNvPr>
              <xdr:cNvSpPr/>
            </xdr:nvSpPr>
            <xdr:spPr bwMode="auto">
              <a:xfrm>
                <a:off x="2994693" y="2201950"/>
                <a:ext cx="1960967"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1400-00001A000000}"/>
                </a:ext>
              </a:extLst>
            </xdr:cNvPr>
            <xdr:cNvGrpSpPr/>
          </xdr:nvGrpSpPr>
          <xdr:grpSpPr>
            <a:xfrm>
              <a:off x="3696269" y="22052510"/>
              <a:ext cx="1956179" cy="1649105"/>
              <a:chOff x="2995478" y="3846822"/>
              <a:chExt cx="1960181" cy="1644869"/>
            </a:xfrm>
          </xdr:grpSpPr>
          <xdr:sp macro="" textlink="">
            <xdr:nvSpPr>
              <xdr:cNvPr id="156725" name="Option Button 53" hidden="1">
                <a:extLst>
                  <a:ext uri="{63B3BB69-23CF-44E3-9099-C40C66FF867C}">
                    <a14:compatExt spid="_x0000_s156725"/>
                  </a:ext>
                  <a:ext uri="{FF2B5EF4-FFF2-40B4-BE49-F238E27FC236}">
                    <a16:creationId xmlns:a16="http://schemas.microsoft.com/office/drawing/2014/main" id="{00000000-0008-0000-1300-000035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26" name="Option Button 54" hidden="1">
                <a:extLst>
                  <a:ext uri="{63B3BB69-23CF-44E3-9099-C40C66FF867C}">
                    <a14:compatExt spid="_x0000_s156726"/>
                  </a:ext>
                  <a:ext uri="{FF2B5EF4-FFF2-40B4-BE49-F238E27FC236}">
                    <a16:creationId xmlns:a16="http://schemas.microsoft.com/office/drawing/2014/main" id="{00000000-0008-0000-1300-000036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27" name="Option Button 55" hidden="1">
                <a:extLst>
                  <a:ext uri="{63B3BB69-23CF-44E3-9099-C40C66FF867C}">
                    <a14:compatExt spid="_x0000_s156727"/>
                  </a:ext>
                  <a:ext uri="{FF2B5EF4-FFF2-40B4-BE49-F238E27FC236}">
                    <a16:creationId xmlns:a16="http://schemas.microsoft.com/office/drawing/2014/main" id="{00000000-0008-0000-1300-000037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28" name="Option Button 56" hidden="1">
                <a:extLst>
                  <a:ext uri="{63B3BB69-23CF-44E3-9099-C40C66FF867C}">
                    <a14:compatExt spid="_x0000_s156728"/>
                  </a:ext>
                  <a:ext uri="{FF2B5EF4-FFF2-40B4-BE49-F238E27FC236}">
                    <a16:creationId xmlns:a16="http://schemas.microsoft.com/office/drawing/2014/main" id="{00000000-0008-0000-1300-000038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29" name="Group Box 57" hidden="1">
                <a:extLst>
                  <a:ext uri="{63B3BB69-23CF-44E3-9099-C40C66FF867C}">
                    <a14:compatExt spid="_x0000_s156729"/>
                  </a:ext>
                  <a:ext uri="{FF2B5EF4-FFF2-40B4-BE49-F238E27FC236}">
                    <a16:creationId xmlns:a16="http://schemas.microsoft.com/office/drawing/2014/main" id="{00000000-0008-0000-1300-000039640200}"/>
                  </a:ext>
                </a:extLst>
              </xdr:cNvPr>
              <xdr:cNvSpPr/>
            </xdr:nvSpPr>
            <xdr:spPr bwMode="auto">
              <a:xfrm>
                <a:off x="2995478" y="3846822"/>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1400-00001B000000}"/>
                </a:ext>
              </a:extLst>
            </xdr:cNvPr>
            <xdr:cNvGrpSpPr/>
          </xdr:nvGrpSpPr>
          <xdr:grpSpPr>
            <a:xfrm>
              <a:off x="3696829" y="20403710"/>
              <a:ext cx="1954893" cy="1650855"/>
              <a:chOff x="2994659" y="2201950"/>
              <a:chExt cx="1960969" cy="1646922"/>
            </a:xfrm>
          </xdr:grpSpPr>
          <xdr:sp macro="" textlink="">
            <xdr:nvSpPr>
              <xdr:cNvPr id="156730" name="Option Button 58" descr="Case d'option 47" hidden="1">
                <a:extLst>
                  <a:ext uri="{63B3BB69-23CF-44E3-9099-C40C66FF867C}">
                    <a14:compatExt spid="_x0000_s156730"/>
                  </a:ext>
                  <a:ext uri="{FF2B5EF4-FFF2-40B4-BE49-F238E27FC236}">
                    <a16:creationId xmlns:a16="http://schemas.microsoft.com/office/drawing/2014/main" id="{00000000-0008-0000-1300-00003A6402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31" name="Option Button 59" hidden="1">
                <a:extLst>
                  <a:ext uri="{63B3BB69-23CF-44E3-9099-C40C66FF867C}">
                    <a14:compatExt spid="_x0000_s156731"/>
                  </a:ext>
                  <a:ext uri="{FF2B5EF4-FFF2-40B4-BE49-F238E27FC236}">
                    <a16:creationId xmlns:a16="http://schemas.microsoft.com/office/drawing/2014/main" id="{00000000-0008-0000-1300-00003B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32" name="Option Button 60" hidden="1">
                <a:extLst>
                  <a:ext uri="{63B3BB69-23CF-44E3-9099-C40C66FF867C}">
                    <a14:compatExt spid="_x0000_s156732"/>
                  </a:ext>
                  <a:ext uri="{FF2B5EF4-FFF2-40B4-BE49-F238E27FC236}">
                    <a16:creationId xmlns:a16="http://schemas.microsoft.com/office/drawing/2014/main" id="{00000000-0008-0000-1300-00003C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33" name="Option Button 61" hidden="1">
                <a:extLst>
                  <a:ext uri="{63B3BB69-23CF-44E3-9099-C40C66FF867C}">
                    <a14:compatExt spid="_x0000_s156733"/>
                  </a:ext>
                  <a:ext uri="{FF2B5EF4-FFF2-40B4-BE49-F238E27FC236}">
                    <a16:creationId xmlns:a16="http://schemas.microsoft.com/office/drawing/2014/main" id="{00000000-0008-0000-1300-00003D6402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34" name="Group Box 62" hidden="1">
                <a:extLst>
                  <a:ext uri="{63B3BB69-23CF-44E3-9099-C40C66FF867C}">
                    <a14:compatExt spid="_x0000_s156734"/>
                  </a:ext>
                  <a:ext uri="{FF2B5EF4-FFF2-40B4-BE49-F238E27FC236}">
                    <a16:creationId xmlns:a16="http://schemas.microsoft.com/office/drawing/2014/main" id="{00000000-0008-0000-1300-00003E640200}"/>
                  </a:ext>
                </a:extLst>
              </xdr:cNvPr>
              <xdr:cNvSpPr/>
            </xdr:nvSpPr>
            <xdr:spPr bwMode="auto">
              <a:xfrm>
                <a:off x="2994659" y="2201950"/>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400-00001C000000}"/>
                </a:ext>
              </a:extLst>
            </xdr:cNvPr>
            <xdr:cNvGrpSpPr/>
          </xdr:nvGrpSpPr>
          <xdr:grpSpPr>
            <a:xfrm>
              <a:off x="3696269" y="18754299"/>
              <a:ext cx="1956179" cy="1649104"/>
              <a:chOff x="2994706" y="2201925"/>
              <a:chExt cx="1960968" cy="1646923"/>
            </a:xfrm>
          </xdr:grpSpPr>
          <xdr:sp macro="" textlink="">
            <xdr:nvSpPr>
              <xdr:cNvPr id="156735" name="Option Button 63" descr="Case d'option 47" hidden="1">
                <a:extLst>
                  <a:ext uri="{63B3BB69-23CF-44E3-9099-C40C66FF867C}">
                    <a14:compatExt spid="_x0000_s156735"/>
                  </a:ext>
                  <a:ext uri="{FF2B5EF4-FFF2-40B4-BE49-F238E27FC236}">
                    <a16:creationId xmlns:a16="http://schemas.microsoft.com/office/drawing/2014/main" id="{00000000-0008-0000-1300-00003F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36" name="Option Button 64" hidden="1">
                <a:extLst>
                  <a:ext uri="{63B3BB69-23CF-44E3-9099-C40C66FF867C}">
                    <a14:compatExt spid="_x0000_s156736"/>
                  </a:ext>
                  <a:ext uri="{FF2B5EF4-FFF2-40B4-BE49-F238E27FC236}">
                    <a16:creationId xmlns:a16="http://schemas.microsoft.com/office/drawing/2014/main" id="{00000000-0008-0000-1300-000040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37" name="Option Button 65" hidden="1">
                <a:extLst>
                  <a:ext uri="{63B3BB69-23CF-44E3-9099-C40C66FF867C}">
                    <a14:compatExt spid="_x0000_s156737"/>
                  </a:ext>
                  <a:ext uri="{FF2B5EF4-FFF2-40B4-BE49-F238E27FC236}">
                    <a16:creationId xmlns:a16="http://schemas.microsoft.com/office/drawing/2014/main" id="{00000000-0008-0000-1300-000041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38" name="Option Button 66" hidden="1">
                <a:extLst>
                  <a:ext uri="{63B3BB69-23CF-44E3-9099-C40C66FF867C}">
                    <a14:compatExt spid="_x0000_s156738"/>
                  </a:ext>
                  <a:ext uri="{FF2B5EF4-FFF2-40B4-BE49-F238E27FC236}">
                    <a16:creationId xmlns:a16="http://schemas.microsoft.com/office/drawing/2014/main" id="{00000000-0008-0000-1300-000042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39" name="Group Box 67" hidden="1">
                <a:extLst>
                  <a:ext uri="{63B3BB69-23CF-44E3-9099-C40C66FF867C}">
                    <a14:compatExt spid="_x0000_s156739"/>
                  </a:ext>
                  <a:ext uri="{FF2B5EF4-FFF2-40B4-BE49-F238E27FC236}">
                    <a16:creationId xmlns:a16="http://schemas.microsoft.com/office/drawing/2014/main" id="{00000000-0008-0000-1300-000043640200}"/>
                  </a:ext>
                </a:extLst>
              </xdr:cNvPr>
              <xdr:cNvSpPr/>
            </xdr:nvSpPr>
            <xdr:spPr bwMode="auto">
              <a:xfrm>
                <a:off x="2994706" y="2201925"/>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4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400-00001E000000}"/>
                </a:ext>
              </a:extLst>
            </xdr:cNvPr>
            <xdr:cNvGrpSpPr/>
          </xdr:nvGrpSpPr>
          <xdr:grpSpPr>
            <a:xfrm>
              <a:off x="3696269" y="27511612"/>
              <a:ext cx="1956179" cy="1651159"/>
              <a:chOff x="2994710" y="2201920"/>
              <a:chExt cx="1960968" cy="1646924"/>
            </a:xfrm>
          </xdr:grpSpPr>
          <xdr:sp macro="" textlink="">
            <xdr:nvSpPr>
              <xdr:cNvPr id="156740" name="Option Button 68" descr="Case d'option 47" hidden="1">
                <a:extLst>
                  <a:ext uri="{63B3BB69-23CF-44E3-9099-C40C66FF867C}">
                    <a14:compatExt spid="_x0000_s156740"/>
                  </a:ext>
                  <a:ext uri="{FF2B5EF4-FFF2-40B4-BE49-F238E27FC236}">
                    <a16:creationId xmlns:a16="http://schemas.microsoft.com/office/drawing/2014/main" id="{00000000-0008-0000-1300-000044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41" name="Option Button 69" hidden="1">
                <a:extLst>
                  <a:ext uri="{63B3BB69-23CF-44E3-9099-C40C66FF867C}">
                    <a14:compatExt spid="_x0000_s156741"/>
                  </a:ext>
                  <a:ext uri="{FF2B5EF4-FFF2-40B4-BE49-F238E27FC236}">
                    <a16:creationId xmlns:a16="http://schemas.microsoft.com/office/drawing/2014/main" id="{00000000-0008-0000-1300-000045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42" name="Option Button 70" hidden="1">
                <a:extLst>
                  <a:ext uri="{63B3BB69-23CF-44E3-9099-C40C66FF867C}">
                    <a14:compatExt spid="_x0000_s156742"/>
                  </a:ext>
                  <a:ext uri="{FF2B5EF4-FFF2-40B4-BE49-F238E27FC236}">
                    <a16:creationId xmlns:a16="http://schemas.microsoft.com/office/drawing/2014/main" id="{00000000-0008-0000-1300-000046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43" name="Option Button 71" hidden="1">
                <a:extLst>
                  <a:ext uri="{63B3BB69-23CF-44E3-9099-C40C66FF867C}">
                    <a14:compatExt spid="_x0000_s156743"/>
                  </a:ext>
                  <a:ext uri="{FF2B5EF4-FFF2-40B4-BE49-F238E27FC236}">
                    <a16:creationId xmlns:a16="http://schemas.microsoft.com/office/drawing/2014/main" id="{00000000-0008-0000-1300-000047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44" name="Group Box 72" hidden="1">
                <a:extLst>
                  <a:ext uri="{63B3BB69-23CF-44E3-9099-C40C66FF867C}">
                    <a14:compatExt spid="_x0000_s156744"/>
                  </a:ext>
                  <a:ext uri="{FF2B5EF4-FFF2-40B4-BE49-F238E27FC236}">
                    <a16:creationId xmlns:a16="http://schemas.microsoft.com/office/drawing/2014/main" id="{00000000-0008-0000-1300-000048640200}"/>
                  </a:ext>
                </a:extLst>
              </xdr:cNvPr>
              <xdr:cNvSpPr/>
            </xdr:nvSpPr>
            <xdr:spPr bwMode="auto">
              <a:xfrm>
                <a:off x="2994710" y="2201920"/>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4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400-000021000000}"/>
                </a:ext>
              </a:extLst>
            </xdr:cNvPr>
            <xdr:cNvGrpSpPr/>
          </xdr:nvGrpSpPr>
          <xdr:grpSpPr>
            <a:xfrm>
              <a:off x="3696269" y="29160716"/>
              <a:ext cx="1956179" cy="1649105"/>
              <a:chOff x="2995478" y="3846754"/>
              <a:chExt cx="1960181" cy="1644868"/>
            </a:xfrm>
          </xdr:grpSpPr>
          <xdr:sp macro="" textlink="">
            <xdr:nvSpPr>
              <xdr:cNvPr id="156745" name="Option Button 73" hidden="1">
                <a:extLst>
                  <a:ext uri="{63B3BB69-23CF-44E3-9099-C40C66FF867C}">
                    <a14:compatExt spid="_x0000_s156745"/>
                  </a:ext>
                  <a:ext uri="{FF2B5EF4-FFF2-40B4-BE49-F238E27FC236}">
                    <a16:creationId xmlns:a16="http://schemas.microsoft.com/office/drawing/2014/main" id="{00000000-0008-0000-1300-000049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46" name="Option Button 74" hidden="1">
                <a:extLst>
                  <a:ext uri="{63B3BB69-23CF-44E3-9099-C40C66FF867C}">
                    <a14:compatExt spid="_x0000_s156746"/>
                  </a:ext>
                  <a:ext uri="{FF2B5EF4-FFF2-40B4-BE49-F238E27FC236}">
                    <a16:creationId xmlns:a16="http://schemas.microsoft.com/office/drawing/2014/main" id="{00000000-0008-0000-1300-00004A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47" name="Option Button 75" hidden="1">
                <a:extLst>
                  <a:ext uri="{63B3BB69-23CF-44E3-9099-C40C66FF867C}">
                    <a14:compatExt spid="_x0000_s156747"/>
                  </a:ext>
                  <a:ext uri="{FF2B5EF4-FFF2-40B4-BE49-F238E27FC236}">
                    <a16:creationId xmlns:a16="http://schemas.microsoft.com/office/drawing/2014/main" id="{00000000-0008-0000-1300-00004B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48" name="Option Button 76" hidden="1">
                <a:extLst>
                  <a:ext uri="{63B3BB69-23CF-44E3-9099-C40C66FF867C}">
                    <a14:compatExt spid="_x0000_s156748"/>
                  </a:ext>
                  <a:ext uri="{FF2B5EF4-FFF2-40B4-BE49-F238E27FC236}">
                    <a16:creationId xmlns:a16="http://schemas.microsoft.com/office/drawing/2014/main" id="{00000000-0008-0000-1300-00004C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49" name="Group Box 77" hidden="1">
                <a:extLst>
                  <a:ext uri="{63B3BB69-23CF-44E3-9099-C40C66FF867C}">
                    <a14:compatExt spid="_x0000_s156749"/>
                  </a:ext>
                  <a:ext uri="{FF2B5EF4-FFF2-40B4-BE49-F238E27FC236}">
                    <a16:creationId xmlns:a16="http://schemas.microsoft.com/office/drawing/2014/main" id="{00000000-0008-0000-1300-00004D640200}"/>
                  </a:ext>
                </a:extLst>
              </xdr:cNvPr>
              <xdr:cNvSpPr/>
            </xdr:nvSpPr>
            <xdr:spPr bwMode="auto">
              <a:xfrm>
                <a:off x="2995478" y="3846754"/>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4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4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4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400-000028000000}"/>
                </a:ext>
              </a:extLst>
            </xdr:cNvPr>
            <xdr:cNvGrpSpPr/>
          </xdr:nvGrpSpPr>
          <xdr:grpSpPr>
            <a:xfrm>
              <a:off x="3696269" y="34619821"/>
              <a:ext cx="1956179" cy="1649104"/>
              <a:chOff x="2995478" y="3846758"/>
              <a:chExt cx="1960181" cy="1644867"/>
            </a:xfrm>
          </xdr:grpSpPr>
          <xdr:sp macro="" textlink="">
            <xdr:nvSpPr>
              <xdr:cNvPr id="156760" name="Option Button 88" hidden="1">
                <a:extLst>
                  <a:ext uri="{63B3BB69-23CF-44E3-9099-C40C66FF867C}">
                    <a14:compatExt spid="_x0000_s156760"/>
                  </a:ext>
                  <a:ext uri="{FF2B5EF4-FFF2-40B4-BE49-F238E27FC236}">
                    <a16:creationId xmlns:a16="http://schemas.microsoft.com/office/drawing/2014/main" id="{00000000-0008-0000-1300-000058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61" name="Option Button 89" hidden="1">
                <a:extLst>
                  <a:ext uri="{63B3BB69-23CF-44E3-9099-C40C66FF867C}">
                    <a14:compatExt spid="_x0000_s156761"/>
                  </a:ext>
                  <a:ext uri="{FF2B5EF4-FFF2-40B4-BE49-F238E27FC236}">
                    <a16:creationId xmlns:a16="http://schemas.microsoft.com/office/drawing/2014/main" id="{00000000-0008-0000-1300-000059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62" name="Option Button 90" hidden="1">
                <a:extLst>
                  <a:ext uri="{63B3BB69-23CF-44E3-9099-C40C66FF867C}">
                    <a14:compatExt spid="_x0000_s156762"/>
                  </a:ext>
                  <a:ext uri="{FF2B5EF4-FFF2-40B4-BE49-F238E27FC236}">
                    <a16:creationId xmlns:a16="http://schemas.microsoft.com/office/drawing/2014/main" id="{00000000-0008-0000-1300-00005A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63" name="Option Button 91" hidden="1">
                <a:extLst>
                  <a:ext uri="{63B3BB69-23CF-44E3-9099-C40C66FF867C}">
                    <a14:compatExt spid="_x0000_s156763"/>
                  </a:ext>
                  <a:ext uri="{FF2B5EF4-FFF2-40B4-BE49-F238E27FC236}">
                    <a16:creationId xmlns:a16="http://schemas.microsoft.com/office/drawing/2014/main" id="{00000000-0008-0000-1300-00005B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64" name="Group Box 92" hidden="1">
                <a:extLst>
                  <a:ext uri="{63B3BB69-23CF-44E3-9099-C40C66FF867C}">
                    <a14:compatExt spid="_x0000_s156764"/>
                  </a:ext>
                  <a:ext uri="{FF2B5EF4-FFF2-40B4-BE49-F238E27FC236}">
                    <a16:creationId xmlns:a16="http://schemas.microsoft.com/office/drawing/2014/main" id="{00000000-0008-0000-1300-00005C640200}"/>
                  </a:ext>
                </a:extLst>
              </xdr:cNvPr>
              <xdr:cNvSpPr/>
            </xdr:nvSpPr>
            <xdr:spPr bwMode="auto">
              <a:xfrm>
                <a:off x="2995478" y="3846758"/>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400-000029000000}"/>
                </a:ext>
              </a:extLst>
            </xdr:cNvPr>
            <xdr:cNvGrpSpPr/>
          </xdr:nvGrpSpPr>
          <xdr:grpSpPr>
            <a:xfrm>
              <a:off x="3696269" y="32970716"/>
              <a:ext cx="1956179" cy="1651160"/>
              <a:chOff x="2994710" y="2201912"/>
              <a:chExt cx="1960968" cy="1646922"/>
            </a:xfrm>
          </xdr:grpSpPr>
          <xdr:sp macro="" textlink="">
            <xdr:nvSpPr>
              <xdr:cNvPr id="156765" name="Option Button 93" descr="Case d'option 47" hidden="1">
                <a:extLst>
                  <a:ext uri="{63B3BB69-23CF-44E3-9099-C40C66FF867C}">
                    <a14:compatExt spid="_x0000_s156765"/>
                  </a:ext>
                  <a:ext uri="{FF2B5EF4-FFF2-40B4-BE49-F238E27FC236}">
                    <a16:creationId xmlns:a16="http://schemas.microsoft.com/office/drawing/2014/main" id="{00000000-0008-0000-1300-00005D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66" name="Option Button 94" hidden="1">
                <a:extLst>
                  <a:ext uri="{63B3BB69-23CF-44E3-9099-C40C66FF867C}">
                    <a14:compatExt spid="_x0000_s156766"/>
                  </a:ext>
                  <a:ext uri="{FF2B5EF4-FFF2-40B4-BE49-F238E27FC236}">
                    <a16:creationId xmlns:a16="http://schemas.microsoft.com/office/drawing/2014/main" id="{00000000-0008-0000-1300-00005E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67" name="Option Button 95" hidden="1">
                <a:extLst>
                  <a:ext uri="{63B3BB69-23CF-44E3-9099-C40C66FF867C}">
                    <a14:compatExt spid="_x0000_s156767"/>
                  </a:ext>
                  <a:ext uri="{FF2B5EF4-FFF2-40B4-BE49-F238E27FC236}">
                    <a16:creationId xmlns:a16="http://schemas.microsoft.com/office/drawing/2014/main" id="{00000000-0008-0000-1300-00005F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68" name="Option Button 96" hidden="1">
                <a:extLst>
                  <a:ext uri="{63B3BB69-23CF-44E3-9099-C40C66FF867C}">
                    <a14:compatExt spid="_x0000_s156768"/>
                  </a:ext>
                  <a:ext uri="{FF2B5EF4-FFF2-40B4-BE49-F238E27FC236}">
                    <a16:creationId xmlns:a16="http://schemas.microsoft.com/office/drawing/2014/main" id="{00000000-0008-0000-1300-000060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69" name="Group Box 97" hidden="1">
                <a:extLst>
                  <a:ext uri="{63B3BB69-23CF-44E3-9099-C40C66FF867C}">
                    <a14:compatExt spid="_x0000_s156769"/>
                  </a:ext>
                  <a:ext uri="{FF2B5EF4-FFF2-40B4-BE49-F238E27FC236}">
                    <a16:creationId xmlns:a16="http://schemas.microsoft.com/office/drawing/2014/main" id="{00000000-0008-0000-1300-000061640200}"/>
                  </a:ext>
                </a:extLst>
              </xdr:cNvPr>
              <xdr:cNvSpPr/>
            </xdr:nvSpPr>
            <xdr:spPr bwMode="auto">
              <a:xfrm>
                <a:off x="2994710"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4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4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4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4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1400-00002E000000}"/>
                </a:ext>
              </a:extLst>
            </xdr:cNvPr>
            <xdr:cNvGrpSpPr/>
          </xdr:nvGrpSpPr>
          <xdr:grpSpPr>
            <a:xfrm>
              <a:off x="3696269" y="39567137"/>
              <a:ext cx="1956179" cy="1649102"/>
              <a:chOff x="2995478" y="3846789"/>
              <a:chExt cx="1960181" cy="1644870"/>
            </a:xfrm>
          </xdr:grpSpPr>
          <xdr:sp macro="" textlink="">
            <xdr:nvSpPr>
              <xdr:cNvPr id="156771" name="Option Button 99" hidden="1">
                <a:extLst>
                  <a:ext uri="{63B3BB69-23CF-44E3-9099-C40C66FF867C}">
                    <a14:compatExt spid="_x0000_s156771"/>
                  </a:ext>
                  <a:ext uri="{FF2B5EF4-FFF2-40B4-BE49-F238E27FC236}">
                    <a16:creationId xmlns:a16="http://schemas.microsoft.com/office/drawing/2014/main" id="{00000000-0008-0000-1300-000063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72" name="Option Button 100" hidden="1">
                <a:extLst>
                  <a:ext uri="{63B3BB69-23CF-44E3-9099-C40C66FF867C}">
                    <a14:compatExt spid="_x0000_s156772"/>
                  </a:ext>
                  <a:ext uri="{FF2B5EF4-FFF2-40B4-BE49-F238E27FC236}">
                    <a16:creationId xmlns:a16="http://schemas.microsoft.com/office/drawing/2014/main" id="{00000000-0008-0000-1300-000064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73" name="Option Button 101" hidden="1">
                <a:extLst>
                  <a:ext uri="{63B3BB69-23CF-44E3-9099-C40C66FF867C}">
                    <a14:compatExt spid="_x0000_s156773"/>
                  </a:ext>
                  <a:ext uri="{FF2B5EF4-FFF2-40B4-BE49-F238E27FC236}">
                    <a16:creationId xmlns:a16="http://schemas.microsoft.com/office/drawing/2014/main" id="{00000000-0008-0000-1300-000065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74" name="Option Button 102" hidden="1">
                <a:extLst>
                  <a:ext uri="{63B3BB69-23CF-44E3-9099-C40C66FF867C}">
                    <a14:compatExt spid="_x0000_s156774"/>
                  </a:ext>
                  <a:ext uri="{FF2B5EF4-FFF2-40B4-BE49-F238E27FC236}">
                    <a16:creationId xmlns:a16="http://schemas.microsoft.com/office/drawing/2014/main" id="{00000000-0008-0000-1300-000066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75" name="Group Box 103" hidden="1">
                <a:extLst>
                  <a:ext uri="{63B3BB69-23CF-44E3-9099-C40C66FF867C}">
                    <a14:compatExt spid="_x0000_s156775"/>
                  </a:ext>
                  <a:ext uri="{FF2B5EF4-FFF2-40B4-BE49-F238E27FC236}">
                    <a16:creationId xmlns:a16="http://schemas.microsoft.com/office/drawing/2014/main" id="{00000000-0008-0000-1300-000067640200}"/>
                  </a:ext>
                </a:extLst>
              </xdr:cNvPr>
              <xdr:cNvSpPr/>
            </xdr:nvSpPr>
            <xdr:spPr bwMode="auto">
              <a:xfrm>
                <a:off x="2995478" y="3846789"/>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400-00002F000000}"/>
                </a:ext>
              </a:extLst>
            </xdr:cNvPr>
            <xdr:cNvGrpSpPr/>
          </xdr:nvGrpSpPr>
          <xdr:grpSpPr>
            <a:xfrm>
              <a:off x="3699437" y="37918030"/>
              <a:ext cx="1953011" cy="1651162"/>
              <a:chOff x="2994665" y="2201913"/>
              <a:chExt cx="1960967" cy="1646925"/>
            </a:xfrm>
          </xdr:grpSpPr>
          <xdr:sp macro="" textlink="">
            <xdr:nvSpPr>
              <xdr:cNvPr id="156776" name="Option Button 104" descr="Case d'option 47" hidden="1">
                <a:extLst>
                  <a:ext uri="{63B3BB69-23CF-44E3-9099-C40C66FF867C}">
                    <a14:compatExt spid="_x0000_s156776"/>
                  </a:ext>
                  <a:ext uri="{FF2B5EF4-FFF2-40B4-BE49-F238E27FC236}">
                    <a16:creationId xmlns:a16="http://schemas.microsoft.com/office/drawing/2014/main" id="{00000000-0008-0000-1300-000068640200}"/>
                  </a:ext>
                </a:extLst>
              </xdr:cNvPr>
              <xdr:cNvSpPr/>
            </xdr:nvSpPr>
            <xdr:spPr bwMode="auto">
              <a:xfrm>
                <a:off x="3102129"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77" name="Option Button 105" hidden="1">
                <a:extLst>
                  <a:ext uri="{63B3BB69-23CF-44E3-9099-C40C66FF867C}">
                    <a14:compatExt spid="_x0000_s156777"/>
                  </a:ext>
                  <a:ext uri="{FF2B5EF4-FFF2-40B4-BE49-F238E27FC236}">
                    <a16:creationId xmlns:a16="http://schemas.microsoft.com/office/drawing/2014/main" id="{00000000-0008-0000-1300-000069640200}"/>
                  </a:ext>
                </a:extLst>
              </xdr:cNvPr>
              <xdr:cNvSpPr/>
            </xdr:nvSpPr>
            <xdr:spPr bwMode="auto">
              <a:xfrm>
                <a:off x="3102129"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78" name="Option Button 106" hidden="1">
                <a:extLst>
                  <a:ext uri="{63B3BB69-23CF-44E3-9099-C40C66FF867C}">
                    <a14:compatExt spid="_x0000_s156778"/>
                  </a:ext>
                  <a:ext uri="{FF2B5EF4-FFF2-40B4-BE49-F238E27FC236}">
                    <a16:creationId xmlns:a16="http://schemas.microsoft.com/office/drawing/2014/main" id="{00000000-0008-0000-1300-00006A640200}"/>
                  </a:ext>
                </a:extLst>
              </xdr:cNvPr>
              <xdr:cNvSpPr/>
            </xdr:nvSpPr>
            <xdr:spPr bwMode="auto">
              <a:xfrm>
                <a:off x="3102129"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79" name="Option Button 107" hidden="1">
                <a:extLst>
                  <a:ext uri="{63B3BB69-23CF-44E3-9099-C40C66FF867C}">
                    <a14:compatExt spid="_x0000_s156779"/>
                  </a:ext>
                  <a:ext uri="{FF2B5EF4-FFF2-40B4-BE49-F238E27FC236}">
                    <a16:creationId xmlns:a16="http://schemas.microsoft.com/office/drawing/2014/main" id="{00000000-0008-0000-1300-00006B640200}"/>
                  </a:ext>
                </a:extLst>
              </xdr:cNvPr>
              <xdr:cNvSpPr/>
            </xdr:nvSpPr>
            <xdr:spPr bwMode="auto">
              <a:xfrm>
                <a:off x="3102129"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80" name="Group Box 108" hidden="1">
                <a:extLst>
                  <a:ext uri="{63B3BB69-23CF-44E3-9099-C40C66FF867C}">
                    <a14:compatExt spid="_x0000_s156780"/>
                  </a:ext>
                  <a:ext uri="{FF2B5EF4-FFF2-40B4-BE49-F238E27FC236}">
                    <a16:creationId xmlns:a16="http://schemas.microsoft.com/office/drawing/2014/main" id="{00000000-0008-0000-1300-00006C640200}"/>
                  </a:ext>
                </a:extLst>
              </xdr:cNvPr>
              <xdr:cNvSpPr/>
            </xdr:nvSpPr>
            <xdr:spPr bwMode="auto">
              <a:xfrm>
                <a:off x="2994665" y="2201913"/>
                <a:ext cx="196096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400-000030000000}"/>
                </a:ext>
              </a:extLst>
            </xdr:cNvPr>
            <xdr:cNvGrpSpPr/>
          </xdr:nvGrpSpPr>
          <xdr:grpSpPr>
            <a:xfrm>
              <a:off x="3696269" y="36268925"/>
              <a:ext cx="1956179" cy="1649105"/>
              <a:chOff x="2994706" y="2201923"/>
              <a:chExt cx="1960968" cy="1646930"/>
            </a:xfrm>
          </xdr:grpSpPr>
          <xdr:sp macro="" textlink="">
            <xdr:nvSpPr>
              <xdr:cNvPr id="156781" name="Option Button 109" descr="Case d'option 47" hidden="1">
                <a:extLst>
                  <a:ext uri="{63B3BB69-23CF-44E3-9099-C40C66FF867C}">
                    <a14:compatExt spid="_x0000_s156781"/>
                  </a:ext>
                  <a:ext uri="{FF2B5EF4-FFF2-40B4-BE49-F238E27FC236}">
                    <a16:creationId xmlns:a16="http://schemas.microsoft.com/office/drawing/2014/main" id="{00000000-0008-0000-1300-00006D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82" name="Option Button 110" hidden="1">
                <a:extLst>
                  <a:ext uri="{63B3BB69-23CF-44E3-9099-C40C66FF867C}">
                    <a14:compatExt spid="_x0000_s156782"/>
                  </a:ext>
                  <a:ext uri="{FF2B5EF4-FFF2-40B4-BE49-F238E27FC236}">
                    <a16:creationId xmlns:a16="http://schemas.microsoft.com/office/drawing/2014/main" id="{00000000-0008-0000-1300-00006E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83" name="Option Button 111" hidden="1">
                <a:extLst>
                  <a:ext uri="{63B3BB69-23CF-44E3-9099-C40C66FF867C}">
                    <a14:compatExt spid="_x0000_s156783"/>
                  </a:ext>
                  <a:ext uri="{FF2B5EF4-FFF2-40B4-BE49-F238E27FC236}">
                    <a16:creationId xmlns:a16="http://schemas.microsoft.com/office/drawing/2014/main" id="{00000000-0008-0000-1300-00006F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84" name="Option Button 112" hidden="1">
                <a:extLst>
                  <a:ext uri="{63B3BB69-23CF-44E3-9099-C40C66FF867C}">
                    <a14:compatExt spid="_x0000_s156784"/>
                  </a:ext>
                  <a:ext uri="{FF2B5EF4-FFF2-40B4-BE49-F238E27FC236}">
                    <a16:creationId xmlns:a16="http://schemas.microsoft.com/office/drawing/2014/main" id="{00000000-0008-0000-1300-000070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85" name="Group Box 113" hidden="1">
                <a:extLst>
                  <a:ext uri="{63B3BB69-23CF-44E3-9099-C40C66FF867C}">
                    <a14:compatExt spid="_x0000_s156785"/>
                  </a:ext>
                  <a:ext uri="{FF2B5EF4-FFF2-40B4-BE49-F238E27FC236}">
                    <a16:creationId xmlns:a16="http://schemas.microsoft.com/office/drawing/2014/main" id="{00000000-0008-0000-1300-000071640200}"/>
                  </a:ext>
                </a:extLst>
              </xdr:cNvPr>
              <xdr:cNvSpPr/>
            </xdr:nvSpPr>
            <xdr:spPr bwMode="auto">
              <a:xfrm>
                <a:off x="2994706" y="2201923"/>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4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400-000034000000}"/>
                </a:ext>
              </a:extLst>
            </xdr:cNvPr>
            <xdr:cNvGrpSpPr/>
          </xdr:nvGrpSpPr>
          <xdr:grpSpPr>
            <a:xfrm>
              <a:off x="3696269" y="45344687"/>
              <a:ext cx="1956179" cy="1649104"/>
              <a:chOff x="2995478" y="3846816"/>
              <a:chExt cx="1960181" cy="1644868"/>
            </a:xfrm>
          </xdr:grpSpPr>
          <xdr:sp macro="" textlink="">
            <xdr:nvSpPr>
              <xdr:cNvPr id="156791" name="Option Button 119" hidden="1">
                <a:extLst>
                  <a:ext uri="{63B3BB69-23CF-44E3-9099-C40C66FF867C}">
                    <a14:compatExt spid="_x0000_s156791"/>
                  </a:ext>
                  <a:ext uri="{FF2B5EF4-FFF2-40B4-BE49-F238E27FC236}">
                    <a16:creationId xmlns:a16="http://schemas.microsoft.com/office/drawing/2014/main" id="{00000000-0008-0000-1300-000077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92" name="Option Button 120" hidden="1">
                <a:extLst>
                  <a:ext uri="{63B3BB69-23CF-44E3-9099-C40C66FF867C}">
                    <a14:compatExt spid="_x0000_s156792"/>
                  </a:ext>
                  <a:ext uri="{FF2B5EF4-FFF2-40B4-BE49-F238E27FC236}">
                    <a16:creationId xmlns:a16="http://schemas.microsoft.com/office/drawing/2014/main" id="{00000000-0008-0000-1300-000078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93" name="Option Button 121" hidden="1">
                <a:extLst>
                  <a:ext uri="{63B3BB69-23CF-44E3-9099-C40C66FF867C}">
                    <a14:compatExt spid="_x0000_s156793"/>
                  </a:ext>
                  <a:ext uri="{FF2B5EF4-FFF2-40B4-BE49-F238E27FC236}">
                    <a16:creationId xmlns:a16="http://schemas.microsoft.com/office/drawing/2014/main" id="{00000000-0008-0000-1300-000079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94" name="Option Button 122" hidden="1">
                <a:extLst>
                  <a:ext uri="{63B3BB69-23CF-44E3-9099-C40C66FF867C}">
                    <a14:compatExt spid="_x0000_s156794"/>
                  </a:ext>
                  <a:ext uri="{FF2B5EF4-FFF2-40B4-BE49-F238E27FC236}">
                    <a16:creationId xmlns:a16="http://schemas.microsoft.com/office/drawing/2014/main" id="{00000000-0008-0000-1300-00007A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795" name="Group Box 123" hidden="1">
                <a:extLst>
                  <a:ext uri="{63B3BB69-23CF-44E3-9099-C40C66FF867C}">
                    <a14:compatExt spid="_x0000_s156795"/>
                  </a:ext>
                  <a:ext uri="{FF2B5EF4-FFF2-40B4-BE49-F238E27FC236}">
                    <a16:creationId xmlns:a16="http://schemas.microsoft.com/office/drawing/2014/main" id="{00000000-0008-0000-1300-00007B640200}"/>
                  </a:ext>
                </a:extLst>
              </xdr:cNvPr>
              <xdr:cNvSpPr/>
            </xdr:nvSpPr>
            <xdr:spPr bwMode="auto">
              <a:xfrm>
                <a:off x="2995478" y="3846816"/>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400-000035000000}"/>
                </a:ext>
              </a:extLst>
            </xdr:cNvPr>
            <xdr:cNvGrpSpPr/>
          </xdr:nvGrpSpPr>
          <xdr:grpSpPr>
            <a:xfrm>
              <a:off x="3696269" y="43695582"/>
              <a:ext cx="1956179" cy="1651160"/>
              <a:chOff x="2994710" y="2201912"/>
              <a:chExt cx="1960968" cy="1646922"/>
            </a:xfrm>
          </xdr:grpSpPr>
          <xdr:sp macro="" textlink="">
            <xdr:nvSpPr>
              <xdr:cNvPr id="156796" name="Option Button 124" descr="Case d'option 47" hidden="1">
                <a:extLst>
                  <a:ext uri="{63B3BB69-23CF-44E3-9099-C40C66FF867C}">
                    <a14:compatExt spid="_x0000_s156796"/>
                  </a:ext>
                  <a:ext uri="{FF2B5EF4-FFF2-40B4-BE49-F238E27FC236}">
                    <a16:creationId xmlns:a16="http://schemas.microsoft.com/office/drawing/2014/main" id="{00000000-0008-0000-1300-00007C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797" name="Option Button 125" hidden="1">
                <a:extLst>
                  <a:ext uri="{63B3BB69-23CF-44E3-9099-C40C66FF867C}">
                    <a14:compatExt spid="_x0000_s156797"/>
                  </a:ext>
                  <a:ext uri="{FF2B5EF4-FFF2-40B4-BE49-F238E27FC236}">
                    <a16:creationId xmlns:a16="http://schemas.microsoft.com/office/drawing/2014/main" id="{00000000-0008-0000-1300-00007D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798" name="Option Button 126" hidden="1">
                <a:extLst>
                  <a:ext uri="{63B3BB69-23CF-44E3-9099-C40C66FF867C}">
                    <a14:compatExt spid="_x0000_s156798"/>
                  </a:ext>
                  <a:ext uri="{FF2B5EF4-FFF2-40B4-BE49-F238E27FC236}">
                    <a16:creationId xmlns:a16="http://schemas.microsoft.com/office/drawing/2014/main" id="{00000000-0008-0000-1300-00007E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799" name="Option Button 127" hidden="1">
                <a:extLst>
                  <a:ext uri="{63B3BB69-23CF-44E3-9099-C40C66FF867C}">
                    <a14:compatExt spid="_x0000_s156799"/>
                  </a:ext>
                  <a:ext uri="{FF2B5EF4-FFF2-40B4-BE49-F238E27FC236}">
                    <a16:creationId xmlns:a16="http://schemas.microsoft.com/office/drawing/2014/main" id="{00000000-0008-0000-1300-00007F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00" name="Group Box 128" hidden="1">
                <a:extLst>
                  <a:ext uri="{63B3BB69-23CF-44E3-9099-C40C66FF867C}">
                    <a14:compatExt spid="_x0000_s156800"/>
                  </a:ext>
                  <a:ext uri="{FF2B5EF4-FFF2-40B4-BE49-F238E27FC236}">
                    <a16:creationId xmlns:a16="http://schemas.microsoft.com/office/drawing/2014/main" id="{00000000-0008-0000-1300-000080640200}"/>
                  </a:ext>
                </a:extLst>
              </xdr:cNvPr>
              <xdr:cNvSpPr/>
            </xdr:nvSpPr>
            <xdr:spPr bwMode="auto">
              <a:xfrm>
                <a:off x="2994710"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4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4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4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400-00003A000000}"/>
                </a:ext>
              </a:extLst>
            </xdr:cNvPr>
            <xdr:cNvGrpSpPr/>
          </xdr:nvGrpSpPr>
          <xdr:grpSpPr>
            <a:xfrm>
              <a:off x="3699437" y="48642896"/>
              <a:ext cx="1953011" cy="1649104"/>
              <a:chOff x="2994665" y="2201919"/>
              <a:chExt cx="1960967" cy="1646923"/>
            </a:xfrm>
          </xdr:grpSpPr>
          <xdr:sp macro="" textlink="">
            <xdr:nvSpPr>
              <xdr:cNvPr id="156806" name="Option Button 134" descr="Case d'option 47" hidden="1">
                <a:extLst>
                  <a:ext uri="{63B3BB69-23CF-44E3-9099-C40C66FF867C}">
                    <a14:compatExt spid="_x0000_s156806"/>
                  </a:ext>
                  <a:ext uri="{FF2B5EF4-FFF2-40B4-BE49-F238E27FC236}">
                    <a16:creationId xmlns:a16="http://schemas.microsoft.com/office/drawing/2014/main" id="{00000000-0008-0000-1300-000086640200}"/>
                  </a:ext>
                </a:extLst>
              </xdr:cNvPr>
              <xdr:cNvSpPr/>
            </xdr:nvSpPr>
            <xdr:spPr bwMode="auto">
              <a:xfrm>
                <a:off x="3102129"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807" name="Option Button 135" hidden="1">
                <a:extLst>
                  <a:ext uri="{63B3BB69-23CF-44E3-9099-C40C66FF867C}">
                    <a14:compatExt spid="_x0000_s156807"/>
                  </a:ext>
                  <a:ext uri="{FF2B5EF4-FFF2-40B4-BE49-F238E27FC236}">
                    <a16:creationId xmlns:a16="http://schemas.microsoft.com/office/drawing/2014/main" id="{00000000-0008-0000-1300-000087640200}"/>
                  </a:ext>
                </a:extLst>
              </xdr:cNvPr>
              <xdr:cNvSpPr/>
            </xdr:nvSpPr>
            <xdr:spPr bwMode="auto">
              <a:xfrm>
                <a:off x="3102129"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08" name="Option Button 136" hidden="1">
                <a:extLst>
                  <a:ext uri="{63B3BB69-23CF-44E3-9099-C40C66FF867C}">
                    <a14:compatExt spid="_x0000_s156808"/>
                  </a:ext>
                  <a:ext uri="{FF2B5EF4-FFF2-40B4-BE49-F238E27FC236}">
                    <a16:creationId xmlns:a16="http://schemas.microsoft.com/office/drawing/2014/main" id="{00000000-0008-0000-1300-000088640200}"/>
                  </a:ext>
                </a:extLst>
              </xdr:cNvPr>
              <xdr:cNvSpPr/>
            </xdr:nvSpPr>
            <xdr:spPr bwMode="auto">
              <a:xfrm>
                <a:off x="3102129"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09" name="Option Button 137" hidden="1">
                <a:extLst>
                  <a:ext uri="{63B3BB69-23CF-44E3-9099-C40C66FF867C}">
                    <a14:compatExt spid="_x0000_s156809"/>
                  </a:ext>
                  <a:ext uri="{FF2B5EF4-FFF2-40B4-BE49-F238E27FC236}">
                    <a16:creationId xmlns:a16="http://schemas.microsoft.com/office/drawing/2014/main" id="{00000000-0008-0000-1300-000089640200}"/>
                  </a:ext>
                </a:extLst>
              </xdr:cNvPr>
              <xdr:cNvSpPr/>
            </xdr:nvSpPr>
            <xdr:spPr bwMode="auto">
              <a:xfrm>
                <a:off x="3102129"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10" name="Group Box 138" hidden="1">
                <a:extLst>
                  <a:ext uri="{63B3BB69-23CF-44E3-9099-C40C66FF867C}">
                    <a14:compatExt spid="_x0000_s156810"/>
                  </a:ext>
                  <a:ext uri="{FF2B5EF4-FFF2-40B4-BE49-F238E27FC236}">
                    <a16:creationId xmlns:a16="http://schemas.microsoft.com/office/drawing/2014/main" id="{00000000-0008-0000-1300-00008A640200}"/>
                  </a:ext>
                </a:extLst>
              </xdr:cNvPr>
              <xdr:cNvSpPr/>
            </xdr:nvSpPr>
            <xdr:spPr bwMode="auto">
              <a:xfrm>
                <a:off x="2994665" y="2201919"/>
                <a:ext cx="1960967"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400-00003B000000}"/>
                </a:ext>
              </a:extLst>
            </xdr:cNvPr>
            <xdr:cNvGrpSpPr/>
          </xdr:nvGrpSpPr>
          <xdr:grpSpPr>
            <a:xfrm>
              <a:off x="3696269" y="46993791"/>
              <a:ext cx="1956179" cy="1649105"/>
              <a:chOff x="2994706" y="2201920"/>
              <a:chExt cx="1960968" cy="1646930"/>
            </a:xfrm>
          </xdr:grpSpPr>
          <xdr:sp macro="" textlink="">
            <xdr:nvSpPr>
              <xdr:cNvPr id="156811" name="Option Button 139" descr="Case d'option 47" hidden="1">
                <a:extLst>
                  <a:ext uri="{63B3BB69-23CF-44E3-9099-C40C66FF867C}">
                    <a14:compatExt spid="_x0000_s156811"/>
                  </a:ext>
                  <a:ext uri="{FF2B5EF4-FFF2-40B4-BE49-F238E27FC236}">
                    <a16:creationId xmlns:a16="http://schemas.microsoft.com/office/drawing/2014/main" id="{00000000-0008-0000-1300-00008B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812" name="Option Button 140" hidden="1">
                <a:extLst>
                  <a:ext uri="{63B3BB69-23CF-44E3-9099-C40C66FF867C}">
                    <a14:compatExt spid="_x0000_s156812"/>
                  </a:ext>
                  <a:ext uri="{FF2B5EF4-FFF2-40B4-BE49-F238E27FC236}">
                    <a16:creationId xmlns:a16="http://schemas.microsoft.com/office/drawing/2014/main" id="{00000000-0008-0000-1300-00008C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13" name="Option Button 141" hidden="1">
                <a:extLst>
                  <a:ext uri="{63B3BB69-23CF-44E3-9099-C40C66FF867C}">
                    <a14:compatExt spid="_x0000_s156813"/>
                  </a:ext>
                  <a:ext uri="{FF2B5EF4-FFF2-40B4-BE49-F238E27FC236}">
                    <a16:creationId xmlns:a16="http://schemas.microsoft.com/office/drawing/2014/main" id="{00000000-0008-0000-1300-00008D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14" name="Option Button 142" hidden="1">
                <a:extLst>
                  <a:ext uri="{63B3BB69-23CF-44E3-9099-C40C66FF867C}">
                    <a14:compatExt spid="_x0000_s156814"/>
                  </a:ext>
                  <a:ext uri="{FF2B5EF4-FFF2-40B4-BE49-F238E27FC236}">
                    <a16:creationId xmlns:a16="http://schemas.microsoft.com/office/drawing/2014/main" id="{00000000-0008-0000-1300-00008E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15" name="Group Box 143" hidden="1">
                <a:extLst>
                  <a:ext uri="{63B3BB69-23CF-44E3-9099-C40C66FF867C}">
                    <a14:compatExt spid="_x0000_s156815"/>
                  </a:ext>
                  <a:ext uri="{FF2B5EF4-FFF2-40B4-BE49-F238E27FC236}">
                    <a16:creationId xmlns:a16="http://schemas.microsoft.com/office/drawing/2014/main" id="{00000000-0008-0000-1300-00008F640200}"/>
                  </a:ext>
                </a:extLst>
              </xdr:cNvPr>
              <xdr:cNvSpPr/>
            </xdr:nvSpPr>
            <xdr:spPr bwMode="auto">
              <a:xfrm>
                <a:off x="2994706" y="2201920"/>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156816" name="Group Box 144" hidden="1">
              <a:extLst>
                <a:ext uri="{63B3BB69-23CF-44E3-9099-C40C66FF867C}">
                  <a14:compatExt spid="_x0000_s156816"/>
                </a:ext>
                <a:ext uri="{FF2B5EF4-FFF2-40B4-BE49-F238E27FC236}">
                  <a16:creationId xmlns:a16="http://schemas.microsoft.com/office/drawing/2014/main" id="{00000000-0008-0000-1300-000090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4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4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4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4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56817" name="Ellipse 156816">
          <a:extLst>
            <a:ext uri="{FF2B5EF4-FFF2-40B4-BE49-F238E27FC236}">
              <a16:creationId xmlns:a16="http://schemas.microsoft.com/office/drawing/2014/main" id="{00000000-0008-0000-1400-00009164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56818" name="Groupe 156817">
              <a:extLst>
                <a:ext uri="{FF2B5EF4-FFF2-40B4-BE49-F238E27FC236}">
                  <a16:creationId xmlns:a16="http://schemas.microsoft.com/office/drawing/2014/main" id="{00000000-0008-0000-1400-000092640200}"/>
                </a:ext>
              </a:extLst>
            </xdr:cNvPr>
            <xdr:cNvGrpSpPr/>
          </xdr:nvGrpSpPr>
          <xdr:grpSpPr>
            <a:xfrm>
              <a:off x="3696269" y="14432507"/>
              <a:ext cx="1956179" cy="2672687"/>
              <a:chOff x="2995478" y="3846806"/>
              <a:chExt cx="1960181" cy="1644869"/>
            </a:xfrm>
          </xdr:grpSpPr>
          <xdr:sp macro="" textlink="">
            <xdr:nvSpPr>
              <xdr:cNvPr id="11" name="Option Button 145" hidden="1">
                <a:extLst>
                  <a:ext uri="{63B3BB69-23CF-44E3-9099-C40C66FF867C}">
                    <a14:compatExt spid="_x0000_s156817"/>
                  </a:ext>
                  <a:ext uri="{FF2B5EF4-FFF2-40B4-BE49-F238E27FC236}">
                    <a16:creationId xmlns:a16="http://schemas.microsoft.com/office/drawing/2014/main" id="{00000000-0008-0000-13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2" name="Option Button 146" hidden="1">
                <a:extLst>
                  <a:ext uri="{63B3BB69-23CF-44E3-9099-C40C66FF867C}">
                    <a14:compatExt spid="_x0000_s156818"/>
                  </a:ext>
                  <a:ext uri="{FF2B5EF4-FFF2-40B4-BE49-F238E27FC236}">
                    <a16:creationId xmlns:a16="http://schemas.microsoft.com/office/drawing/2014/main" id="{00000000-0008-0000-1300-00000C000000}"/>
                  </a:ext>
                </a:extLst>
              </xdr:cNvPr>
              <xdr:cNvSpPr/>
            </xdr:nvSpPr>
            <xdr:spPr bwMode="auto">
              <a:xfrm>
                <a:off x="3109748" y="4140161"/>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19" name="Option Button 147" hidden="1">
                <a:extLst>
                  <a:ext uri="{63B3BB69-23CF-44E3-9099-C40C66FF867C}">
                    <a14:compatExt spid="_x0000_s156819"/>
                  </a:ext>
                  <a:ext uri="{FF2B5EF4-FFF2-40B4-BE49-F238E27FC236}">
                    <a16:creationId xmlns:a16="http://schemas.microsoft.com/office/drawing/2014/main" id="{00000000-0008-0000-1300-000093640200}"/>
                  </a:ext>
                </a:extLst>
              </xdr:cNvPr>
              <xdr:cNvSpPr/>
            </xdr:nvSpPr>
            <xdr:spPr bwMode="auto">
              <a:xfrm>
                <a:off x="3109748" y="4303995"/>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20" name="Option Button 148" hidden="1">
                <a:extLst>
                  <a:ext uri="{63B3BB69-23CF-44E3-9099-C40C66FF867C}">
                    <a14:compatExt spid="_x0000_s156820"/>
                  </a:ext>
                  <a:ext uri="{FF2B5EF4-FFF2-40B4-BE49-F238E27FC236}">
                    <a16:creationId xmlns:a16="http://schemas.microsoft.com/office/drawing/2014/main" id="{00000000-0008-0000-1300-000094640200}"/>
                  </a:ext>
                </a:extLst>
              </xdr:cNvPr>
              <xdr:cNvSpPr/>
            </xdr:nvSpPr>
            <xdr:spPr bwMode="auto">
              <a:xfrm>
                <a:off x="3109748" y="4467828"/>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21" name="Group Box 149" hidden="1">
                <a:extLst>
                  <a:ext uri="{63B3BB69-23CF-44E3-9099-C40C66FF867C}">
                    <a14:compatExt spid="_x0000_s156821"/>
                  </a:ext>
                  <a:ext uri="{FF2B5EF4-FFF2-40B4-BE49-F238E27FC236}">
                    <a16:creationId xmlns:a16="http://schemas.microsoft.com/office/drawing/2014/main" id="{00000000-0008-0000-1300-000095640200}"/>
                  </a:ext>
                </a:extLst>
              </xdr:cNvPr>
              <xdr:cNvSpPr/>
            </xdr:nvSpPr>
            <xdr:spPr bwMode="auto">
              <a:xfrm>
                <a:off x="2995478" y="384680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56824" name="ZoneTexte 1">
          <a:extLst>
            <a:ext uri="{FF2B5EF4-FFF2-40B4-BE49-F238E27FC236}">
              <a16:creationId xmlns:a16="http://schemas.microsoft.com/office/drawing/2014/main" id="{00000000-0008-0000-1400-00009864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56825" name="ZoneTexte 1">
          <a:extLst>
            <a:ext uri="{FF2B5EF4-FFF2-40B4-BE49-F238E27FC236}">
              <a16:creationId xmlns:a16="http://schemas.microsoft.com/office/drawing/2014/main" id="{00000000-0008-0000-1400-00009964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56832" name="ZoneTexte 1">
          <a:extLst>
            <a:ext uri="{FF2B5EF4-FFF2-40B4-BE49-F238E27FC236}">
              <a16:creationId xmlns:a16="http://schemas.microsoft.com/office/drawing/2014/main" id="{00000000-0008-0000-1400-0000A064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48</xdr:row>
      <xdr:rowOff>22859</xdr:rowOff>
    </xdr:from>
    <xdr:to>
      <xdr:col>9</xdr:col>
      <xdr:colOff>4572000</xdr:colOff>
      <xdr:row>49</xdr:row>
      <xdr:rowOff>0</xdr:rowOff>
    </xdr:to>
    <xdr:sp macro="" textlink="" fLocksText="0">
      <xdr:nvSpPr>
        <xdr:cNvPr id="156839" name="ZoneTexte 1">
          <a:extLst>
            <a:ext uri="{FF2B5EF4-FFF2-40B4-BE49-F238E27FC236}">
              <a16:creationId xmlns:a16="http://schemas.microsoft.com/office/drawing/2014/main" id="{00000000-0008-0000-1400-0000A764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56840" name="ZoneTexte 1">
          <a:extLst>
            <a:ext uri="{FF2B5EF4-FFF2-40B4-BE49-F238E27FC236}">
              <a16:creationId xmlns:a16="http://schemas.microsoft.com/office/drawing/2014/main" id="{00000000-0008-0000-1400-0000A864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156847" name="ZoneTexte 1">
          <a:extLst>
            <a:ext uri="{FF2B5EF4-FFF2-40B4-BE49-F238E27FC236}">
              <a16:creationId xmlns:a16="http://schemas.microsoft.com/office/drawing/2014/main" id="{00000000-0008-0000-1400-0000AF64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56848" name="ZoneTexte 1">
          <a:extLst>
            <a:ext uri="{FF2B5EF4-FFF2-40B4-BE49-F238E27FC236}">
              <a16:creationId xmlns:a16="http://schemas.microsoft.com/office/drawing/2014/main" id="{00000000-0008-0000-1400-0000B064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156861" name="ZoneTexte 1">
          <a:extLst>
            <a:ext uri="{FF2B5EF4-FFF2-40B4-BE49-F238E27FC236}">
              <a16:creationId xmlns:a16="http://schemas.microsoft.com/office/drawing/2014/main" id="{00000000-0008-0000-1400-0000BD64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156863" name="Groupe 156862">
              <a:extLst>
                <a:ext uri="{FF2B5EF4-FFF2-40B4-BE49-F238E27FC236}">
                  <a16:creationId xmlns:a16="http://schemas.microsoft.com/office/drawing/2014/main" id="{00000000-0008-0000-1400-0000BF640200}"/>
                </a:ext>
              </a:extLst>
            </xdr:cNvPr>
            <xdr:cNvGrpSpPr/>
          </xdr:nvGrpSpPr>
          <xdr:grpSpPr>
            <a:xfrm>
              <a:off x="3696269" y="54056507"/>
              <a:ext cx="1956179" cy="1649105"/>
              <a:chOff x="2995478" y="3846820"/>
              <a:chExt cx="1960181" cy="1644869"/>
            </a:xfrm>
          </xdr:grpSpPr>
          <xdr:sp macro="" textlink="">
            <xdr:nvSpPr>
              <xdr:cNvPr id="13" name="Option Button 175" hidden="1">
                <a:extLst>
                  <a:ext uri="{63B3BB69-23CF-44E3-9099-C40C66FF867C}">
                    <a14:compatExt spid="_x0000_s156847"/>
                  </a:ext>
                  <a:ext uri="{FF2B5EF4-FFF2-40B4-BE49-F238E27FC236}">
                    <a16:creationId xmlns:a16="http://schemas.microsoft.com/office/drawing/2014/main" id="{00000000-0008-0000-1300-00000D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 name="Option Button 176" hidden="1">
                <a:extLst>
                  <a:ext uri="{63B3BB69-23CF-44E3-9099-C40C66FF867C}">
                    <a14:compatExt spid="_x0000_s156848"/>
                  </a:ext>
                  <a:ext uri="{FF2B5EF4-FFF2-40B4-BE49-F238E27FC236}">
                    <a16:creationId xmlns:a16="http://schemas.microsoft.com/office/drawing/2014/main" id="{00000000-0008-0000-1300-000018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49" name="Option Button 177" hidden="1">
                <a:extLst>
                  <a:ext uri="{63B3BB69-23CF-44E3-9099-C40C66FF867C}">
                    <a14:compatExt spid="_x0000_s156849"/>
                  </a:ext>
                  <a:ext uri="{FF2B5EF4-FFF2-40B4-BE49-F238E27FC236}">
                    <a16:creationId xmlns:a16="http://schemas.microsoft.com/office/drawing/2014/main" id="{00000000-0008-0000-1300-0000B1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50" name="Option Button 178" hidden="1">
                <a:extLst>
                  <a:ext uri="{63B3BB69-23CF-44E3-9099-C40C66FF867C}">
                    <a14:compatExt spid="_x0000_s156850"/>
                  </a:ext>
                  <a:ext uri="{FF2B5EF4-FFF2-40B4-BE49-F238E27FC236}">
                    <a16:creationId xmlns:a16="http://schemas.microsoft.com/office/drawing/2014/main" id="{00000000-0008-0000-1300-0000B2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51" name="Group Box 179" hidden="1">
                <a:extLst>
                  <a:ext uri="{63B3BB69-23CF-44E3-9099-C40C66FF867C}">
                    <a14:compatExt spid="_x0000_s156851"/>
                  </a:ext>
                  <a:ext uri="{FF2B5EF4-FFF2-40B4-BE49-F238E27FC236}">
                    <a16:creationId xmlns:a16="http://schemas.microsoft.com/office/drawing/2014/main" id="{00000000-0008-0000-1300-0000B3640200}"/>
                  </a:ext>
                </a:extLst>
              </xdr:cNvPr>
              <xdr:cNvSpPr/>
            </xdr:nvSpPr>
            <xdr:spPr bwMode="auto">
              <a:xfrm>
                <a:off x="2995478" y="3846820"/>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156868" name="Groupe 156867">
              <a:extLst>
                <a:ext uri="{FF2B5EF4-FFF2-40B4-BE49-F238E27FC236}">
                  <a16:creationId xmlns:a16="http://schemas.microsoft.com/office/drawing/2014/main" id="{00000000-0008-0000-1400-0000C4640200}"/>
                </a:ext>
              </a:extLst>
            </xdr:cNvPr>
            <xdr:cNvGrpSpPr/>
          </xdr:nvGrpSpPr>
          <xdr:grpSpPr>
            <a:xfrm>
              <a:off x="3696269" y="52407403"/>
              <a:ext cx="1956179" cy="1651159"/>
              <a:chOff x="2994710" y="2201915"/>
              <a:chExt cx="1960968" cy="1646922"/>
            </a:xfrm>
          </xdr:grpSpPr>
          <xdr:sp macro="" textlink="">
            <xdr:nvSpPr>
              <xdr:cNvPr id="156852" name="Option Button 180" descr="Case d'option 47" hidden="1">
                <a:extLst>
                  <a:ext uri="{63B3BB69-23CF-44E3-9099-C40C66FF867C}">
                    <a14:compatExt spid="_x0000_s156852"/>
                  </a:ext>
                  <a:ext uri="{FF2B5EF4-FFF2-40B4-BE49-F238E27FC236}">
                    <a16:creationId xmlns:a16="http://schemas.microsoft.com/office/drawing/2014/main" id="{00000000-0008-0000-1300-0000B4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853" name="Option Button 181" hidden="1">
                <a:extLst>
                  <a:ext uri="{63B3BB69-23CF-44E3-9099-C40C66FF867C}">
                    <a14:compatExt spid="_x0000_s156853"/>
                  </a:ext>
                  <a:ext uri="{FF2B5EF4-FFF2-40B4-BE49-F238E27FC236}">
                    <a16:creationId xmlns:a16="http://schemas.microsoft.com/office/drawing/2014/main" id="{00000000-0008-0000-1300-0000B56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54" name="Option Button 182" hidden="1">
                <a:extLst>
                  <a:ext uri="{63B3BB69-23CF-44E3-9099-C40C66FF867C}">
                    <a14:compatExt spid="_x0000_s156854"/>
                  </a:ext>
                  <a:ext uri="{FF2B5EF4-FFF2-40B4-BE49-F238E27FC236}">
                    <a16:creationId xmlns:a16="http://schemas.microsoft.com/office/drawing/2014/main" id="{00000000-0008-0000-1300-0000B6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55" name="Option Button 183" hidden="1">
                <a:extLst>
                  <a:ext uri="{63B3BB69-23CF-44E3-9099-C40C66FF867C}">
                    <a14:compatExt spid="_x0000_s156855"/>
                  </a:ext>
                  <a:ext uri="{FF2B5EF4-FFF2-40B4-BE49-F238E27FC236}">
                    <a16:creationId xmlns:a16="http://schemas.microsoft.com/office/drawing/2014/main" id="{00000000-0008-0000-1300-0000B7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56" name="Group Box 184" hidden="1">
                <a:extLst>
                  <a:ext uri="{63B3BB69-23CF-44E3-9099-C40C66FF867C}">
                    <a14:compatExt spid="_x0000_s156856"/>
                  </a:ext>
                  <a:ext uri="{FF2B5EF4-FFF2-40B4-BE49-F238E27FC236}">
                    <a16:creationId xmlns:a16="http://schemas.microsoft.com/office/drawing/2014/main" id="{00000000-0008-0000-1300-0000B8640200}"/>
                  </a:ext>
                </a:extLst>
              </xdr:cNvPr>
              <xdr:cNvSpPr/>
            </xdr:nvSpPr>
            <xdr:spPr bwMode="auto">
              <a:xfrm>
                <a:off x="2994710" y="2201915"/>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156874" name="ZoneTexte 1">
          <a:extLst>
            <a:ext uri="{FF2B5EF4-FFF2-40B4-BE49-F238E27FC236}">
              <a16:creationId xmlns:a16="http://schemas.microsoft.com/office/drawing/2014/main" id="{00000000-0008-0000-1400-0000CA64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156875" name="ZoneTexte 1">
          <a:extLst>
            <a:ext uri="{FF2B5EF4-FFF2-40B4-BE49-F238E27FC236}">
              <a16:creationId xmlns:a16="http://schemas.microsoft.com/office/drawing/2014/main" id="{00000000-0008-0000-1400-0000CB6402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56876" name="ZoneTexte 1">
          <a:extLst>
            <a:ext uri="{FF2B5EF4-FFF2-40B4-BE49-F238E27FC236}">
              <a16:creationId xmlns:a16="http://schemas.microsoft.com/office/drawing/2014/main" id="{00000000-0008-0000-1400-0000CC64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97</xdr:row>
          <xdr:rowOff>3</xdr:rowOff>
        </xdr:from>
        <xdr:to>
          <xdr:col>8</xdr:col>
          <xdr:colOff>0</xdr:colOff>
          <xdr:row>98</xdr:row>
          <xdr:rowOff>3</xdr:rowOff>
        </xdr:to>
        <xdr:grpSp>
          <xdr:nvGrpSpPr>
            <xdr:cNvPr id="156877" name="Groupe 156876">
              <a:extLst>
                <a:ext uri="{FF2B5EF4-FFF2-40B4-BE49-F238E27FC236}">
                  <a16:creationId xmlns:a16="http://schemas.microsoft.com/office/drawing/2014/main" id="{00000000-0008-0000-1400-0000CD640200}"/>
                </a:ext>
              </a:extLst>
            </xdr:cNvPr>
            <xdr:cNvGrpSpPr/>
          </xdr:nvGrpSpPr>
          <xdr:grpSpPr>
            <a:xfrm>
              <a:off x="3696269" y="59003824"/>
              <a:ext cx="1956179" cy="1649101"/>
              <a:chOff x="2995478" y="3846822"/>
              <a:chExt cx="1960181" cy="1644870"/>
            </a:xfrm>
          </xdr:grpSpPr>
          <xdr:sp macro="" textlink="">
            <xdr:nvSpPr>
              <xdr:cNvPr id="156857" name="Option Button 185" hidden="1">
                <a:extLst>
                  <a:ext uri="{63B3BB69-23CF-44E3-9099-C40C66FF867C}">
                    <a14:compatExt spid="_x0000_s156857"/>
                  </a:ext>
                  <a:ext uri="{FF2B5EF4-FFF2-40B4-BE49-F238E27FC236}">
                    <a16:creationId xmlns:a16="http://schemas.microsoft.com/office/drawing/2014/main" id="{00000000-0008-0000-1300-0000B96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6858" name="Option Button 186" hidden="1">
                <a:extLst>
                  <a:ext uri="{63B3BB69-23CF-44E3-9099-C40C66FF867C}">
                    <a14:compatExt spid="_x0000_s156858"/>
                  </a:ext>
                  <a:ext uri="{FF2B5EF4-FFF2-40B4-BE49-F238E27FC236}">
                    <a16:creationId xmlns:a16="http://schemas.microsoft.com/office/drawing/2014/main" id="{00000000-0008-0000-1300-0000BA6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59" name="Option Button 187" hidden="1">
                <a:extLst>
                  <a:ext uri="{63B3BB69-23CF-44E3-9099-C40C66FF867C}">
                    <a14:compatExt spid="_x0000_s156859"/>
                  </a:ext>
                  <a:ext uri="{FF2B5EF4-FFF2-40B4-BE49-F238E27FC236}">
                    <a16:creationId xmlns:a16="http://schemas.microsoft.com/office/drawing/2014/main" id="{00000000-0008-0000-1300-0000BB6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60" name="Option Button 188" hidden="1">
                <a:extLst>
                  <a:ext uri="{63B3BB69-23CF-44E3-9099-C40C66FF867C}">
                    <a14:compatExt spid="_x0000_s156860"/>
                  </a:ext>
                  <a:ext uri="{FF2B5EF4-FFF2-40B4-BE49-F238E27FC236}">
                    <a16:creationId xmlns:a16="http://schemas.microsoft.com/office/drawing/2014/main" id="{00000000-0008-0000-1300-0000BC6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36" name="Group Box 189" hidden="1">
                <a:extLst>
                  <a:ext uri="{63B3BB69-23CF-44E3-9099-C40C66FF867C}">
                    <a14:compatExt spid="_x0000_s156861"/>
                  </a:ext>
                  <a:ext uri="{FF2B5EF4-FFF2-40B4-BE49-F238E27FC236}">
                    <a16:creationId xmlns:a16="http://schemas.microsoft.com/office/drawing/2014/main" id="{00000000-0008-0000-1300-000024000000}"/>
                  </a:ext>
                </a:extLst>
              </xdr:cNvPr>
              <xdr:cNvSpPr/>
            </xdr:nvSpPr>
            <xdr:spPr bwMode="auto">
              <a:xfrm>
                <a:off x="2995478" y="3846822"/>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156883" name="Groupe 156882">
              <a:extLst>
                <a:ext uri="{FF2B5EF4-FFF2-40B4-BE49-F238E27FC236}">
                  <a16:creationId xmlns:a16="http://schemas.microsoft.com/office/drawing/2014/main" id="{00000000-0008-0000-1400-0000D3640200}"/>
                </a:ext>
              </a:extLst>
            </xdr:cNvPr>
            <xdr:cNvGrpSpPr/>
          </xdr:nvGrpSpPr>
          <xdr:grpSpPr>
            <a:xfrm>
              <a:off x="3699437" y="57354716"/>
              <a:ext cx="1953011" cy="1651163"/>
              <a:chOff x="2994665" y="2201917"/>
              <a:chExt cx="1960967" cy="1646926"/>
            </a:xfrm>
          </xdr:grpSpPr>
          <xdr:sp macro="" textlink="">
            <xdr:nvSpPr>
              <xdr:cNvPr id="37" name="Option Button 190" descr="Case d'option 47" hidden="1">
                <a:extLst>
                  <a:ext uri="{63B3BB69-23CF-44E3-9099-C40C66FF867C}">
                    <a14:compatExt spid="_x0000_s156862"/>
                  </a:ext>
                  <a:ext uri="{FF2B5EF4-FFF2-40B4-BE49-F238E27FC236}">
                    <a16:creationId xmlns:a16="http://schemas.microsoft.com/office/drawing/2014/main" id="{00000000-0008-0000-1300-000025000000}"/>
                  </a:ext>
                </a:extLst>
              </xdr:cNvPr>
              <xdr:cNvSpPr/>
            </xdr:nvSpPr>
            <xdr:spPr bwMode="auto">
              <a:xfrm>
                <a:off x="3102129"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49" name="Option Button 191" hidden="1">
                <a:extLst>
                  <a:ext uri="{63B3BB69-23CF-44E3-9099-C40C66FF867C}">
                    <a14:compatExt spid="_x0000_s156863"/>
                  </a:ext>
                  <a:ext uri="{FF2B5EF4-FFF2-40B4-BE49-F238E27FC236}">
                    <a16:creationId xmlns:a16="http://schemas.microsoft.com/office/drawing/2014/main" id="{00000000-0008-0000-1300-000031000000}"/>
                  </a:ext>
                </a:extLst>
              </xdr:cNvPr>
              <xdr:cNvSpPr/>
            </xdr:nvSpPr>
            <xdr:spPr bwMode="auto">
              <a:xfrm>
                <a:off x="3102129"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64" name="Option Button 192" hidden="1">
                <a:extLst>
                  <a:ext uri="{63B3BB69-23CF-44E3-9099-C40C66FF867C}">
                    <a14:compatExt spid="_x0000_s156864"/>
                  </a:ext>
                  <a:ext uri="{FF2B5EF4-FFF2-40B4-BE49-F238E27FC236}">
                    <a16:creationId xmlns:a16="http://schemas.microsoft.com/office/drawing/2014/main" id="{00000000-0008-0000-1300-0000C0640200}"/>
                  </a:ext>
                </a:extLst>
              </xdr:cNvPr>
              <xdr:cNvSpPr/>
            </xdr:nvSpPr>
            <xdr:spPr bwMode="auto">
              <a:xfrm>
                <a:off x="3102129"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65" name="Option Button 193" hidden="1">
                <a:extLst>
                  <a:ext uri="{63B3BB69-23CF-44E3-9099-C40C66FF867C}">
                    <a14:compatExt spid="_x0000_s156865"/>
                  </a:ext>
                  <a:ext uri="{FF2B5EF4-FFF2-40B4-BE49-F238E27FC236}">
                    <a16:creationId xmlns:a16="http://schemas.microsoft.com/office/drawing/2014/main" id="{00000000-0008-0000-1300-0000C1640200}"/>
                  </a:ext>
                </a:extLst>
              </xdr:cNvPr>
              <xdr:cNvSpPr/>
            </xdr:nvSpPr>
            <xdr:spPr bwMode="auto">
              <a:xfrm>
                <a:off x="3102129"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66" name="Group Box 194" hidden="1">
                <a:extLst>
                  <a:ext uri="{63B3BB69-23CF-44E3-9099-C40C66FF867C}">
                    <a14:compatExt spid="_x0000_s156866"/>
                  </a:ext>
                  <a:ext uri="{FF2B5EF4-FFF2-40B4-BE49-F238E27FC236}">
                    <a16:creationId xmlns:a16="http://schemas.microsoft.com/office/drawing/2014/main" id="{00000000-0008-0000-1300-0000C2640200}"/>
                  </a:ext>
                </a:extLst>
              </xdr:cNvPr>
              <xdr:cNvSpPr/>
            </xdr:nvSpPr>
            <xdr:spPr bwMode="auto">
              <a:xfrm>
                <a:off x="2994665" y="2201917"/>
                <a:ext cx="1960967"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156889" name="Groupe 156888">
              <a:extLst>
                <a:ext uri="{FF2B5EF4-FFF2-40B4-BE49-F238E27FC236}">
                  <a16:creationId xmlns:a16="http://schemas.microsoft.com/office/drawing/2014/main" id="{00000000-0008-0000-1400-0000D9640200}"/>
                </a:ext>
              </a:extLst>
            </xdr:cNvPr>
            <xdr:cNvGrpSpPr/>
          </xdr:nvGrpSpPr>
          <xdr:grpSpPr>
            <a:xfrm>
              <a:off x="3696269" y="55705612"/>
              <a:ext cx="1956179" cy="1649104"/>
              <a:chOff x="2994706" y="2201919"/>
              <a:chExt cx="1960968" cy="1646929"/>
            </a:xfrm>
          </xdr:grpSpPr>
          <xdr:sp macro="" textlink="">
            <xdr:nvSpPr>
              <xdr:cNvPr id="156867" name="Option Button 195" descr="Case d'option 47" hidden="1">
                <a:extLst>
                  <a:ext uri="{63B3BB69-23CF-44E3-9099-C40C66FF867C}">
                    <a14:compatExt spid="_x0000_s156867"/>
                  </a:ext>
                  <a:ext uri="{FF2B5EF4-FFF2-40B4-BE49-F238E27FC236}">
                    <a16:creationId xmlns:a16="http://schemas.microsoft.com/office/drawing/2014/main" id="{00000000-0008-0000-1300-0000C36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57" name="Option Button 196" hidden="1">
                <a:extLst>
                  <a:ext uri="{63B3BB69-23CF-44E3-9099-C40C66FF867C}">
                    <a14:compatExt spid="_x0000_s156868"/>
                  </a:ext>
                  <a:ext uri="{FF2B5EF4-FFF2-40B4-BE49-F238E27FC236}">
                    <a16:creationId xmlns:a16="http://schemas.microsoft.com/office/drawing/2014/main" id="{00000000-0008-0000-1300-0000390000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6869" name="Option Button 197" hidden="1">
                <a:extLst>
                  <a:ext uri="{63B3BB69-23CF-44E3-9099-C40C66FF867C}">
                    <a14:compatExt spid="_x0000_s156869"/>
                  </a:ext>
                  <a:ext uri="{FF2B5EF4-FFF2-40B4-BE49-F238E27FC236}">
                    <a16:creationId xmlns:a16="http://schemas.microsoft.com/office/drawing/2014/main" id="{00000000-0008-0000-1300-0000C56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6870" name="Option Button 198" hidden="1">
                <a:extLst>
                  <a:ext uri="{63B3BB69-23CF-44E3-9099-C40C66FF867C}">
                    <a14:compatExt spid="_x0000_s156870"/>
                  </a:ext>
                  <a:ext uri="{FF2B5EF4-FFF2-40B4-BE49-F238E27FC236}">
                    <a16:creationId xmlns:a16="http://schemas.microsoft.com/office/drawing/2014/main" id="{00000000-0008-0000-1300-0000C66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6871" name="Group Box 199" hidden="1">
                <a:extLst>
                  <a:ext uri="{63B3BB69-23CF-44E3-9099-C40C66FF867C}">
                    <a14:compatExt spid="_x0000_s156871"/>
                  </a:ext>
                  <a:ext uri="{FF2B5EF4-FFF2-40B4-BE49-F238E27FC236}">
                    <a16:creationId xmlns:a16="http://schemas.microsoft.com/office/drawing/2014/main" id="{00000000-0008-0000-1300-0000C7640200}"/>
                  </a:ext>
                </a:extLst>
              </xdr:cNvPr>
              <xdr:cNvSpPr/>
            </xdr:nvSpPr>
            <xdr:spPr bwMode="auto">
              <a:xfrm>
                <a:off x="2994706" y="2201919"/>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156895" name="Ellipse 156894">
          <a:extLst>
            <a:ext uri="{FF2B5EF4-FFF2-40B4-BE49-F238E27FC236}">
              <a16:creationId xmlns:a16="http://schemas.microsoft.com/office/drawing/2014/main" id="{00000000-0008-0000-1400-0000DF64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156896" name="ZoneTexte 1">
          <a:extLst>
            <a:ext uri="{FF2B5EF4-FFF2-40B4-BE49-F238E27FC236}">
              <a16:creationId xmlns:a16="http://schemas.microsoft.com/office/drawing/2014/main" id="{00000000-0008-0000-1400-0000E06402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56897" name="ZoneTexte 1">
          <a:extLst>
            <a:ext uri="{FF2B5EF4-FFF2-40B4-BE49-F238E27FC236}">
              <a16:creationId xmlns:a16="http://schemas.microsoft.com/office/drawing/2014/main" id="{00000000-0008-0000-1400-0000E164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156910" name="ZoneTexte 1">
          <a:extLst>
            <a:ext uri="{FF2B5EF4-FFF2-40B4-BE49-F238E27FC236}">
              <a16:creationId xmlns:a16="http://schemas.microsoft.com/office/drawing/2014/main" id="{00000000-0008-0000-1400-0000EE64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156911" name="ZoneTexte 1">
          <a:extLst>
            <a:ext uri="{FF2B5EF4-FFF2-40B4-BE49-F238E27FC236}">
              <a16:creationId xmlns:a16="http://schemas.microsoft.com/office/drawing/2014/main" id="{00000000-0008-0000-1400-0000EF6402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156924" name="ZoneTexte 1">
          <a:extLst>
            <a:ext uri="{FF2B5EF4-FFF2-40B4-BE49-F238E27FC236}">
              <a16:creationId xmlns:a16="http://schemas.microsoft.com/office/drawing/2014/main" id="{00000000-0008-0000-1400-0000FC64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156925" name="ZoneTexte 1">
          <a:extLst>
            <a:ext uri="{FF2B5EF4-FFF2-40B4-BE49-F238E27FC236}">
              <a16:creationId xmlns:a16="http://schemas.microsoft.com/office/drawing/2014/main" id="{00000000-0008-0000-1400-0000FD6402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56926" name="ZoneTexte 1">
          <a:extLst>
            <a:ext uri="{FF2B5EF4-FFF2-40B4-BE49-F238E27FC236}">
              <a16:creationId xmlns:a16="http://schemas.microsoft.com/office/drawing/2014/main" id="{00000000-0008-0000-1400-0000FE64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156945" name="Ellipse 156944">
          <a:extLst>
            <a:ext uri="{FF2B5EF4-FFF2-40B4-BE49-F238E27FC236}">
              <a16:creationId xmlns:a16="http://schemas.microsoft.com/office/drawing/2014/main" id="{00000000-0008-0000-1400-00001165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56946" name="ZoneTexte 1">
          <a:extLst>
            <a:ext uri="{FF2B5EF4-FFF2-40B4-BE49-F238E27FC236}">
              <a16:creationId xmlns:a16="http://schemas.microsoft.com/office/drawing/2014/main" id="{00000000-0008-0000-1400-00001265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56947" name="ZoneTexte 1">
          <a:extLst>
            <a:ext uri="{FF2B5EF4-FFF2-40B4-BE49-F238E27FC236}">
              <a16:creationId xmlns:a16="http://schemas.microsoft.com/office/drawing/2014/main" id="{00000000-0008-0000-1400-00001365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12</xdr:row>
      <xdr:rowOff>22746</xdr:rowOff>
    </xdr:from>
    <xdr:to>
      <xdr:col>9</xdr:col>
      <xdr:colOff>4571656</xdr:colOff>
      <xdr:row>12</xdr:row>
      <xdr:rowOff>3923732</xdr:rowOff>
    </xdr:to>
    <xdr:sp macro="" textlink="" fLocksText="0">
      <xdr:nvSpPr>
        <xdr:cNvPr id="156801" name="ZoneTexte 156800">
          <a:extLst>
            <a:ext uri="{FF2B5EF4-FFF2-40B4-BE49-F238E27FC236}">
              <a16:creationId xmlns:a16="http://schemas.microsoft.com/office/drawing/2014/main" id="{ED0390EF-55B0-4794-8380-4E75915F1B92}"/>
            </a:ext>
          </a:extLst>
        </xdr:cNvPr>
        <xdr:cNvSpPr txBox="1">
          <a:spLocks noChangeArrowheads="1"/>
        </xdr:cNvSpPr>
      </xdr:nvSpPr>
      <xdr:spPr bwMode="auto">
        <a:xfrm>
          <a:off x="6892119" y="5038298"/>
          <a:ext cx="4548910" cy="3900986"/>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156802" name="ZoneTexte 156801">
          <a:extLst>
            <a:ext uri="{FF2B5EF4-FFF2-40B4-BE49-F238E27FC236}">
              <a16:creationId xmlns:a16="http://schemas.microsoft.com/office/drawing/2014/main" id="{98B216EF-58C5-416A-B478-721C585460F0}"/>
            </a:ext>
          </a:extLst>
        </xdr:cNvPr>
        <xdr:cNvSpPr txBox="1">
          <a:spLocks noChangeArrowheads="1"/>
        </xdr:cNvSpPr>
      </xdr:nvSpPr>
      <xdr:spPr bwMode="auto">
        <a:xfrm>
          <a:off x="6892119" y="17127940"/>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1627565</xdr:rowOff>
    </xdr:to>
    <xdr:sp macro="" textlink="" fLocksText="0">
      <xdr:nvSpPr>
        <xdr:cNvPr id="156803" name="ZoneTexte 156802">
          <a:extLst>
            <a:ext uri="{FF2B5EF4-FFF2-40B4-BE49-F238E27FC236}">
              <a16:creationId xmlns:a16="http://schemas.microsoft.com/office/drawing/2014/main" id="{48197CB9-E2E2-42DD-B34D-A85256BA66AA}"/>
            </a:ext>
          </a:extLst>
        </xdr:cNvPr>
        <xdr:cNvSpPr txBox="1">
          <a:spLocks noChangeArrowheads="1"/>
        </xdr:cNvSpPr>
      </xdr:nvSpPr>
      <xdr:spPr bwMode="auto">
        <a:xfrm>
          <a:off x="6892119" y="29183462"/>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78</xdr:row>
      <xdr:rowOff>22746</xdr:rowOff>
    </xdr:from>
    <xdr:to>
      <xdr:col>9</xdr:col>
      <xdr:colOff>4571656</xdr:colOff>
      <xdr:row>78</xdr:row>
      <xdr:rowOff>1627565</xdr:rowOff>
    </xdr:to>
    <xdr:sp macro="" textlink="" fLocksText="0">
      <xdr:nvSpPr>
        <xdr:cNvPr id="156804" name="ZoneTexte 156803">
          <a:extLst>
            <a:ext uri="{FF2B5EF4-FFF2-40B4-BE49-F238E27FC236}">
              <a16:creationId xmlns:a16="http://schemas.microsoft.com/office/drawing/2014/main" id="{BB769E19-F7E4-429C-A6A8-F2D08613A9DF}"/>
            </a:ext>
          </a:extLst>
        </xdr:cNvPr>
        <xdr:cNvSpPr txBox="1">
          <a:spLocks noChangeArrowheads="1"/>
        </xdr:cNvSpPr>
      </xdr:nvSpPr>
      <xdr:spPr bwMode="auto">
        <a:xfrm>
          <a:off x="6892119" y="4536743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94</xdr:row>
      <xdr:rowOff>22746</xdr:rowOff>
    </xdr:from>
    <xdr:to>
      <xdr:col>9</xdr:col>
      <xdr:colOff>4571656</xdr:colOff>
      <xdr:row>94</xdr:row>
      <xdr:rowOff>1627565</xdr:rowOff>
    </xdr:to>
    <xdr:sp macro="" textlink="" fLocksText="0">
      <xdr:nvSpPr>
        <xdr:cNvPr id="156805" name="ZoneTexte 156804">
          <a:extLst>
            <a:ext uri="{FF2B5EF4-FFF2-40B4-BE49-F238E27FC236}">
              <a16:creationId xmlns:a16="http://schemas.microsoft.com/office/drawing/2014/main" id="{A9F75F92-D803-404B-9FC4-E7D82D0A740E}"/>
            </a:ext>
          </a:extLst>
        </xdr:cNvPr>
        <xdr:cNvSpPr txBox="1">
          <a:spLocks noChangeArrowheads="1"/>
        </xdr:cNvSpPr>
      </xdr:nvSpPr>
      <xdr:spPr bwMode="auto">
        <a:xfrm>
          <a:off x="6892119" y="5407925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156822" name="ZoneTexte 156821">
          <a:extLst>
            <a:ext uri="{FF2B5EF4-FFF2-40B4-BE49-F238E27FC236}">
              <a16:creationId xmlns:a16="http://schemas.microsoft.com/office/drawing/2014/main" id="{7188BDC5-C578-45DA-B520-BF201728CCB7}"/>
            </a:ext>
          </a:extLst>
        </xdr:cNvPr>
        <xdr:cNvSpPr txBox="1">
          <a:spLocks noChangeArrowheads="1"/>
        </xdr:cNvSpPr>
      </xdr:nvSpPr>
      <xdr:spPr bwMode="auto">
        <a:xfrm>
          <a:off x="6892119" y="34642567"/>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1006416</xdr:colOff>
      <xdr:row>21</xdr:row>
      <xdr:rowOff>129396</xdr:rowOff>
    </xdr:from>
    <xdr:to>
      <xdr:col>6</xdr:col>
      <xdr:colOff>4070291</xdr:colOff>
      <xdr:row>22</xdr:row>
      <xdr:rowOff>154937</xdr:rowOff>
    </xdr:to>
    <xdr:sp macro="[0]!CalculMaturiteVF" textlink="">
      <xdr:nvSpPr>
        <xdr:cNvPr id="2" name="Rectangle : coins arrondis 1">
          <a:extLst>
            <a:ext uri="{FF2B5EF4-FFF2-40B4-BE49-F238E27FC236}">
              <a16:creationId xmlns:a16="http://schemas.microsoft.com/office/drawing/2014/main" id="{00000000-0008-0000-1500-000002000000}"/>
            </a:ext>
          </a:extLst>
        </xdr:cNvPr>
        <xdr:cNvSpPr/>
      </xdr:nvSpPr>
      <xdr:spPr>
        <a:xfrm>
          <a:off x="3565586" y="8266981"/>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6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6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600-000005000000}"/>
                </a:ext>
              </a:extLst>
            </xdr:cNvPr>
            <xdr:cNvGrpSpPr/>
          </xdr:nvGrpSpPr>
          <xdr:grpSpPr>
            <a:xfrm>
              <a:off x="3696269" y="5015552"/>
              <a:ext cx="1956179" cy="1649105"/>
              <a:chOff x="2995452" y="3846791"/>
              <a:chExt cx="1960181" cy="1644869"/>
            </a:xfrm>
          </xdr:grpSpPr>
          <xdr:sp macro="" textlink="">
            <xdr:nvSpPr>
              <xdr:cNvPr id="224257" name="Option Button 1" hidden="1">
                <a:extLst>
                  <a:ext uri="{63B3BB69-23CF-44E3-9099-C40C66FF867C}">
                    <a14:compatExt spid="_x0000_s224257"/>
                  </a:ext>
                  <a:ext uri="{FF2B5EF4-FFF2-40B4-BE49-F238E27FC236}">
                    <a16:creationId xmlns:a16="http://schemas.microsoft.com/office/drawing/2014/main" id="{00000000-0008-0000-1500-000001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258" name="Option Button 2" hidden="1">
                <a:extLst>
                  <a:ext uri="{63B3BB69-23CF-44E3-9099-C40C66FF867C}">
                    <a14:compatExt spid="_x0000_s224258"/>
                  </a:ext>
                  <a:ext uri="{FF2B5EF4-FFF2-40B4-BE49-F238E27FC236}">
                    <a16:creationId xmlns:a16="http://schemas.microsoft.com/office/drawing/2014/main" id="{00000000-0008-0000-1500-000002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259" name="Option Button 3" hidden="1">
                <a:extLst>
                  <a:ext uri="{63B3BB69-23CF-44E3-9099-C40C66FF867C}">
                    <a14:compatExt spid="_x0000_s224259"/>
                  </a:ext>
                  <a:ext uri="{FF2B5EF4-FFF2-40B4-BE49-F238E27FC236}">
                    <a16:creationId xmlns:a16="http://schemas.microsoft.com/office/drawing/2014/main" id="{00000000-0008-0000-1500-000003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260" name="Option Button 4" hidden="1">
                <a:extLst>
                  <a:ext uri="{63B3BB69-23CF-44E3-9099-C40C66FF867C}">
                    <a14:compatExt spid="_x0000_s224260"/>
                  </a:ext>
                  <a:ext uri="{FF2B5EF4-FFF2-40B4-BE49-F238E27FC236}">
                    <a16:creationId xmlns:a16="http://schemas.microsoft.com/office/drawing/2014/main" id="{00000000-0008-0000-1500-000004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261" name="Group Box 5" hidden="1">
                <a:extLst>
                  <a:ext uri="{63B3BB69-23CF-44E3-9099-C40C66FF867C}">
                    <a14:compatExt spid="_x0000_s224261"/>
                  </a:ext>
                  <a:ext uri="{FF2B5EF4-FFF2-40B4-BE49-F238E27FC236}">
                    <a16:creationId xmlns:a16="http://schemas.microsoft.com/office/drawing/2014/main" id="{00000000-0008-0000-1500-0000056C0300}"/>
                  </a:ext>
                </a:extLst>
              </xdr:cNvPr>
              <xdr:cNvSpPr/>
            </xdr:nvSpPr>
            <xdr:spPr bwMode="auto">
              <a:xfrm>
                <a:off x="2995452" y="384679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6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6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6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6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600-00000A000000}"/>
                </a:ext>
              </a:extLst>
            </xdr:cNvPr>
            <xdr:cNvGrpSpPr/>
          </xdr:nvGrpSpPr>
          <xdr:grpSpPr>
            <a:xfrm>
              <a:off x="3696269" y="3366450"/>
              <a:ext cx="1957768" cy="1651160"/>
              <a:chOff x="3693196" y="3303820"/>
              <a:chExt cx="1959429" cy="1648421"/>
            </a:xfrm>
          </xdr:grpSpPr>
          <xdr:sp macro="" textlink="">
            <xdr:nvSpPr>
              <xdr:cNvPr id="224263" name="Group Box 7" hidden="1">
                <a:extLst>
                  <a:ext uri="{63B3BB69-23CF-44E3-9099-C40C66FF867C}">
                    <a14:compatExt spid="_x0000_s224263"/>
                  </a:ext>
                  <a:ext uri="{FF2B5EF4-FFF2-40B4-BE49-F238E27FC236}">
                    <a16:creationId xmlns:a16="http://schemas.microsoft.com/office/drawing/2014/main" id="{00000000-0008-0000-1500-0000076C0300}"/>
                  </a:ext>
                </a:extLst>
              </xdr:cNvPr>
              <xdr:cNvSpPr/>
            </xdr:nvSpPr>
            <xdr:spPr bwMode="auto">
              <a:xfrm>
                <a:off x="3693196" y="3303820"/>
                <a:ext cx="1959426" cy="1648421"/>
              </a:xfrm>
              <a:prstGeom prst="rect">
                <a:avLst/>
              </a:prstGeom>
              <a:noFill/>
              <a:ln w="9525">
                <a:miter lim="800000"/>
                <a:headEnd/>
                <a:tailEnd/>
              </a:ln>
              <a:extLst>
                <a:ext uri="{909E8E84-426E-40DD-AFC4-6F175D3DCCD1}">
                  <a14:hiddenFill>
                    <a:noFill/>
                  </a14:hiddenFill>
                </a:ext>
              </a:extLst>
            </xdr:spPr>
          </xdr:sp>
          <xdr:sp macro="" textlink="">
            <xdr:nvSpPr>
              <xdr:cNvPr id="224264" name="Option Button 8" descr="Case d'option 47" hidden="1">
                <a:extLst>
                  <a:ext uri="{63B3BB69-23CF-44E3-9099-C40C66FF867C}">
                    <a14:compatExt spid="_x0000_s224264"/>
                  </a:ext>
                  <a:ext uri="{FF2B5EF4-FFF2-40B4-BE49-F238E27FC236}">
                    <a16:creationId xmlns:a16="http://schemas.microsoft.com/office/drawing/2014/main" id="{00000000-0008-0000-1500-0000086C03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265" name="Option Button 9" hidden="1">
                <a:extLst>
                  <a:ext uri="{63B3BB69-23CF-44E3-9099-C40C66FF867C}">
                    <a14:compatExt spid="_x0000_s224265"/>
                  </a:ext>
                  <a:ext uri="{FF2B5EF4-FFF2-40B4-BE49-F238E27FC236}">
                    <a16:creationId xmlns:a16="http://schemas.microsoft.com/office/drawing/2014/main" id="{00000000-0008-0000-1500-0000096C03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266" name="Option Button 10" hidden="1">
                <a:extLst>
                  <a:ext uri="{63B3BB69-23CF-44E3-9099-C40C66FF867C}">
                    <a14:compatExt spid="_x0000_s224266"/>
                  </a:ext>
                  <a:ext uri="{FF2B5EF4-FFF2-40B4-BE49-F238E27FC236}">
                    <a16:creationId xmlns:a16="http://schemas.microsoft.com/office/drawing/2014/main" id="{00000000-0008-0000-1500-00000A6C03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267" name="Option Button 11" hidden="1">
                <a:extLst>
                  <a:ext uri="{63B3BB69-23CF-44E3-9099-C40C66FF867C}">
                    <a14:compatExt spid="_x0000_s224267"/>
                  </a:ext>
                  <a:ext uri="{FF2B5EF4-FFF2-40B4-BE49-F238E27FC236}">
                    <a16:creationId xmlns:a16="http://schemas.microsoft.com/office/drawing/2014/main" id="{00000000-0008-0000-1500-00000B6C03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6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600-000012000000}"/>
                </a:ext>
              </a:extLst>
            </xdr:cNvPr>
            <xdr:cNvGrpSpPr/>
          </xdr:nvGrpSpPr>
          <xdr:grpSpPr>
            <a:xfrm>
              <a:off x="3696269" y="10474657"/>
              <a:ext cx="1956179" cy="1649104"/>
              <a:chOff x="2995452" y="3846794"/>
              <a:chExt cx="1960181" cy="1644872"/>
            </a:xfrm>
          </xdr:grpSpPr>
          <xdr:sp macro="" textlink="">
            <xdr:nvSpPr>
              <xdr:cNvPr id="224293" name="Option Button 37" hidden="1">
                <a:extLst>
                  <a:ext uri="{63B3BB69-23CF-44E3-9099-C40C66FF867C}">
                    <a14:compatExt spid="_x0000_s224293"/>
                  </a:ext>
                  <a:ext uri="{FF2B5EF4-FFF2-40B4-BE49-F238E27FC236}">
                    <a16:creationId xmlns:a16="http://schemas.microsoft.com/office/drawing/2014/main" id="{00000000-0008-0000-1500-000025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294" name="Option Button 38" hidden="1">
                <a:extLst>
                  <a:ext uri="{63B3BB69-23CF-44E3-9099-C40C66FF867C}">
                    <a14:compatExt spid="_x0000_s224294"/>
                  </a:ext>
                  <a:ext uri="{FF2B5EF4-FFF2-40B4-BE49-F238E27FC236}">
                    <a16:creationId xmlns:a16="http://schemas.microsoft.com/office/drawing/2014/main" id="{00000000-0008-0000-1500-000026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295" name="Option Button 39" hidden="1">
                <a:extLst>
                  <a:ext uri="{63B3BB69-23CF-44E3-9099-C40C66FF867C}">
                    <a14:compatExt spid="_x0000_s224295"/>
                  </a:ext>
                  <a:ext uri="{FF2B5EF4-FFF2-40B4-BE49-F238E27FC236}">
                    <a16:creationId xmlns:a16="http://schemas.microsoft.com/office/drawing/2014/main" id="{00000000-0008-0000-1500-000027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296" name="Option Button 40" hidden="1">
                <a:extLst>
                  <a:ext uri="{63B3BB69-23CF-44E3-9099-C40C66FF867C}">
                    <a14:compatExt spid="_x0000_s224296"/>
                  </a:ext>
                  <a:ext uri="{FF2B5EF4-FFF2-40B4-BE49-F238E27FC236}">
                    <a16:creationId xmlns:a16="http://schemas.microsoft.com/office/drawing/2014/main" id="{00000000-0008-0000-1500-000028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297" name="Group Box 41" hidden="1">
                <a:extLst>
                  <a:ext uri="{63B3BB69-23CF-44E3-9099-C40C66FF867C}">
                    <a14:compatExt spid="_x0000_s224297"/>
                  </a:ext>
                  <a:ext uri="{FF2B5EF4-FFF2-40B4-BE49-F238E27FC236}">
                    <a16:creationId xmlns:a16="http://schemas.microsoft.com/office/drawing/2014/main" id="{00000000-0008-0000-1500-0000296C0300}"/>
                  </a:ext>
                </a:extLst>
              </xdr:cNvPr>
              <xdr:cNvSpPr/>
            </xdr:nvSpPr>
            <xdr:spPr bwMode="auto">
              <a:xfrm>
                <a:off x="2995452" y="3846794"/>
                <a:ext cx="1960181" cy="164487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6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6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6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6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6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1600-000019000000}"/>
                </a:ext>
              </a:extLst>
            </xdr:cNvPr>
            <xdr:cNvGrpSpPr/>
          </xdr:nvGrpSpPr>
          <xdr:grpSpPr>
            <a:xfrm>
              <a:off x="3697726" y="17071075"/>
              <a:ext cx="1955323" cy="1649104"/>
              <a:chOff x="2994652" y="2201917"/>
              <a:chExt cx="1960976" cy="1646920"/>
            </a:xfrm>
          </xdr:grpSpPr>
          <xdr:sp macro="" textlink="">
            <xdr:nvSpPr>
              <xdr:cNvPr id="224304" name="Option Button 48" descr="Case d'option 47" hidden="1">
                <a:extLst>
                  <a:ext uri="{63B3BB69-23CF-44E3-9099-C40C66FF867C}">
                    <a14:compatExt spid="_x0000_s224304"/>
                  </a:ext>
                  <a:ext uri="{FF2B5EF4-FFF2-40B4-BE49-F238E27FC236}">
                    <a16:creationId xmlns:a16="http://schemas.microsoft.com/office/drawing/2014/main" id="{00000000-0008-0000-1500-000030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05" name="Option Button 49" hidden="1">
                <a:extLst>
                  <a:ext uri="{63B3BB69-23CF-44E3-9099-C40C66FF867C}">
                    <a14:compatExt spid="_x0000_s224305"/>
                  </a:ext>
                  <a:ext uri="{FF2B5EF4-FFF2-40B4-BE49-F238E27FC236}">
                    <a16:creationId xmlns:a16="http://schemas.microsoft.com/office/drawing/2014/main" id="{00000000-0008-0000-1500-000031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06" name="Option Button 50" hidden="1">
                <a:extLst>
                  <a:ext uri="{63B3BB69-23CF-44E3-9099-C40C66FF867C}">
                    <a14:compatExt spid="_x0000_s224306"/>
                  </a:ext>
                  <a:ext uri="{FF2B5EF4-FFF2-40B4-BE49-F238E27FC236}">
                    <a16:creationId xmlns:a16="http://schemas.microsoft.com/office/drawing/2014/main" id="{00000000-0008-0000-1500-000032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07" name="Option Button 51" hidden="1">
                <a:extLst>
                  <a:ext uri="{63B3BB69-23CF-44E3-9099-C40C66FF867C}">
                    <a14:compatExt spid="_x0000_s224307"/>
                  </a:ext>
                  <a:ext uri="{FF2B5EF4-FFF2-40B4-BE49-F238E27FC236}">
                    <a16:creationId xmlns:a16="http://schemas.microsoft.com/office/drawing/2014/main" id="{00000000-0008-0000-1500-000033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08" name="Group Box 52" hidden="1">
                <a:extLst>
                  <a:ext uri="{63B3BB69-23CF-44E3-9099-C40C66FF867C}">
                    <a14:compatExt spid="_x0000_s224308"/>
                  </a:ext>
                  <a:ext uri="{FF2B5EF4-FFF2-40B4-BE49-F238E27FC236}">
                    <a16:creationId xmlns:a16="http://schemas.microsoft.com/office/drawing/2014/main" id="{00000000-0008-0000-1500-0000346C0300}"/>
                  </a:ext>
                </a:extLst>
              </xdr:cNvPr>
              <xdr:cNvSpPr/>
            </xdr:nvSpPr>
            <xdr:spPr bwMode="auto">
              <a:xfrm>
                <a:off x="2994652" y="2201917"/>
                <a:ext cx="1960969" cy="164692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1600-00001A000000}"/>
                </a:ext>
              </a:extLst>
            </xdr:cNvPr>
            <xdr:cNvGrpSpPr/>
          </xdr:nvGrpSpPr>
          <xdr:grpSpPr>
            <a:xfrm>
              <a:off x="3696269" y="15421973"/>
              <a:ext cx="1956179" cy="1649105"/>
              <a:chOff x="2995452" y="3846791"/>
              <a:chExt cx="1960181" cy="1644868"/>
            </a:xfrm>
          </xdr:grpSpPr>
          <xdr:sp macro="" textlink="">
            <xdr:nvSpPr>
              <xdr:cNvPr id="224309" name="Option Button 53" hidden="1">
                <a:extLst>
                  <a:ext uri="{63B3BB69-23CF-44E3-9099-C40C66FF867C}">
                    <a14:compatExt spid="_x0000_s224309"/>
                  </a:ext>
                  <a:ext uri="{FF2B5EF4-FFF2-40B4-BE49-F238E27FC236}">
                    <a16:creationId xmlns:a16="http://schemas.microsoft.com/office/drawing/2014/main" id="{00000000-0008-0000-1500-000035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10" name="Option Button 54" hidden="1">
                <a:extLst>
                  <a:ext uri="{63B3BB69-23CF-44E3-9099-C40C66FF867C}">
                    <a14:compatExt spid="_x0000_s224310"/>
                  </a:ext>
                  <a:ext uri="{FF2B5EF4-FFF2-40B4-BE49-F238E27FC236}">
                    <a16:creationId xmlns:a16="http://schemas.microsoft.com/office/drawing/2014/main" id="{00000000-0008-0000-1500-000036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11" name="Option Button 55" hidden="1">
                <a:extLst>
                  <a:ext uri="{63B3BB69-23CF-44E3-9099-C40C66FF867C}">
                    <a14:compatExt spid="_x0000_s224311"/>
                  </a:ext>
                  <a:ext uri="{FF2B5EF4-FFF2-40B4-BE49-F238E27FC236}">
                    <a16:creationId xmlns:a16="http://schemas.microsoft.com/office/drawing/2014/main" id="{00000000-0008-0000-1500-000037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12" name="Option Button 56" hidden="1">
                <a:extLst>
                  <a:ext uri="{63B3BB69-23CF-44E3-9099-C40C66FF867C}">
                    <a14:compatExt spid="_x0000_s224312"/>
                  </a:ext>
                  <a:ext uri="{FF2B5EF4-FFF2-40B4-BE49-F238E27FC236}">
                    <a16:creationId xmlns:a16="http://schemas.microsoft.com/office/drawing/2014/main" id="{00000000-0008-0000-1500-000038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13" name="Group Box 57" hidden="1">
                <a:extLst>
                  <a:ext uri="{63B3BB69-23CF-44E3-9099-C40C66FF867C}">
                    <a14:compatExt spid="_x0000_s224313"/>
                  </a:ext>
                  <a:ext uri="{FF2B5EF4-FFF2-40B4-BE49-F238E27FC236}">
                    <a16:creationId xmlns:a16="http://schemas.microsoft.com/office/drawing/2014/main" id="{00000000-0008-0000-1500-0000396C0300}"/>
                  </a:ext>
                </a:extLst>
              </xdr:cNvPr>
              <xdr:cNvSpPr/>
            </xdr:nvSpPr>
            <xdr:spPr bwMode="auto">
              <a:xfrm>
                <a:off x="2995452" y="3846791"/>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1600-00001B000000}"/>
                </a:ext>
              </a:extLst>
            </xdr:cNvPr>
            <xdr:cNvGrpSpPr/>
          </xdr:nvGrpSpPr>
          <xdr:grpSpPr>
            <a:xfrm>
              <a:off x="3696829" y="13773173"/>
              <a:ext cx="1954893" cy="1650855"/>
              <a:chOff x="2994659" y="2201921"/>
              <a:chExt cx="1960969" cy="1646924"/>
            </a:xfrm>
          </xdr:grpSpPr>
          <xdr:sp macro="" textlink="">
            <xdr:nvSpPr>
              <xdr:cNvPr id="224314" name="Option Button 58" descr="Case d'option 47" hidden="1">
                <a:extLst>
                  <a:ext uri="{63B3BB69-23CF-44E3-9099-C40C66FF867C}">
                    <a14:compatExt spid="_x0000_s224314"/>
                  </a:ext>
                  <a:ext uri="{FF2B5EF4-FFF2-40B4-BE49-F238E27FC236}">
                    <a16:creationId xmlns:a16="http://schemas.microsoft.com/office/drawing/2014/main" id="{00000000-0008-0000-1500-00003A6C03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15" name="Option Button 59" hidden="1">
                <a:extLst>
                  <a:ext uri="{63B3BB69-23CF-44E3-9099-C40C66FF867C}">
                    <a14:compatExt spid="_x0000_s224315"/>
                  </a:ext>
                  <a:ext uri="{FF2B5EF4-FFF2-40B4-BE49-F238E27FC236}">
                    <a16:creationId xmlns:a16="http://schemas.microsoft.com/office/drawing/2014/main" id="{00000000-0008-0000-1500-00003B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16" name="Option Button 60" hidden="1">
                <a:extLst>
                  <a:ext uri="{63B3BB69-23CF-44E3-9099-C40C66FF867C}">
                    <a14:compatExt spid="_x0000_s224316"/>
                  </a:ext>
                  <a:ext uri="{FF2B5EF4-FFF2-40B4-BE49-F238E27FC236}">
                    <a16:creationId xmlns:a16="http://schemas.microsoft.com/office/drawing/2014/main" id="{00000000-0008-0000-1500-00003C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17" name="Option Button 61" hidden="1">
                <a:extLst>
                  <a:ext uri="{63B3BB69-23CF-44E3-9099-C40C66FF867C}">
                    <a14:compatExt spid="_x0000_s224317"/>
                  </a:ext>
                  <a:ext uri="{FF2B5EF4-FFF2-40B4-BE49-F238E27FC236}">
                    <a16:creationId xmlns:a16="http://schemas.microsoft.com/office/drawing/2014/main" id="{00000000-0008-0000-1500-00003D6C03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18" name="Group Box 62" hidden="1">
                <a:extLst>
                  <a:ext uri="{63B3BB69-23CF-44E3-9099-C40C66FF867C}">
                    <a14:compatExt spid="_x0000_s224318"/>
                  </a:ext>
                  <a:ext uri="{FF2B5EF4-FFF2-40B4-BE49-F238E27FC236}">
                    <a16:creationId xmlns:a16="http://schemas.microsoft.com/office/drawing/2014/main" id="{00000000-0008-0000-1500-00003E6C0300}"/>
                  </a:ext>
                </a:extLst>
              </xdr:cNvPr>
              <xdr:cNvSpPr/>
            </xdr:nvSpPr>
            <xdr:spPr bwMode="auto">
              <a:xfrm>
                <a:off x="2994659" y="2201921"/>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600-00001C000000}"/>
                </a:ext>
              </a:extLst>
            </xdr:cNvPr>
            <xdr:cNvGrpSpPr/>
          </xdr:nvGrpSpPr>
          <xdr:grpSpPr>
            <a:xfrm>
              <a:off x="3696269" y="12123761"/>
              <a:ext cx="1956179" cy="1649105"/>
              <a:chOff x="2994696" y="2201921"/>
              <a:chExt cx="1960968" cy="1646921"/>
            </a:xfrm>
          </xdr:grpSpPr>
          <xdr:sp macro="" textlink="">
            <xdr:nvSpPr>
              <xdr:cNvPr id="224319" name="Option Button 63" descr="Case d'option 47" hidden="1">
                <a:extLst>
                  <a:ext uri="{63B3BB69-23CF-44E3-9099-C40C66FF867C}">
                    <a14:compatExt spid="_x0000_s224319"/>
                  </a:ext>
                  <a:ext uri="{FF2B5EF4-FFF2-40B4-BE49-F238E27FC236}">
                    <a16:creationId xmlns:a16="http://schemas.microsoft.com/office/drawing/2014/main" id="{00000000-0008-0000-1500-00003F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20" name="Option Button 64" hidden="1">
                <a:extLst>
                  <a:ext uri="{63B3BB69-23CF-44E3-9099-C40C66FF867C}">
                    <a14:compatExt spid="_x0000_s224320"/>
                  </a:ext>
                  <a:ext uri="{FF2B5EF4-FFF2-40B4-BE49-F238E27FC236}">
                    <a16:creationId xmlns:a16="http://schemas.microsoft.com/office/drawing/2014/main" id="{00000000-0008-0000-1500-000040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21" name="Option Button 65" hidden="1">
                <a:extLst>
                  <a:ext uri="{63B3BB69-23CF-44E3-9099-C40C66FF867C}">
                    <a14:compatExt spid="_x0000_s224321"/>
                  </a:ext>
                  <a:ext uri="{FF2B5EF4-FFF2-40B4-BE49-F238E27FC236}">
                    <a16:creationId xmlns:a16="http://schemas.microsoft.com/office/drawing/2014/main" id="{00000000-0008-0000-1500-000041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22" name="Option Button 66" hidden="1">
                <a:extLst>
                  <a:ext uri="{63B3BB69-23CF-44E3-9099-C40C66FF867C}">
                    <a14:compatExt spid="_x0000_s224322"/>
                  </a:ext>
                  <a:ext uri="{FF2B5EF4-FFF2-40B4-BE49-F238E27FC236}">
                    <a16:creationId xmlns:a16="http://schemas.microsoft.com/office/drawing/2014/main" id="{00000000-0008-0000-1500-000042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23" name="Group Box 67" hidden="1">
                <a:extLst>
                  <a:ext uri="{63B3BB69-23CF-44E3-9099-C40C66FF867C}">
                    <a14:compatExt spid="_x0000_s224323"/>
                  </a:ext>
                  <a:ext uri="{FF2B5EF4-FFF2-40B4-BE49-F238E27FC236}">
                    <a16:creationId xmlns:a16="http://schemas.microsoft.com/office/drawing/2014/main" id="{00000000-0008-0000-1500-0000436C0300}"/>
                  </a:ext>
                </a:extLst>
              </xdr:cNvPr>
              <xdr:cNvSpPr/>
            </xdr:nvSpPr>
            <xdr:spPr bwMode="auto">
              <a:xfrm>
                <a:off x="2994696" y="2201921"/>
                <a:ext cx="1960968"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6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600-00001E000000}"/>
                </a:ext>
              </a:extLst>
            </xdr:cNvPr>
            <xdr:cNvGrpSpPr/>
          </xdr:nvGrpSpPr>
          <xdr:grpSpPr>
            <a:xfrm>
              <a:off x="3696269" y="20881075"/>
              <a:ext cx="1956179" cy="1651159"/>
              <a:chOff x="2994700" y="2201919"/>
              <a:chExt cx="1960968" cy="1646922"/>
            </a:xfrm>
          </xdr:grpSpPr>
          <xdr:sp macro="" textlink="">
            <xdr:nvSpPr>
              <xdr:cNvPr id="224324" name="Option Button 68" descr="Case d'option 47" hidden="1">
                <a:extLst>
                  <a:ext uri="{63B3BB69-23CF-44E3-9099-C40C66FF867C}">
                    <a14:compatExt spid="_x0000_s224324"/>
                  </a:ext>
                  <a:ext uri="{FF2B5EF4-FFF2-40B4-BE49-F238E27FC236}">
                    <a16:creationId xmlns:a16="http://schemas.microsoft.com/office/drawing/2014/main" id="{00000000-0008-0000-1500-000044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25" name="Option Button 69" hidden="1">
                <a:extLst>
                  <a:ext uri="{63B3BB69-23CF-44E3-9099-C40C66FF867C}">
                    <a14:compatExt spid="_x0000_s224325"/>
                  </a:ext>
                  <a:ext uri="{FF2B5EF4-FFF2-40B4-BE49-F238E27FC236}">
                    <a16:creationId xmlns:a16="http://schemas.microsoft.com/office/drawing/2014/main" id="{00000000-0008-0000-1500-000045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26" name="Option Button 70" hidden="1">
                <a:extLst>
                  <a:ext uri="{63B3BB69-23CF-44E3-9099-C40C66FF867C}">
                    <a14:compatExt spid="_x0000_s224326"/>
                  </a:ext>
                  <a:ext uri="{FF2B5EF4-FFF2-40B4-BE49-F238E27FC236}">
                    <a16:creationId xmlns:a16="http://schemas.microsoft.com/office/drawing/2014/main" id="{00000000-0008-0000-1500-000046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27" name="Option Button 71" hidden="1">
                <a:extLst>
                  <a:ext uri="{63B3BB69-23CF-44E3-9099-C40C66FF867C}">
                    <a14:compatExt spid="_x0000_s224327"/>
                  </a:ext>
                  <a:ext uri="{FF2B5EF4-FFF2-40B4-BE49-F238E27FC236}">
                    <a16:creationId xmlns:a16="http://schemas.microsoft.com/office/drawing/2014/main" id="{00000000-0008-0000-1500-000047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28" name="Group Box 72" hidden="1">
                <a:extLst>
                  <a:ext uri="{63B3BB69-23CF-44E3-9099-C40C66FF867C}">
                    <a14:compatExt spid="_x0000_s224328"/>
                  </a:ext>
                  <a:ext uri="{FF2B5EF4-FFF2-40B4-BE49-F238E27FC236}">
                    <a16:creationId xmlns:a16="http://schemas.microsoft.com/office/drawing/2014/main" id="{00000000-0008-0000-1500-0000486C0300}"/>
                  </a:ext>
                </a:extLst>
              </xdr:cNvPr>
              <xdr:cNvSpPr/>
            </xdr:nvSpPr>
            <xdr:spPr bwMode="auto">
              <a:xfrm>
                <a:off x="2994700" y="2201919"/>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6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600-000021000000}"/>
                </a:ext>
              </a:extLst>
            </xdr:cNvPr>
            <xdr:cNvGrpSpPr/>
          </xdr:nvGrpSpPr>
          <xdr:grpSpPr>
            <a:xfrm>
              <a:off x="3696269" y="22530179"/>
              <a:ext cx="1956179" cy="1910687"/>
              <a:chOff x="2995452" y="3846786"/>
              <a:chExt cx="1960181" cy="1644869"/>
            </a:xfrm>
          </xdr:grpSpPr>
          <xdr:sp macro="" textlink="">
            <xdr:nvSpPr>
              <xdr:cNvPr id="224329" name="Option Button 73" hidden="1">
                <a:extLst>
                  <a:ext uri="{63B3BB69-23CF-44E3-9099-C40C66FF867C}">
                    <a14:compatExt spid="_x0000_s224329"/>
                  </a:ext>
                  <a:ext uri="{FF2B5EF4-FFF2-40B4-BE49-F238E27FC236}">
                    <a16:creationId xmlns:a16="http://schemas.microsoft.com/office/drawing/2014/main" id="{00000000-0008-0000-1500-000049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30" name="Option Button 74" hidden="1">
                <a:extLst>
                  <a:ext uri="{63B3BB69-23CF-44E3-9099-C40C66FF867C}">
                    <a14:compatExt spid="_x0000_s224330"/>
                  </a:ext>
                  <a:ext uri="{FF2B5EF4-FFF2-40B4-BE49-F238E27FC236}">
                    <a16:creationId xmlns:a16="http://schemas.microsoft.com/office/drawing/2014/main" id="{00000000-0008-0000-1500-00004A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31" name="Option Button 75" hidden="1">
                <a:extLst>
                  <a:ext uri="{63B3BB69-23CF-44E3-9099-C40C66FF867C}">
                    <a14:compatExt spid="_x0000_s224331"/>
                  </a:ext>
                  <a:ext uri="{FF2B5EF4-FFF2-40B4-BE49-F238E27FC236}">
                    <a16:creationId xmlns:a16="http://schemas.microsoft.com/office/drawing/2014/main" id="{00000000-0008-0000-1500-00004B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32" name="Option Button 76" hidden="1">
                <a:extLst>
                  <a:ext uri="{63B3BB69-23CF-44E3-9099-C40C66FF867C}">
                    <a14:compatExt spid="_x0000_s224332"/>
                  </a:ext>
                  <a:ext uri="{FF2B5EF4-FFF2-40B4-BE49-F238E27FC236}">
                    <a16:creationId xmlns:a16="http://schemas.microsoft.com/office/drawing/2014/main" id="{00000000-0008-0000-1500-00004C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33" name="Group Box 77" hidden="1">
                <a:extLst>
                  <a:ext uri="{63B3BB69-23CF-44E3-9099-C40C66FF867C}">
                    <a14:compatExt spid="_x0000_s224333"/>
                  </a:ext>
                  <a:ext uri="{FF2B5EF4-FFF2-40B4-BE49-F238E27FC236}">
                    <a16:creationId xmlns:a16="http://schemas.microsoft.com/office/drawing/2014/main" id="{00000000-0008-0000-1500-00004D6C0300}"/>
                  </a:ext>
                </a:extLst>
              </xdr:cNvPr>
              <xdr:cNvSpPr/>
            </xdr:nvSpPr>
            <xdr:spPr bwMode="auto">
              <a:xfrm>
                <a:off x="2995452" y="384678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6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6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1600-000024000000}"/>
                </a:ext>
              </a:extLst>
            </xdr:cNvPr>
            <xdr:cNvGrpSpPr/>
          </xdr:nvGrpSpPr>
          <xdr:grpSpPr>
            <a:xfrm>
              <a:off x="3696506" y="26089970"/>
              <a:ext cx="1955942" cy="1522150"/>
              <a:chOff x="2994703" y="2201918"/>
              <a:chExt cx="1960968" cy="1646925"/>
            </a:xfrm>
          </xdr:grpSpPr>
          <xdr:sp macro="" textlink="">
            <xdr:nvSpPr>
              <xdr:cNvPr id="224334" name="Option Button 78" descr="Case d'option 47" hidden="1">
                <a:extLst>
                  <a:ext uri="{63B3BB69-23CF-44E3-9099-C40C66FF867C}">
                    <a14:compatExt spid="_x0000_s224334"/>
                  </a:ext>
                  <a:ext uri="{FF2B5EF4-FFF2-40B4-BE49-F238E27FC236}">
                    <a16:creationId xmlns:a16="http://schemas.microsoft.com/office/drawing/2014/main" id="{00000000-0008-0000-1500-00004E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35" name="Option Button 79" hidden="1">
                <a:extLst>
                  <a:ext uri="{63B3BB69-23CF-44E3-9099-C40C66FF867C}">
                    <a14:compatExt spid="_x0000_s224335"/>
                  </a:ext>
                  <a:ext uri="{FF2B5EF4-FFF2-40B4-BE49-F238E27FC236}">
                    <a16:creationId xmlns:a16="http://schemas.microsoft.com/office/drawing/2014/main" id="{00000000-0008-0000-1500-00004F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36" name="Option Button 80" hidden="1">
                <a:extLst>
                  <a:ext uri="{63B3BB69-23CF-44E3-9099-C40C66FF867C}">
                    <a14:compatExt spid="_x0000_s224336"/>
                  </a:ext>
                  <a:ext uri="{FF2B5EF4-FFF2-40B4-BE49-F238E27FC236}">
                    <a16:creationId xmlns:a16="http://schemas.microsoft.com/office/drawing/2014/main" id="{00000000-0008-0000-1500-000050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37" name="Option Button 81" hidden="1">
                <a:extLst>
                  <a:ext uri="{63B3BB69-23CF-44E3-9099-C40C66FF867C}">
                    <a14:compatExt spid="_x0000_s224337"/>
                  </a:ext>
                  <a:ext uri="{FF2B5EF4-FFF2-40B4-BE49-F238E27FC236}">
                    <a16:creationId xmlns:a16="http://schemas.microsoft.com/office/drawing/2014/main" id="{00000000-0008-0000-1500-000051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38" name="Group Box 82" hidden="1">
                <a:extLst>
                  <a:ext uri="{63B3BB69-23CF-44E3-9099-C40C66FF867C}">
                    <a14:compatExt spid="_x0000_s224338"/>
                  </a:ext>
                  <a:ext uri="{FF2B5EF4-FFF2-40B4-BE49-F238E27FC236}">
                    <a16:creationId xmlns:a16="http://schemas.microsoft.com/office/drawing/2014/main" id="{00000000-0008-0000-1500-0000526C0300}"/>
                  </a:ext>
                </a:extLst>
              </xdr:cNvPr>
              <xdr:cNvSpPr/>
            </xdr:nvSpPr>
            <xdr:spPr bwMode="auto">
              <a:xfrm>
                <a:off x="2994703"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600-000025000000}"/>
                </a:ext>
              </a:extLst>
            </xdr:cNvPr>
            <xdr:cNvGrpSpPr/>
          </xdr:nvGrpSpPr>
          <xdr:grpSpPr>
            <a:xfrm>
              <a:off x="3696269" y="24440866"/>
              <a:ext cx="1956179" cy="1649104"/>
              <a:chOff x="2994696" y="2201871"/>
              <a:chExt cx="1960968" cy="1646922"/>
            </a:xfrm>
          </xdr:grpSpPr>
          <xdr:sp macro="" textlink="">
            <xdr:nvSpPr>
              <xdr:cNvPr id="224339" name="Option Button 83" descr="Case d'option 47" hidden="1">
                <a:extLst>
                  <a:ext uri="{63B3BB69-23CF-44E3-9099-C40C66FF867C}">
                    <a14:compatExt spid="_x0000_s224339"/>
                  </a:ext>
                  <a:ext uri="{FF2B5EF4-FFF2-40B4-BE49-F238E27FC236}">
                    <a16:creationId xmlns:a16="http://schemas.microsoft.com/office/drawing/2014/main" id="{00000000-0008-0000-1500-000053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40" name="Option Button 84" hidden="1">
                <a:extLst>
                  <a:ext uri="{63B3BB69-23CF-44E3-9099-C40C66FF867C}">
                    <a14:compatExt spid="_x0000_s224340"/>
                  </a:ext>
                  <a:ext uri="{FF2B5EF4-FFF2-40B4-BE49-F238E27FC236}">
                    <a16:creationId xmlns:a16="http://schemas.microsoft.com/office/drawing/2014/main" id="{00000000-0008-0000-1500-000054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41" name="Option Button 85" hidden="1">
                <a:extLst>
                  <a:ext uri="{63B3BB69-23CF-44E3-9099-C40C66FF867C}">
                    <a14:compatExt spid="_x0000_s224341"/>
                  </a:ext>
                  <a:ext uri="{FF2B5EF4-FFF2-40B4-BE49-F238E27FC236}">
                    <a16:creationId xmlns:a16="http://schemas.microsoft.com/office/drawing/2014/main" id="{00000000-0008-0000-1500-000055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42" name="Option Button 86" hidden="1">
                <a:extLst>
                  <a:ext uri="{63B3BB69-23CF-44E3-9099-C40C66FF867C}">
                    <a14:compatExt spid="_x0000_s224342"/>
                  </a:ext>
                  <a:ext uri="{FF2B5EF4-FFF2-40B4-BE49-F238E27FC236}">
                    <a16:creationId xmlns:a16="http://schemas.microsoft.com/office/drawing/2014/main" id="{00000000-0008-0000-1500-000056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43" name="Group Box 87" hidden="1">
                <a:extLst>
                  <a:ext uri="{63B3BB69-23CF-44E3-9099-C40C66FF867C}">
                    <a14:compatExt spid="_x0000_s224343"/>
                  </a:ext>
                  <a:ext uri="{FF2B5EF4-FFF2-40B4-BE49-F238E27FC236}">
                    <a16:creationId xmlns:a16="http://schemas.microsoft.com/office/drawing/2014/main" id="{00000000-0008-0000-1500-0000576C0300}"/>
                  </a:ext>
                </a:extLst>
              </xdr:cNvPr>
              <xdr:cNvSpPr/>
            </xdr:nvSpPr>
            <xdr:spPr bwMode="auto">
              <a:xfrm>
                <a:off x="2994696" y="2201871"/>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6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600-000028000000}"/>
                </a:ext>
              </a:extLst>
            </xdr:cNvPr>
            <xdr:cNvGrpSpPr/>
          </xdr:nvGrpSpPr>
          <xdr:grpSpPr>
            <a:xfrm>
              <a:off x="3696269" y="33073075"/>
              <a:ext cx="1956179" cy="1649104"/>
              <a:chOff x="2995452" y="3846794"/>
              <a:chExt cx="1960181" cy="1644872"/>
            </a:xfrm>
          </xdr:grpSpPr>
          <xdr:sp macro="" textlink="">
            <xdr:nvSpPr>
              <xdr:cNvPr id="224344" name="Option Button 88" hidden="1">
                <a:extLst>
                  <a:ext uri="{63B3BB69-23CF-44E3-9099-C40C66FF867C}">
                    <a14:compatExt spid="_x0000_s224344"/>
                  </a:ext>
                  <a:ext uri="{FF2B5EF4-FFF2-40B4-BE49-F238E27FC236}">
                    <a16:creationId xmlns:a16="http://schemas.microsoft.com/office/drawing/2014/main" id="{00000000-0008-0000-1500-000058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45" name="Option Button 89" hidden="1">
                <a:extLst>
                  <a:ext uri="{63B3BB69-23CF-44E3-9099-C40C66FF867C}">
                    <a14:compatExt spid="_x0000_s224345"/>
                  </a:ext>
                  <a:ext uri="{FF2B5EF4-FFF2-40B4-BE49-F238E27FC236}">
                    <a16:creationId xmlns:a16="http://schemas.microsoft.com/office/drawing/2014/main" id="{00000000-0008-0000-1500-000059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46" name="Option Button 90" hidden="1">
                <a:extLst>
                  <a:ext uri="{63B3BB69-23CF-44E3-9099-C40C66FF867C}">
                    <a14:compatExt spid="_x0000_s224346"/>
                  </a:ext>
                  <a:ext uri="{FF2B5EF4-FFF2-40B4-BE49-F238E27FC236}">
                    <a16:creationId xmlns:a16="http://schemas.microsoft.com/office/drawing/2014/main" id="{00000000-0008-0000-1500-00005A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47" name="Option Button 91" hidden="1">
                <a:extLst>
                  <a:ext uri="{63B3BB69-23CF-44E3-9099-C40C66FF867C}">
                    <a14:compatExt spid="_x0000_s224347"/>
                  </a:ext>
                  <a:ext uri="{FF2B5EF4-FFF2-40B4-BE49-F238E27FC236}">
                    <a16:creationId xmlns:a16="http://schemas.microsoft.com/office/drawing/2014/main" id="{00000000-0008-0000-1500-00005B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48" name="Group Box 92" hidden="1">
                <a:extLst>
                  <a:ext uri="{63B3BB69-23CF-44E3-9099-C40C66FF867C}">
                    <a14:compatExt spid="_x0000_s224348"/>
                  </a:ext>
                  <a:ext uri="{FF2B5EF4-FFF2-40B4-BE49-F238E27FC236}">
                    <a16:creationId xmlns:a16="http://schemas.microsoft.com/office/drawing/2014/main" id="{00000000-0008-0000-1500-00005C6C0300}"/>
                  </a:ext>
                </a:extLst>
              </xdr:cNvPr>
              <xdr:cNvSpPr/>
            </xdr:nvSpPr>
            <xdr:spPr bwMode="auto">
              <a:xfrm>
                <a:off x="2995452" y="3846794"/>
                <a:ext cx="1960181" cy="164487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600-000029000000}"/>
                </a:ext>
              </a:extLst>
            </xdr:cNvPr>
            <xdr:cNvGrpSpPr/>
          </xdr:nvGrpSpPr>
          <xdr:grpSpPr>
            <a:xfrm>
              <a:off x="3696269" y="31423970"/>
              <a:ext cx="1956179" cy="1651160"/>
              <a:chOff x="2994700" y="2201912"/>
              <a:chExt cx="1960968" cy="1646922"/>
            </a:xfrm>
          </xdr:grpSpPr>
          <xdr:sp macro="" textlink="">
            <xdr:nvSpPr>
              <xdr:cNvPr id="224349" name="Option Button 93" descr="Case d'option 47" hidden="1">
                <a:extLst>
                  <a:ext uri="{63B3BB69-23CF-44E3-9099-C40C66FF867C}">
                    <a14:compatExt spid="_x0000_s224349"/>
                  </a:ext>
                  <a:ext uri="{FF2B5EF4-FFF2-40B4-BE49-F238E27FC236}">
                    <a16:creationId xmlns:a16="http://schemas.microsoft.com/office/drawing/2014/main" id="{00000000-0008-0000-1500-00005D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50" name="Option Button 94" hidden="1">
                <a:extLst>
                  <a:ext uri="{63B3BB69-23CF-44E3-9099-C40C66FF867C}">
                    <a14:compatExt spid="_x0000_s224350"/>
                  </a:ext>
                  <a:ext uri="{FF2B5EF4-FFF2-40B4-BE49-F238E27FC236}">
                    <a16:creationId xmlns:a16="http://schemas.microsoft.com/office/drawing/2014/main" id="{00000000-0008-0000-1500-00005E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51" name="Option Button 95" hidden="1">
                <a:extLst>
                  <a:ext uri="{63B3BB69-23CF-44E3-9099-C40C66FF867C}">
                    <a14:compatExt spid="_x0000_s224351"/>
                  </a:ext>
                  <a:ext uri="{FF2B5EF4-FFF2-40B4-BE49-F238E27FC236}">
                    <a16:creationId xmlns:a16="http://schemas.microsoft.com/office/drawing/2014/main" id="{00000000-0008-0000-1500-00005F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52" name="Option Button 96" hidden="1">
                <a:extLst>
                  <a:ext uri="{63B3BB69-23CF-44E3-9099-C40C66FF867C}">
                    <a14:compatExt spid="_x0000_s224352"/>
                  </a:ext>
                  <a:ext uri="{FF2B5EF4-FFF2-40B4-BE49-F238E27FC236}">
                    <a16:creationId xmlns:a16="http://schemas.microsoft.com/office/drawing/2014/main" id="{00000000-0008-0000-1500-000060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53" name="Group Box 97" hidden="1">
                <a:extLst>
                  <a:ext uri="{63B3BB69-23CF-44E3-9099-C40C66FF867C}">
                    <a14:compatExt spid="_x0000_s224353"/>
                  </a:ext>
                  <a:ext uri="{FF2B5EF4-FFF2-40B4-BE49-F238E27FC236}">
                    <a16:creationId xmlns:a16="http://schemas.microsoft.com/office/drawing/2014/main" id="{00000000-0008-0000-1500-0000616C0300}"/>
                  </a:ext>
                </a:extLst>
              </xdr:cNvPr>
              <xdr:cNvSpPr/>
            </xdr:nvSpPr>
            <xdr:spPr bwMode="auto">
              <a:xfrm>
                <a:off x="2994700"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6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6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6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6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600-00002F000000}"/>
                </a:ext>
              </a:extLst>
            </xdr:cNvPr>
            <xdr:cNvGrpSpPr/>
          </xdr:nvGrpSpPr>
          <xdr:grpSpPr>
            <a:xfrm>
              <a:off x="3699437" y="36371284"/>
              <a:ext cx="1953011" cy="1649104"/>
              <a:chOff x="2994664" y="2201917"/>
              <a:chExt cx="1960968" cy="1646927"/>
            </a:xfrm>
          </xdr:grpSpPr>
          <xdr:sp macro="" textlink="">
            <xdr:nvSpPr>
              <xdr:cNvPr id="224360" name="Option Button 104" descr="Case d'option 47" hidden="1">
                <a:extLst>
                  <a:ext uri="{63B3BB69-23CF-44E3-9099-C40C66FF867C}">
                    <a14:compatExt spid="_x0000_s224360"/>
                  </a:ext>
                  <a:ext uri="{FF2B5EF4-FFF2-40B4-BE49-F238E27FC236}">
                    <a16:creationId xmlns:a16="http://schemas.microsoft.com/office/drawing/2014/main" id="{00000000-0008-0000-1500-000068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61" name="Option Button 105" hidden="1">
                <a:extLst>
                  <a:ext uri="{63B3BB69-23CF-44E3-9099-C40C66FF867C}">
                    <a14:compatExt spid="_x0000_s224361"/>
                  </a:ext>
                  <a:ext uri="{FF2B5EF4-FFF2-40B4-BE49-F238E27FC236}">
                    <a16:creationId xmlns:a16="http://schemas.microsoft.com/office/drawing/2014/main" id="{00000000-0008-0000-1500-000069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62" name="Option Button 106" hidden="1">
                <a:extLst>
                  <a:ext uri="{63B3BB69-23CF-44E3-9099-C40C66FF867C}">
                    <a14:compatExt spid="_x0000_s224362"/>
                  </a:ext>
                  <a:ext uri="{FF2B5EF4-FFF2-40B4-BE49-F238E27FC236}">
                    <a16:creationId xmlns:a16="http://schemas.microsoft.com/office/drawing/2014/main" id="{00000000-0008-0000-1500-00006A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63" name="Option Button 107" hidden="1">
                <a:extLst>
                  <a:ext uri="{63B3BB69-23CF-44E3-9099-C40C66FF867C}">
                    <a14:compatExt spid="_x0000_s224363"/>
                  </a:ext>
                  <a:ext uri="{FF2B5EF4-FFF2-40B4-BE49-F238E27FC236}">
                    <a16:creationId xmlns:a16="http://schemas.microsoft.com/office/drawing/2014/main" id="{00000000-0008-0000-1500-00006B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64" name="Group Box 108" hidden="1">
                <a:extLst>
                  <a:ext uri="{63B3BB69-23CF-44E3-9099-C40C66FF867C}">
                    <a14:compatExt spid="_x0000_s224364"/>
                  </a:ext>
                  <a:ext uri="{FF2B5EF4-FFF2-40B4-BE49-F238E27FC236}">
                    <a16:creationId xmlns:a16="http://schemas.microsoft.com/office/drawing/2014/main" id="{00000000-0008-0000-1500-00006C6C0300}"/>
                  </a:ext>
                </a:extLst>
              </xdr:cNvPr>
              <xdr:cNvSpPr/>
            </xdr:nvSpPr>
            <xdr:spPr bwMode="auto">
              <a:xfrm>
                <a:off x="2994664" y="2201917"/>
                <a:ext cx="1960968" cy="164692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600-000030000000}"/>
                </a:ext>
              </a:extLst>
            </xdr:cNvPr>
            <xdr:cNvGrpSpPr/>
          </xdr:nvGrpSpPr>
          <xdr:grpSpPr>
            <a:xfrm>
              <a:off x="3696269" y="34722179"/>
              <a:ext cx="1956179" cy="1649105"/>
              <a:chOff x="2994696" y="2201929"/>
              <a:chExt cx="1960968" cy="1646928"/>
            </a:xfrm>
          </xdr:grpSpPr>
          <xdr:sp macro="" textlink="">
            <xdr:nvSpPr>
              <xdr:cNvPr id="224365" name="Option Button 109" descr="Case d'option 47" hidden="1">
                <a:extLst>
                  <a:ext uri="{63B3BB69-23CF-44E3-9099-C40C66FF867C}">
                    <a14:compatExt spid="_x0000_s224365"/>
                  </a:ext>
                  <a:ext uri="{FF2B5EF4-FFF2-40B4-BE49-F238E27FC236}">
                    <a16:creationId xmlns:a16="http://schemas.microsoft.com/office/drawing/2014/main" id="{00000000-0008-0000-1500-00006D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66" name="Option Button 110" hidden="1">
                <a:extLst>
                  <a:ext uri="{63B3BB69-23CF-44E3-9099-C40C66FF867C}">
                    <a14:compatExt spid="_x0000_s224366"/>
                  </a:ext>
                  <a:ext uri="{FF2B5EF4-FFF2-40B4-BE49-F238E27FC236}">
                    <a16:creationId xmlns:a16="http://schemas.microsoft.com/office/drawing/2014/main" id="{00000000-0008-0000-1500-00006E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67" name="Option Button 111" hidden="1">
                <a:extLst>
                  <a:ext uri="{63B3BB69-23CF-44E3-9099-C40C66FF867C}">
                    <a14:compatExt spid="_x0000_s224367"/>
                  </a:ext>
                  <a:ext uri="{FF2B5EF4-FFF2-40B4-BE49-F238E27FC236}">
                    <a16:creationId xmlns:a16="http://schemas.microsoft.com/office/drawing/2014/main" id="{00000000-0008-0000-1500-00006F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68" name="Option Button 112" hidden="1">
                <a:extLst>
                  <a:ext uri="{63B3BB69-23CF-44E3-9099-C40C66FF867C}">
                    <a14:compatExt spid="_x0000_s224368"/>
                  </a:ext>
                  <a:ext uri="{FF2B5EF4-FFF2-40B4-BE49-F238E27FC236}">
                    <a16:creationId xmlns:a16="http://schemas.microsoft.com/office/drawing/2014/main" id="{00000000-0008-0000-1500-000070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69" name="Group Box 113" hidden="1">
                <a:extLst>
                  <a:ext uri="{63B3BB69-23CF-44E3-9099-C40C66FF867C}">
                    <a14:compatExt spid="_x0000_s224369"/>
                  </a:ext>
                  <a:ext uri="{FF2B5EF4-FFF2-40B4-BE49-F238E27FC236}">
                    <a16:creationId xmlns:a16="http://schemas.microsoft.com/office/drawing/2014/main" id="{00000000-0008-0000-1500-0000716C0300}"/>
                  </a:ext>
                </a:extLst>
              </xdr:cNvPr>
              <xdr:cNvSpPr/>
            </xdr:nvSpPr>
            <xdr:spPr bwMode="auto">
              <a:xfrm>
                <a:off x="2994696" y="2201929"/>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6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600-000034000000}"/>
                </a:ext>
              </a:extLst>
            </xdr:cNvPr>
            <xdr:cNvGrpSpPr/>
          </xdr:nvGrpSpPr>
          <xdr:grpSpPr>
            <a:xfrm>
              <a:off x="3696269" y="42148836"/>
              <a:ext cx="1956179" cy="1649104"/>
              <a:chOff x="2995452" y="3846784"/>
              <a:chExt cx="1960181" cy="1644870"/>
            </a:xfrm>
          </xdr:grpSpPr>
          <xdr:sp macro="" textlink="">
            <xdr:nvSpPr>
              <xdr:cNvPr id="224375" name="Option Button 119" hidden="1">
                <a:extLst>
                  <a:ext uri="{63B3BB69-23CF-44E3-9099-C40C66FF867C}">
                    <a14:compatExt spid="_x0000_s224375"/>
                  </a:ext>
                  <a:ext uri="{FF2B5EF4-FFF2-40B4-BE49-F238E27FC236}">
                    <a16:creationId xmlns:a16="http://schemas.microsoft.com/office/drawing/2014/main" id="{00000000-0008-0000-1500-000077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76" name="Option Button 120" hidden="1">
                <a:extLst>
                  <a:ext uri="{63B3BB69-23CF-44E3-9099-C40C66FF867C}">
                    <a14:compatExt spid="_x0000_s224376"/>
                  </a:ext>
                  <a:ext uri="{FF2B5EF4-FFF2-40B4-BE49-F238E27FC236}">
                    <a16:creationId xmlns:a16="http://schemas.microsoft.com/office/drawing/2014/main" id="{00000000-0008-0000-1500-000078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77" name="Option Button 121" hidden="1">
                <a:extLst>
                  <a:ext uri="{63B3BB69-23CF-44E3-9099-C40C66FF867C}">
                    <a14:compatExt spid="_x0000_s224377"/>
                  </a:ext>
                  <a:ext uri="{FF2B5EF4-FFF2-40B4-BE49-F238E27FC236}">
                    <a16:creationId xmlns:a16="http://schemas.microsoft.com/office/drawing/2014/main" id="{00000000-0008-0000-1500-000079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78" name="Option Button 122" hidden="1">
                <a:extLst>
                  <a:ext uri="{63B3BB69-23CF-44E3-9099-C40C66FF867C}">
                    <a14:compatExt spid="_x0000_s224378"/>
                  </a:ext>
                  <a:ext uri="{FF2B5EF4-FFF2-40B4-BE49-F238E27FC236}">
                    <a16:creationId xmlns:a16="http://schemas.microsoft.com/office/drawing/2014/main" id="{00000000-0008-0000-1500-00007A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79" name="Group Box 123" hidden="1">
                <a:extLst>
                  <a:ext uri="{63B3BB69-23CF-44E3-9099-C40C66FF867C}">
                    <a14:compatExt spid="_x0000_s224379"/>
                  </a:ext>
                  <a:ext uri="{FF2B5EF4-FFF2-40B4-BE49-F238E27FC236}">
                    <a16:creationId xmlns:a16="http://schemas.microsoft.com/office/drawing/2014/main" id="{00000000-0008-0000-1500-00007B6C0300}"/>
                  </a:ext>
                </a:extLst>
              </xdr:cNvPr>
              <xdr:cNvSpPr/>
            </xdr:nvSpPr>
            <xdr:spPr bwMode="auto">
              <a:xfrm>
                <a:off x="2995452" y="3846784"/>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600-000035000000}"/>
                </a:ext>
              </a:extLst>
            </xdr:cNvPr>
            <xdr:cNvGrpSpPr/>
          </xdr:nvGrpSpPr>
          <xdr:grpSpPr>
            <a:xfrm>
              <a:off x="3696269" y="40499731"/>
              <a:ext cx="1956179" cy="1651160"/>
              <a:chOff x="2994700" y="2201912"/>
              <a:chExt cx="1960968" cy="1646922"/>
            </a:xfrm>
          </xdr:grpSpPr>
          <xdr:sp macro="" textlink="">
            <xdr:nvSpPr>
              <xdr:cNvPr id="224380" name="Option Button 124" descr="Case d'option 47" hidden="1">
                <a:extLst>
                  <a:ext uri="{63B3BB69-23CF-44E3-9099-C40C66FF867C}">
                    <a14:compatExt spid="_x0000_s224380"/>
                  </a:ext>
                  <a:ext uri="{FF2B5EF4-FFF2-40B4-BE49-F238E27FC236}">
                    <a16:creationId xmlns:a16="http://schemas.microsoft.com/office/drawing/2014/main" id="{00000000-0008-0000-1500-00007C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81" name="Option Button 125" hidden="1">
                <a:extLst>
                  <a:ext uri="{63B3BB69-23CF-44E3-9099-C40C66FF867C}">
                    <a14:compatExt spid="_x0000_s224381"/>
                  </a:ext>
                  <a:ext uri="{FF2B5EF4-FFF2-40B4-BE49-F238E27FC236}">
                    <a16:creationId xmlns:a16="http://schemas.microsoft.com/office/drawing/2014/main" id="{00000000-0008-0000-1500-00007D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82" name="Option Button 126" hidden="1">
                <a:extLst>
                  <a:ext uri="{63B3BB69-23CF-44E3-9099-C40C66FF867C}">
                    <a14:compatExt spid="_x0000_s224382"/>
                  </a:ext>
                  <a:ext uri="{FF2B5EF4-FFF2-40B4-BE49-F238E27FC236}">
                    <a16:creationId xmlns:a16="http://schemas.microsoft.com/office/drawing/2014/main" id="{00000000-0008-0000-1500-00007E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83" name="Option Button 127" hidden="1">
                <a:extLst>
                  <a:ext uri="{63B3BB69-23CF-44E3-9099-C40C66FF867C}">
                    <a14:compatExt spid="_x0000_s224383"/>
                  </a:ext>
                  <a:ext uri="{FF2B5EF4-FFF2-40B4-BE49-F238E27FC236}">
                    <a16:creationId xmlns:a16="http://schemas.microsoft.com/office/drawing/2014/main" id="{00000000-0008-0000-1500-00007F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84" name="Group Box 128" hidden="1">
                <a:extLst>
                  <a:ext uri="{63B3BB69-23CF-44E3-9099-C40C66FF867C}">
                    <a14:compatExt spid="_x0000_s224384"/>
                  </a:ext>
                  <a:ext uri="{FF2B5EF4-FFF2-40B4-BE49-F238E27FC236}">
                    <a16:creationId xmlns:a16="http://schemas.microsoft.com/office/drawing/2014/main" id="{00000000-0008-0000-1500-0000806C0300}"/>
                  </a:ext>
                </a:extLst>
              </xdr:cNvPr>
              <xdr:cNvSpPr/>
            </xdr:nvSpPr>
            <xdr:spPr bwMode="auto">
              <a:xfrm>
                <a:off x="2994700"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6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6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6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1600-000039000000}"/>
                </a:ext>
              </a:extLst>
            </xdr:cNvPr>
            <xdr:cNvGrpSpPr/>
          </xdr:nvGrpSpPr>
          <xdr:grpSpPr>
            <a:xfrm>
              <a:off x="3696269" y="47096152"/>
              <a:ext cx="1956179" cy="1649102"/>
              <a:chOff x="2995452" y="3846783"/>
              <a:chExt cx="1960181" cy="1644868"/>
            </a:xfrm>
          </xdr:grpSpPr>
          <xdr:sp macro="" textlink="">
            <xdr:nvSpPr>
              <xdr:cNvPr id="224385" name="Option Button 129" hidden="1">
                <a:extLst>
                  <a:ext uri="{63B3BB69-23CF-44E3-9099-C40C66FF867C}">
                    <a14:compatExt spid="_x0000_s224385"/>
                  </a:ext>
                  <a:ext uri="{FF2B5EF4-FFF2-40B4-BE49-F238E27FC236}">
                    <a16:creationId xmlns:a16="http://schemas.microsoft.com/office/drawing/2014/main" id="{00000000-0008-0000-1500-000081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86" name="Option Button 130" hidden="1">
                <a:extLst>
                  <a:ext uri="{63B3BB69-23CF-44E3-9099-C40C66FF867C}">
                    <a14:compatExt spid="_x0000_s224386"/>
                  </a:ext>
                  <a:ext uri="{FF2B5EF4-FFF2-40B4-BE49-F238E27FC236}">
                    <a16:creationId xmlns:a16="http://schemas.microsoft.com/office/drawing/2014/main" id="{00000000-0008-0000-1500-000082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87" name="Option Button 131" hidden="1">
                <a:extLst>
                  <a:ext uri="{63B3BB69-23CF-44E3-9099-C40C66FF867C}">
                    <a14:compatExt spid="_x0000_s224387"/>
                  </a:ext>
                  <a:ext uri="{FF2B5EF4-FFF2-40B4-BE49-F238E27FC236}">
                    <a16:creationId xmlns:a16="http://schemas.microsoft.com/office/drawing/2014/main" id="{00000000-0008-0000-1500-000083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88" name="Option Button 132" hidden="1">
                <a:extLst>
                  <a:ext uri="{63B3BB69-23CF-44E3-9099-C40C66FF867C}">
                    <a14:compatExt spid="_x0000_s224388"/>
                  </a:ext>
                  <a:ext uri="{FF2B5EF4-FFF2-40B4-BE49-F238E27FC236}">
                    <a16:creationId xmlns:a16="http://schemas.microsoft.com/office/drawing/2014/main" id="{00000000-0008-0000-1500-000084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89" name="Group Box 133" hidden="1">
                <a:extLst>
                  <a:ext uri="{63B3BB69-23CF-44E3-9099-C40C66FF867C}">
                    <a14:compatExt spid="_x0000_s224389"/>
                  </a:ext>
                  <a:ext uri="{FF2B5EF4-FFF2-40B4-BE49-F238E27FC236}">
                    <a16:creationId xmlns:a16="http://schemas.microsoft.com/office/drawing/2014/main" id="{00000000-0008-0000-1500-0000856C0300}"/>
                  </a:ext>
                </a:extLst>
              </xdr:cNvPr>
              <xdr:cNvSpPr/>
            </xdr:nvSpPr>
            <xdr:spPr bwMode="auto">
              <a:xfrm>
                <a:off x="2995452" y="3846783"/>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600-00003A000000}"/>
                </a:ext>
              </a:extLst>
            </xdr:cNvPr>
            <xdr:cNvGrpSpPr/>
          </xdr:nvGrpSpPr>
          <xdr:grpSpPr>
            <a:xfrm>
              <a:off x="3699437" y="45447045"/>
              <a:ext cx="1953011" cy="1651162"/>
              <a:chOff x="2994664" y="2201913"/>
              <a:chExt cx="1960968" cy="1646925"/>
            </a:xfrm>
          </xdr:grpSpPr>
          <xdr:sp macro="" textlink="">
            <xdr:nvSpPr>
              <xdr:cNvPr id="224390" name="Option Button 134" descr="Case d'option 47" hidden="1">
                <a:extLst>
                  <a:ext uri="{63B3BB69-23CF-44E3-9099-C40C66FF867C}">
                    <a14:compatExt spid="_x0000_s224390"/>
                  </a:ext>
                  <a:ext uri="{FF2B5EF4-FFF2-40B4-BE49-F238E27FC236}">
                    <a16:creationId xmlns:a16="http://schemas.microsoft.com/office/drawing/2014/main" id="{00000000-0008-0000-1500-000086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91" name="Option Button 135" hidden="1">
                <a:extLst>
                  <a:ext uri="{63B3BB69-23CF-44E3-9099-C40C66FF867C}">
                    <a14:compatExt spid="_x0000_s224391"/>
                  </a:ext>
                  <a:ext uri="{FF2B5EF4-FFF2-40B4-BE49-F238E27FC236}">
                    <a16:creationId xmlns:a16="http://schemas.microsoft.com/office/drawing/2014/main" id="{00000000-0008-0000-1500-000087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92" name="Option Button 136" hidden="1">
                <a:extLst>
                  <a:ext uri="{63B3BB69-23CF-44E3-9099-C40C66FF867C}">
                    <a14:compatExt spid="_x0000_s224392"/>
                  </a:ext>
                  <a:ext uri="{FF2B5EF4-FFF2-40B4-BE49-F238E27FC236}">
                    <a16:creationId xmlns:a16="http://schemas.microsoft.com/office/drawing/2014/main" id="{00000000-0008-0000-1500-000088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93" name="Option Button 137" hidden="1">
                <a:extLst>
                  <a:ext uri="{63B3BB69-23CF-44E3-9099-C40C66FF867C}">
                    <a14:compatExt spid="_x0000_s224393"/>
                  </a:ext>
                  <a:ext uri="{FF2B5EF4-FFF2-40B4-BE49-F238E27FC236}">
                    <a16:creationId xmlns:a16="http://schemas.microsoft.com/office/drawing/2014/main" id="{00000000-0008-0000-1500-000089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94" name="Group Box 138" hidden="1">
                <a:extLst>
                  <a:ext uri="{63B3BB69-23CF-44E3-9099-C40C66FF867C}">
                    <a14:compatExt spid="_x0000_s224394"/>
                  </a:ext>
                  <a:ext uri="{FF2B5EF4-FFF2-40B4-BE49-F238E27FC236}">
                    <a16:creationId xmlns:a16="http://schemas.microsoft.com/office/drawing/2014/main" id="{00000000-0008-0000-1500-00008A6C0300}"/>
                  </a:ext>
                </a:extLst>
              </xdr:cNvPr>
              <xdr:cNvSpPr/>
            </xdr:nvSpPr>
            <xdr:spPr bwMode="auto">
              <a:xfrm>
                <a:off x="2994664" y="2201913"/>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600-00003B000000}"/>
                </a:ext>
              </a:extLst>
            </xdr:cNvPr>
            <xdr:cNvGrpSpPr/>
          </xdr:nvGrpSpPr>
          <xdr:grpSpPr>
            <a:xfrm>
              <a:off x="3696269" y="43797940"/>
              <a:ext cx="1956179" cy="1649105"/>
              <a:chOff x="2994696" y="2201925"/>
              <a:chExt cx="1960968" cy="1646928"/>
            </a:xfrm>
          </xdr:grpSpPr>
          <xdr:sp macro="" textlink="">
            <xdr:nvSpPr>
              <xdr:cNvPr id="224395" name="Option Button 139" descr="Case d'option 47" hidden="1">
                <a:extLst>
                  <a:ext uri="{63B3BB69-23CF-44E3-9099-C40C66FF867C}">
                    <a14:compatExt spid="_x0000_s224395"/>
                  </a:ext>
                  <a:ext uri="{FF2B5EF4-FFF2-40B4-BE49-F238E27FC236}">
                    <a16:creationId xmlns:a16="http://schemas.microsoft.com/office/drawing/2014/main" id="{00000000-0008-0000-1500-00008B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396" name="Option Button 140" hidden="1">
                <a:extLst>
                  <a:ext uri="{63B3BB69-23CF-44E3-9099-C40C66FF867C}">
                    <a14:compatExt spid="_x0000_s224396"/>
                  </a:ext>
                  <a:ext uri="{FF2B5EF4-FFF2-40B4-BE49-F238E27FC236}">
                    <a16:creationId xmlns:a16="http://schemas.microsoft.com/office/drawing/2014/main" id="{00000000-0008-0000-1500-00008C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397" name="Option Button 141" hidden="1">
                <a:extLst>
                  <a:ext uri="{63B3BB69-23CF-44E3-9099-C40C66FF867C}">
                    <a14:compatExt spid="_x0000_s224397"/>
                  </a:ext>
                  <a:ext uri="{FF2B5EF4-FFF2-40B4-BE49-F238E27FC236}">
                    <a16:creationId xmlns:a16="http://schemas.microsoft.com/office/drawing/2014/main" id="{00000000-0008-0000-1500-00008D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398" name="Option Button 142" hidden="1">
                <a:extLst>
                  <a:ext uri="{63B3BB69-23CF-44E3-9099-C40C66FF867C}">
                    <a14:compatExt spid="_x0000_s224398"/>
                  </a:ext>
                  <a:ext uri="{FF2B5EF4-FFF2-40B4-BE49-F238E27FC236}">
                    <a16:creationId xmlns:a16="http://schemas.microsoft.com/office/drawing/2014/main" id="{00000000-0008-0000-1500-00008E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399" name="Group Box 143" hidden="1">
                <a:extLst>
                  <a:ext uri="{63B3BB69-23CF-44E3-9099-C40C66FF867C}">
                    <a14:compatExt spid="_x0000_s224399"/>
                  </a:ext>
                  <a:ext uri="{FF2B5EF4-FFF2-40B4-BE49-F238E27FC236}">
                    <a16:creationId xmlns:a16="http://schemas.microsoft.com/office/drawing/2014/main" id="{00000000-0008-0000-1500-00008F6C0300}"/>
                  </a:ext>
                </a:extLst>
              </xdr:cNvPr>
              <xdr:cNvSpPr/>
            </xdr:nvSpPr>
            <xdr:spPr bwMode="auto">
              <a:xfrm>
                <a:off x="2994696" y="2201925"/>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224400" name="Group Box 144" hidden="1">
              <a:extLst>
                <a:ext uri="{63B3BB69-23CF-44E3-9099-C40C66FF867C}">
                  <a14:compatExt spid="_x0000_s224400"/>
                </a:ext>
                <a:ext uri="{FF2B5EF4-FFF2-40B4-BE49-F238E27FC236}">
                  <a16:creationId xmlns:a16="http://schemas.microsoft.com/office/drawing/2014/main" id="{00000000-0008-0000-1500-0000906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6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6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6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6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224256" name="Ellipse 224255">
          <a:extLst>
            <a:ext uri="{FF2B5EF4-FFF2-40B4-BE49-F238E27FC236}">
              <a16:creationId xmlns:a16="http://schemas.microsoft.com/office/drawing/2014/main" id="{00000000-0008-0000-1600-0000006C03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224401" name="Groupe 224400">
              <a:extLst>
                <a:ext uri="{FF2B5EF4-FFF2-40B4-BE49-F238E27FC236}">
                  <a16:creationId xmlns:a16="http://schemas.microsoft.com/office/drawing/2014/main" id="{00000000-0008-0000-1600-0000916C0300}"/>
                </a:ext>
              </a:extLst>
            </xdr:cNvPr>
            <xdr:cNvGrpSpPr/>
          </xdr:nvGrpSpPr>
          <xdr:grpSpPr>
            <a:xfrm>
              <a:off x="3696269" y="8825552"/>
              <a:ext cx="1956179" cy="1649105"/>
              <a:chOff x="2995452" y="3846787"/>
              <a:chExt cx="1960181" cy="1644869"/>
            </a:xfrm>
          </xdr:grpSpPr>
          <xdr:sp macro="" textlink="">
            <xdr:nvSpPr>
              <xdr:cNvPr id="11" name="Option Button 145" hidden="1">
                <a:extLst>
                  <a:ext uri="{63B3BB69-23CF-44E3-9099-C40C66FF867C}">
                    <a14:compatExt spid="_x0000_s224401"/>
                  </a:ext>
                  <a:ext uri="{FF2B5EF4-FFF2-40B4-BE49-F238E27FC236}">
                    <a16:creationId xmlns:a16="http://schemas.microsoft.com/office/drawing/2014/main" id="{00000000-0008-0000-15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02" name="Option Button 146" hidden="1">
                <a:extLst>
                  <a:ext uri="{63B3BB69-23CF-44E3-9099-C40C66FF867C}">
                    <a14:compatExt spid="_x0000_s224402"/>
                  </a:ext>
                  <a:ext uri="{FF2B5EF4-FFF2-40B4-BE49-F238E27FC236}">
                    <a16:creationId xmlns:a16="http://schemas.microsoft.com/office/drawing/2014/main" id="{00000000-0008-0000-1500-000092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03" name="Option Button 147" hidden="1">
                <a:extLst>
                  <a:ext uri="{63B3BB69-23CF-44E3-9099-C40C66FF867C}">
                    <a14:compatExt spid="_x0000_s224403"/>
                  </a:ext>
                  <a:ext uri="{FF2B5EF4-FFF2-40B4-BE49-F238E27FC236}">
                    <a16:creationId xmlns:a16="http://schemas.microsoft.com/office/drawing/2014/main" id="{00000000-0008-0000-1500-000093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04" name="Option Button 148" hidden="1">
                <a:extLst>
                  <a:ext uri="{63B3BB69-23CF-44E3-9099-C40C66FF867C}">
                    <a14:compatExt spid="_x0000_s224404"/>
                  </a:ext>
                  <a:ext uri="{FF2B5EF4-FFF2-40B4-BE49-F238E27FC236}">
                    <a16:creationId xmlns:a16="http://schemas.microsoft.com/office/drawing/2014/main" id="{00000000-0008-0000-1500-000094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05" name="Group Box 149" hidden="1">
                <a:extLst>
                  <a:ext uri="{63B3BB69-23CF-44E3-9099-C40C66FF867C}">
                    <a14:compatExt spid="_x0000_s224405"/>
                  </a:ext>
                  <a:ext uri="{FF2B5EF4-FFF2-40B4-BE49-F238E27FC236}">
                    <a16:creationId xmlns:a16="http://schemas.microsoft.com/office/drawing/2014/main" id="{00000000-0008-0000-1500-0000956C0300}"/>
                  </a:ext>
                </a:extLst>
              </xdr:cNvPr>
              <xdr:cNvSpPr/>
            </xdr:nvSpPr>
            <xdr:spPr bwMode="auto">
              <a:xfrm>
                <a:off x="2995452" y="3846787"/>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224407" name="ZoneTexte 1">
          <a:extLst>
            <a:ext uri="{FF2B5EF4-FFF2-40B4-BE49-F238E27FC236}">
              <a16:creationId xmlns:a16="http://schemas.microsoft.com/office/drawing/2014/main" id="{00000000-0008-0000-1600-0000976C03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224408" name="ZoneTexte 1">
          <a:extLst>
            <a:ext uri="{FF2B5EF4-FFF2-40B4-BE49-F238E27FC236}">
              <a16:creationId xmlns:a16="http://schemas.microsoft.com/office/drawing/2014/main" id="{00000000-0008-0000-1600-0000986C03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224415" name="ZoneTexte 1">
          <a:extLst>
            <a:ext uri="{FF2B5EF4-FFF2-40B4-BE49-F238E27FC236}">
              <a16:creationId xmlns:a16="http://schemas.microsoft.com/office/drawing/2014/main" id="{00000000-0008-0000-1600-00009F6C03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224416" name="Groupe 224415">
              <a:extLst>
                <a:ext uri="{FF2B5EF4-FFF2-40B4-BE49-F238E27FC236}">
                  <a16:creationId xmlns:a16="http://schemas.microsoft.com/office/drawing/2014/main" id="{00000000-0008-0000-1600-0000A06C0300}"/>
                </a:ext>
              </a:extLst>
            </xdr:cNvPr>
            <xdr:cNvGrpSpPr/>
          </xdr:nvGrpSpPr>
          <xdr:grpSpPr>
            <a:xfrm>
              <a:off x="3696269" y="27613970"/>
              <a:ext cx="1956179" cy="1649105"/>
              <a:chOff x="2994696" y="2201919"/>
              <a:chExt cx="1960968" cy="1646921"/>
            </a:xfrm>
          </xdr:grpSpPr>
          <xdr:sp macro="" textlink="">
            <xdr:nvSpPr>
              <xdr:cNvPr id="224411" name="Option Button 155" descr="Case d'option 47" hidden="1">
                <a:extLst>
                  <a:ext uri="{63B3BB69-23CF-44E3-9099-C40C66FF867C}">
                    <a14:compatExt spid="_x0000_s224411"/>
                  </a:ext>
                  <a:ext uri="{FF2B5EF4-FFF2-40B4-BE49-F238E27FC236}">
                    <a16:creationId xmlns:a16="http://schemas.microsoft.com/office/drawing/2014/main" id="{00000000-0008-0000-1500-00009B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12" name="Option Button 156" hidden="1">
                <a:extLst>
                  <a:ext uri="{63B3BB69-23CF-44E3-9099-C40C66FF867C}">
                    <a14:compatExt spid="_x0000_s224412"/>
                  </a:ext>
                  <a:ext uri="{FF2B5EF4-FFF2-40B4-BE49-F238E27FC236}">
                    <a16:creationId xmlns:a16="http://schemas.microsoft.com/office/drawing/2014/main" id="{00000000-0008-0000-1500-00009C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13" name="Option Button 157" hidden="1">
                <a:extLst>
                  <a:ext uri="{63B3BB69-23CF-44E3-9099-C40C66FF867C}">
                    <a14:compatExt spid="_x0000_s224413"/>
                  </a:ext>
                  <a:ext uri="{FF2B5EF4-FFF2-40B4-BE49-F238E27FC236}">
                    <a16:creationId xmlns:a16="http://schemas.microsoft.com/office/drawing/2014/main" id="{00000000-0008-0000-1500-00009D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14" name="Option Button 158" hidden="1">
                <a:extLst>
                  <a:ext uri="{63B3BB69-23CF-44E3-9099-C40C66FF867C}">
                    <a14:compatExt spid="_x0000_s224414"/>
                  </a:ext>
                  <a:ext uri="{FF2B5EF4-FFF2-40B4-BE49-F238E27FC236}">
                    <a16:creationId xmlns:a16="http://schemas.microsoft.com/office/drawing/2014/main" id="{00000000-0008-0000-1500-00009E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2" name="Group Box 159" hidden="1">
                <a:extLst>
                  <a:ext uri="{63B3BB69-23CF-44E3-9099-C40C66FF867C}">
                    <a14:compatExt spid="_x0000_s224415"/>
                  </a:ext>
                  <a:ext uri="{FF2B5EF4-FFF2-40B4-BE49-F238E27FC236}">
                    <a16:creationId xmlns:a16="http://schemas.microsoft.com/office/drawing/2014/main" id="{00000000-0008-0000-1500-00000C000000}"/>
                  </a:ext>
                </a:extLst>
              </xdr:cNvPr>
              <xdr:cNvSpPr/>
            </xdr:nvSpPr>
            <xdr:spPr bwMode="auto">
              <a:xfrm>
                <a:off x="2994696" y="2201919"/>
                <a:ext cx="1960968"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224422" name="ZoneTexte 1">
          <a:extLst>
            <a:ext uri="{FF2B5EF4-FFF2-40B4-BE49-F238E27FC236}">
              <a16:creationId xmlns:a16="http://schemas.microsoft.com/office/drawing/2014/main" id="{00000000-0008-0000-1600-0000A66C03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224423" name="ZoneTexte 1">
          <a:extLst>
            <a:ext uri="{FF2B5EF4-FFF2-40B4-BE49-F238E27FC236}">
              <a16:creationId xmlns:a16="http://schemas.microsoft.com/office/drawing/2014/main" id="{00000000-0008-0000-1600-0000A76C03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224430" name="ZoneTexte 1">
          <a:extLst>
            <a:ext uri="{FF2B5EF4-FFF2-40B4-BE49-F238E27FC236}">
              <a16:creationId xmlns:a16="http://schemas.microsoft.com/office/drawing/2014/main" id="{00000000-0008-0000-1600-0000AE6C03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224431" name="ZoneTexte 1">
          <a:extLst>
            <a:ext uri="{FF2B5EF4-FFF2-40B4-BE49-F238E27FC236}">
              <a16:creationId xmlns:a16="http://schemas.microsoft.com/office/drawing/2014/main" id="{00000000-0008-0000-1600-0000AF6C03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224444" name="ZoneTexte 1">
          <a:extLst>
            <a:ext uri="{FF2B5EF4-FFF2-40B4-BE49-F238E27FC236}">
              <a16:creationId xmlns:a16="http://schemas.microsoft.com/office/drawing/2014/main" id="{00000000-0008-0000-1600-0000BC6C03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224446" name="Groupe 224445">
              <a:extLst>
                <a:ext uri="{FF2B5EF4-FFF2-40B4-BE49-F238E27FC236}">
                  <a16:creationId xmlns:a16="http://schemas.microsoft.com/office/drawing/2014/main" id="{00000000-0008-0000-1600-0000BE6C0300}"/>
                </a:ext>
              </a:extLst>
            </xdr:cNvPr>
            <xdr:cNvGrpSpPr/>
          </xdr:nvGrpSpPr>
          <xdr:grpSpPr>
            <a:xfrm>
              <a:off x="3696269" y="52509761"/>
              <a:ext cx="1956179" cy="1649105"/>
              <a:chOff x="2995452" y="3846791"/>
              <a:chExt cx="1960181" cy="1644868"/>
            </a:xfrm>
          </xdr:grpSpPr>
          <xdr:sp macro="" textlink="">
            <xdr:nvSpPr>
              <xdr:cNvPr id="13" name="Option Button 175" hidden="1">
                <a:extLst>
                  <a:ext uri="{63B3BB69-23CF-44E3-9099-C40C66FF867C}">
                    <a14:compatExt spid="_x0000_s224431"/>
                  </a:ext>
                  <a:ext uri="{FF2B5EF4-FFF2-40B4-BE49-F238E27FC236}">
                    <a16:creationId xmlns:a16="http://schemas.microsoft.com/office/drawing/2014/main" id="{00000000-0008-0000-1500-00000D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32" name="Option Button 176" hidden="1">
                <a:extLst>
                  <a:ext uri="{63B3BB69-23CF-44E3-9099-C40C66FF867C}">
                    <a14:compatExt spid="_x0000_s224432"/>
                  </a:ext>
                  <a:ext uri="{FF2B5EF4-FFF2-40B4-BE49-F238E27FC236}">
                    <a16:creationId xmlns:a16="http://schemas.microsoft.com/office/drawing/2014/main" id="{00000000-0008-0000-1500-0000B0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33" name="Option Button 177" hidden="1">
                <a:extLst>
                  <a:ext uri="{63B3BB69-23CF-44E3-9099-C40C66FF867C}">
                    <a14:compatExt spid="_x0000_s224433"/>
                  </a:ext>
                  <a:ext uri="{FF2B5EF4-FFF2-40B4-BE49-F238E27FC236}">
                    <a16:creationId xmlns:a16="http://schemas.microsoft.com/office/drawing/2014/main" id="{00000000-0008-0000-1500-0000B1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34" name="Option Button 178" hidden="1">
                <a:extLst>
                  <a:ext uri="{63B3BB69-23CF-44E3-9099-C40C66FF867C}">
                    <a14:compatExt spid="_x0000_s224434"/>
                  </a:ext>
                  <a:ext uri="{FF2B5EF4-FFF2-40B4-BE49-F238E27FC236}">
                    <a16:creationId xmlns:a16="http://schemas.microsoft.com/office/drawing/2014/main" id="{00000000-0008-0000-1500-0000B2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35" name="Group Box 179" hidden="1">
                <a:extLst>
                  <a:ext uri="{63B3BB69-23CF-44E3-9099-C40C66FF867C}">
                    <a14:compatExt spid="_x0000_s224435"/>
                  </a:ext>
                  <a:ext uri="{FF2B5EF4-FFF2-40B4-BE49-F238E27FC236}">
                    <a16:creationId xmlns:a16="http://schemas.microsoft.com/office/drawing/2014/main" id="{00000000-0008-0000-1500-0000B36C0300}"/>
                  </a:ext>
                </a:extLst>
              </xdr:cNvPr>
              <xdr:cNvSpPr/>
            </xdr:nvSpPr>
            <xdr:spPr bwMode="auto">
              <a:xfrm>
                <a:off x="2995452" y="3846791"/>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224452" name="Groupe 224451">
              <a:extLst>
                <a:ext uri="{FF2B5EF4-FFF2-40B4-BE49-F238E27FC236}">
                  <a16:creationId xmlns:a16="http://schemas.microsoft.com/office/drawing/2014/main" id="{00000000-0008-0000-1600-0000C46C0300}"/>
                </a:ext>
              </a:extLst>
            </xdr:cNvPr>
            <xdr:cNvGrpSpPr/>
          </xdr:nvGrpSpPr>
          <xdr:grpSpPr>
            <a:xfrm>
              <a:off x="3696269" y="50860657"/>
              <a:ext cx="1956179" cy="1651159"/>
              <a:chOff x="2994700" y="2201914"/>
              <a:chExt cx="1960968" cy="1646922"/>
            </a:xfrm>
          </xdr:grpSpPr>
          <xdr:sp macro="" textlink="">
            <xdr:nvSpPr>
              <xdr:cNvPr id="224436" name="Option Button 180" descr="Case d'option 47" hidden="1">
                <a:extLst>
                  <a:ext uri="{63B3BB69-23CF-44E3-9099-C40C66FF867C}">
                    <a14:compatExt spid="_x0000_s224436"/>
                  </a:ext>
                  <a:ext uri="{FF2B5EF4-FFF2-40B4-BE49-F238E27FC236}">
                    <a16:creationId xmlns:a16="http://schemas.microsoft.com/office/drawing/2014/main" id="{00000000-0008-0000-1500-0000B4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37" name="Option Button 181" hidden="1">
                <a:extLst>
                  <a:ext uri="{63B3BB69-23CF-44E3-9099-C40C66FF867C}">
                    <a14:compatExt spid="_x0000_s224437"/>
                  </a:ext>
                  <a:ext uri="{FF2B5EF4-FFF2-40B4-BE49-F238E27FC236}">
                    <a16:creationId xmlns:a16="http://schemas.microsoft.com/office/drawing/2014/main" id="{00000000-0008-0000-1500-0000B5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38" name="Option Button 182" hidden="1">
                <a:extLst>
                  <a:ext uri="{63B3BB69-23CF-44E3-9099-C40C66FF867C}">
                    <a14:compatExt spid="_x0000_s224438"/>
                  </a:ext>
                  <a:ext uri="{FF2B5EF4-FFF2-40B4-BE49-F238E27FC236}">
                    <a16:creationId xmlns:a16="http://schemas.microsoft.com/office/drawing/2014/main" id="{00000000-0008-0000-1500-0000B6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39" name="Option Button 183" hidden="1">
                <a:extLst>
                  <a:ext uri="{63B3BB69-23CF-44E3-9099-C40C66FF867C}">
                    <a14:compatExt spid="_x0000_s224439"/>
                  </a:ext>
                  <a:ext uri="{FF2B5EF4-FFF2-40B4-BE49-F238E27FC236}">
                    <a16:creationId xmlns:a16="http://schemas.microsoft.com/office/drawing/2014/main" id="{00000000-0008-0000-1500-0000B7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40" name="Group Box 184" hidden="1">
                <a:extLst>
                  <a:ext uri="{63B3BB69-23CF-44E3-9099-C40C66FF867C}">
                    <a14:compatExt spid="_x0000_s224440"/>
                  </a:ext>
                  <a:ext uri="{FF2B5EF4-FFF2-40B4-BE49-F238E27FC236}">
                    <a16:creationId xmlns:a16="http://schemas.microsoft.com/office/drawing/2014/main" id="{00000000-0008-0000-1500-0000B86C0300}"/>
                  </a:ext>
                </a:extLst>
              </xdr:cNvPr>
              <xdr:cNvSpPr/>
            </xdr:nvSpPr>
            <xdr:spPr bwMode="auto">
              <a:xfrm>
                <a:off x="2994700"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224458" name="ZoneTexte 1">
          <a:extLst>
            <a:ext uri="{FF2B5EF4-FFF2-40B4-BE49-F238E27FC236}">
              <a16:creationId xmlns:a16="http://schemas.microsoft.com/office/drawing/2014/main" id="{00000000-0008-0000-1600-0000CA6C03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224459" name="ZoneTexte 1">
          <a:extLst>
            <a:ext uri="{FF2B5EF4-FFF2-40B4-BE49-F238E27FC236}">
              <a16:creationId xmlns:a16="http://schemas.microsoft.com/office/drawing/2014/main" id="{00000000-0008-0000-1600-0000CB6C03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224460" name="ZoneTexte 1">
          <a:extLst>
            <a:ext uri="{FF2B5EF4-FFF2-40B4-BE49-F238E27FC236}">
              <a16:creationId xmlns:a16="http://schemas.microsoft.com/office/drawing/2014/main" id="{00000000-0008-0000-1600-0000CC6C03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97</xdr:row>
          <xdr:rowOff>3</xdr:rowOff>
        </xdr:from>
        <xdr:to>
          <xdr:col>8</xdr:col>
          <xdr:colOff>0</xdr:colOff>
          <xdr:row>98</xdr:row>
          <xdr:rowOff>3</xdr:rowOff>
        </xdr:to>
        <xdr:grpSp>
          <xdr:nvGrpSpPr>
            <xdr:cNvPr id="224461" name="Groupe 224460">
              <a:extLst>
                <a:ext uri="{FF2B5EF4-FFF2-40B4-BE49-F238E27FC236}">
                  <a16:creationId xmlns:a16="http://schemas.microsoft.com/office/drawing/2014/main" id="{00000000-0008-0000-1600-0000CD6C0300}"/>
                </a:ext>
              </a:extLst>
            </xdr:cNvPr>
            <xdr:cNvGrpSpPr/>
          </xdr:nvGrpSpPr>
          <xdr:grpSpPr>
            <a:xfrm>
              <a:off x="3696269" y="57457078"/>
              <a:ext cx="1956179" cy="1649101"/>
              <a:chOff x="2995452" y="3846788"/>
              <a:chExt cx="1960181" cy="1644869"/>
            </a:xfrm>
          </xdr:grpSpPr>
          <xdr:sp macro="" textlink="">
            <xdr:nvSpPr>
              <xdr:cNvPr id="224441" name="Option Button 185" hidden="1">
                <a:extLst>
                  <a:ext uri="{63B3BB69-23CF-44E3-9099-C40C66FF867C}">
                    <a14:compatExt spid="_x0000_s224441"/>
                  </a:ext>
                  <a:ext uri="{FF2B5EF4-FFF2-40B4-BE49-F238E27FC236}">
                    <a16:creationId xmlns:a16="http://schemas.microsoft.com/office/drawing/2014/main" id="{00000000-0008-0000-1500-0000B9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42" name="Option Button 186" hidden="1">
                <a:extLst>
                  <a:ext uri="{63B3BB69-23CF-44E3-9099-C40C66FF867C}">
                    <a14:compatExt spid="_x0000_s224442"/>
                  </a:ext>
                  <a:ext uri="{FF2B5EF4-FFF2-40B4-BE49-F238E27FC236}">
                    <a16:creationId xmlns:a16="http://schemas.microsoft.com/office/drawing/2014/main" id="{00000000-0008-0000-1500-0000BA6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43" name="Option Button 187" hidden="1">
                <a:extLst>
                  <a:ext uri="{63B3BB69-23CF-44E3-9099-C40C66FF867C}">
                    <a14:compatExt spid="_x0000_s224443"/>
                  </a:ext>
                  <a:ext uri="{FF2B5EF4-FFF2-40B4-BE49-F238E27FC236}">
                    <a16:creationId xmlns:a16="http://schemas.microsoft.com/office/drawing/2014/main" id="{00000000-0008-0000-1500-0000BB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4" name="Option Button 188" hidden="1">
                <a:extLst>
                  <a:ext uri="{63B3BB69-23CF-44E3-9099-C40C66FF867C}">
                    <a14:compatExt spid="_x0000_s224444"/>
                  </a:ext>
                  <a:ext uri="{FF2B5EF4-FFF2-40B4-BE49-F238E27FC236}">
                    <a16:creationId xmlns:a16="http://schemas.microsoft.com/office/drawing/2014/main" id="{00000000-0008-0000-1500-00000E0000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 name="Group Box 189" hidden="1">
                <a:extLst>
                  <a:ext uri="{63B3BB69-23CF-44E3-9099-C40C66FF867C}">
                    <a14:compatExt spid="_x0000_s224445"/>
                  </a:ext>
                  <a:ext uri="{FF2B5EF4-FFF2-40B4-BE49-F238E27FC236}">
                    <a16:creationId xmlns:a16="http://schemas.microsoft.com/office/drawing/2014/main" id="{00000000-0008-0000-1500-00000F000000}"/>
                  </a:ext>
                </a:extLst>
              </xdr:cNvPr>
              <xdr:cNvSpPr/>
            </xdr:nvSpPr>
            <xdr:spPr bwMode="auto">
              <a:xfrm>
                <a:off x="2995452" y="3846788"/>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224467" name="Groupe 224466">
              <a:extLst>
                <a:ext uri="{FF2B5EF4-FFF2-40B4-BE49-F238E27FC236}">
                  <a16:creationId xmlns:a16="http://schemas.microsoft.com/office/drawing/2014/main" id="{00000000-0008-0000-1600-0000D36C0300}"/>
                </a:ext>
              </a:extLst>
            </xdr:cNvPr>
            <xdr:cNvGrpSpPr/>
          </xdr:nvGrpSpPr>
          <xdr:grpSpPr>
            <a:xfrm>
              <a:off x="3699437" y="55807970"/>
              <a:ext cx="1953011" cy="1651163"/>
              <a:chOff x="2994664" y="2201912"/>
              <a:chExt cx="1960968" cy="1646925"/>
            </a:xfrm>
          </xdr:grpSpPr>
          <xdr:sp macro="" textlink="">
            <xdr:nvSpPr>
              <xdr:cNvPr id="24" name="Option Button 190" descr="Case d'option 47" hidden="1">
                <a:extLst>
                  <a:ext uri="{63B3BB69-23CF-44E3-9099-C40C66FF867C}">
                    <a14:compatExt spid="_x0000_s224446"/>
                  </a:ext>
                  <a:ext uri="{FF2B5EF4-FFF2-40B4-BE49-F238E27FC236}">
                    <a16:creationId xmlns:a16="http://schemas.microsoft.com/office/drawing/2014/main" id="{00000000-0008-0000-1500-000018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47" name="Option Button 191" hidden="1">
                <a:extLst>
                  <a:ext uri="{63B3BB69-23CF-44E3-9099-C40C66FF867C}">
                    <a14:compatExt spid="_x0000_s224447"/>
                  </a:ext>
                  <a:ext uri="{FF2B5EF4-FFF2-40B4-BE49-F238E27FC236}">
                    <a16:creationId xmlns:a16="http://schemas.microsoft.com/office/drawing/2014/main" id="{00000000-0008-0000-1500-0000BF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48" name="Option Button 192" hidden="1">
                <a:extLst>
                  <a:ext uri="{63B3BB69-23CF-44E3-9099-C40C66FF867C}">
                    <a14:compatExt spid="_x0000_s224448"/>
                  </a:ext>
                  <a:ext uri="{FF2B5EF4-FFF2-40B4-BE49-F238E27FC236}">
                    <a16:creationId xmlns:a16="http://schemas.microsoft.com/office/drawing/2014/main" id="{00000000-0008-0000-1500-0000C0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49" name="Option Button 193" hidden="1">
                <a:extLst>
                  <a:ext uri="{63B3BB69-23CF-44E3-9099-C40C66FF867C}">
                    <a14:compatExt spid="_x0000_s224449"/>
                  </a:ext>
                  <a:ext uri="{FF2B5EF4-FFF2-40B4-BE49-F238E27FC236}">
                    <a16:creationId xmlns:a16="http://schemas.microsoft.com/office/drawing/2014/main" id="{00000000-0008-0000-1500-0000C1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50" name="Group Box 194" hidden="1">
                <a:extLst>
                  <a:ext uri="{63B3BB69-23CF-44E3-9099-C40C66FF867C}">
                    <a14:compatExt spid="_x0000_s224450"/>
                  </a:ext>
                  <a:ext uri="{FF2B5EF4-FFF2-40B4-BE49-F238E27FC236}">
                    <a16:creationId xmlns:a16="http://schemas.microsoft.com/office/drawing/2014/main" id="{00000000-0008-0000-1500-0000C26C0300}"/>
                  </a:ext>
                </a:extLst>
              </xdr:cNvPr>
              <xdr:cNvSpPr/>
            </xdr:nvSpPr>
            <xdr:spPr bwMode="auto">
              <a:xfrm>
                <a:off x="2994664"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224473" name="Groupe 224472">
              <a:extLst>
                <a:ext uri="{FF2B5EF4-FFF2-40B4-BE49-F238E27FC236}">
                  <a16:creationId xmlns:a16="http://schemas.microsoft.com/office/drawing/2014/main" id="{00000000-0008-0000-1600-0000D96C0300}"/>
                </a:ext>
              </a:extLst>
            </xdr:cNvPr>
            <xdr:cNvGrpSpPr/>
          </xdr:nvGrpSpPr>
          <xdr:grpSpPr>
            <a:xfrm>
              <a:off x="3696269" y="54158866"/>
              <a:ext cx="1956179" cy="1649104"/>
              <a:chOff x="2994696" y="2201924"/>
              <a:chExt cx="1960968" cy="1646927"/>
            </a:xfrm>
          </xdr:grpSpPr>
          <xdr:sp macro="" textlink="">
            <xdr:nvSpPr>
              <xdr:cNvPr id="224451" name="Option Button 195" descr="Case d'option 47" hidden="1">
                <a:extLst>
                  <a:ext uri="{63B3BB69-23CF-44E3-9099-C40C66FF867C}">
                    <a14:compatExt spid="_x0000_s224451"/>
                  </a:ext>
                  <a:ext uri="{FF2B5EF4-FFF2-40B4-BE49-F238E27FC236}">
                    <a16:creationId xmlns:a16="http://schemas.microsoft.com/office/drawing/2014/main" id="{00000000-0008-0000-1500-0000C3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46" name="Option Button 196" hidden="1">
                <a:extLst>
                  <a:ext uri="{63B3BB69-23CF-44E3-9099-C40C66FF867C}">
                    <a14:compatExt spid="_x0000_s224452"/>
                  </a:ext>
                  <a:ext uri="{FF2B5EF4-FFF2-40B4-BE49-F238E27FC236}">
                    <a16:creationId xmlns:a16="http://schemas.microsoft.com/office/drawing/2014/main" id="{00000000-0008-0000-1500-00002E0000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53" name="Option Button 197" hidden="1">
                <a:extLst>
                  <a:ext uri="{63B3BB69-23CF-44E3-9099-C40C66FF867C}">
                    <a14:compatExt spid="_x0000_s224453"/>
                  </a:ext>
                  <a:ext uri="{FF2B5EF4-FFF2-40B4-BE49-F238E27FC236}">
                    <a16:creationId xmlns:a16="http://schemas.microsoft.com/office/drawing/2014/main" id="{00000000-0008-0000-1500-0000C5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54" name="Option Button 198" hidden="1">
                <a:extLst>
                  <a:ext uri="{63B3BB69-23CF-44E3-9099-C40C66FF867C}">
                    <a14:compatExt spid="_x0000_s224454"/>
                  </a:ext>
                  <a:ext uri="{FF2B5EF4-FFF2-40B4-BE49-F238E27FC236}">
                    <a16:creationId xmlns:a16="http://schemas.microsoft.com/office/drawing/2014/main" id="{00000000-0008-0000-1500-0000C6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55" name="Group Box 199" hidden="1">
                <a:extLst>
                  <a:ext uri="{63B3BB69-23CF-44E3-9099-C40C66FF867C}">
                    <a14:compatExt spid="_x0000_s224455"/>
                  </a:ext>
                  <a:ext uri="{FF2B5EF4-FFF2-40B4-BE49-F238E27FC236}">
                    <a16:creationId xmlns:a16="http://schemas.microsoft.com/office/drawing/2014/main" id="{00000000-0008-0000-1500-0000C76C0300}"/>
                  </a:ext>
                </a:extLst>
              </xdr:cNvPr>
              <xdr:cNvSpPr/>
            </xdr:nvSpPr>
            <xdr:spPr bwMode="auto">
              <a:xfrm>
                <a:off x="2994696" y="2201924"/>
                <a:ext cx="1960968" cy="164692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224479" name="Ellipse 224478">
          <a:extLst>
            <a:ext uri="{FF2B5EF4-FFF2-40B4-BE49-F238E27FC236}">
              <a16:creationId xmlns:a16="http://schemas.microsoft.com/office/drawing/2014/main" id="{00000000-0008-0000-1600-0000DF6C03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224480" name="ZoneTexte 1">
          <a:extLst>
            <a:ext uri="{FF2B5EF4-FFF2-40B4-BE49-F238E27FC236}">
              <a16:creationId xmlns:a16="http://schemas.microsoft.com/office/drawing/2014/main" id="{00000000-0008-0000-1600-0000E06C03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224481" name="ZoneTexte 1">
          <a:extLst>
            <a:ext uri="{FF2B5EF4-FFF2-40B4-BE49-F238E27FC236}">
              <a16:creationId xmlns:a16="http://schemas.microsoft.com/office/drawing/2014/main" id="{00000000-0008-0000-1600-0000E16C03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224494" name="ZoneTexte 1">
          <a:extLst>
            <a:ext uri="{FF2B5EF4-FFF2-40B4-BE49-F238E27FC236}">
              <a16:creationId xmlns:a16="http://schemas.microsoft.com/office/drawing/2014/main" id="{00000000-0008-0000-1600-0000EE6C03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110</xdr:row>
          <xdr:rowOff>0</xdr:rowOff>
        </xdr:from>
        <xdr:to>
          <xdr:col>8</xdr:col>
          <xdr:colOff>0</xdr:colOff>
          <xdr:row>111</xdr:row>
          <xdr:rowOff>0</xdr:rowOff>
        </xdr:to>
        <xdr:grpSp>
          <xdr:nvGrpSpPr>
            <xdr:cNvPr id="224496" name="Groupe 224495">
              <a:extLst>
                <a:ext uri="{FF2B5EF4-FFF2-40B4-BE49-F238E27FC236}">
                  <a16:creationId xmlns:a16="http://schemas.microsoft.com/office/drawing/2014/main" id="{00000000-0008-0000-1600-0000F06C0300}"/>
                </a:ext>
              </a:extLst>
            </xdr:cNvPr>
            <xdr:cNvGrpSpPr/>
          </xdr:nvGrpSpPr>
          <xdr:grpSpPr>
            <a:xfrm>
              <a:off x="3696269" y="62870687"/>
              <a:ext cx="1956179" cy="1649104"/>
              <a:chOff x="2995452" y="3846792"/>
              <a:chExt cx="1960181" cy="1644867"/>
            </a:xfrm>
          </xdr:grpSpPr>
          <xdr:sp macro="" textlink="">
            <xdr:nvSpPr>
              <xdr:cNvPr id="224466" name="Option Button 210" hidden="1">
                <a:extLst>
                  <a:ext uri="{63B3BB69-23CF-44E3-9099-C40C66FF867C}">
                    <a14:compatExt spid="_x0000_s224466"/>
                  </a:ext>
                  <a:ext uri="{FF2B5EF4-FFF2-40B4-BE49-F238E27FC236}">
                    <a16:creationId xmlns:a16="http://schemas.microsoft.com/office/drawing/2014/main" id="{00000000-0008-0000-1500-0000D26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49" name="Option Button 211" hidden="1">
                <a:extLst>
                  <a:ext uri="{63B3BB69-23CF-44E3-9099-C40C66FF867C}">
                    <a14:compatExt spid="_x0000_s224467"/>
                  </a:ext>
                  <a:ext uri="{FF2B5EF4-FFF2-40B4-BE49-F238E27FC236}">
                    <a16:creationId xmlns:a16="http://schemas.microsoft.com/office/drawing/2014/main" id="{00000000-0008-0000-1500-000031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68" name="Option Button 212" hidden="1">
                <a:extLst>
                  <a:ext uri="{63B3BB69-23CF-44E3-9099-C40C66FF867C}">
                    <a14:compatExt spid="_x0000_s224468"/>
                  </a:ext>
                  <a:ext uri="{FF2B5EF4-FFF2-40B4-BE49-F238E27FC236}">
                    <a16:creationId xmlns:a16="http://schemas.microsoft.com/office/drawing/2014/main" id="{00000000-0008-0000-1500-0000D46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69" name="Option Button 213" hidden="1">
                <a:extLst>
                  <a:ext uri="{63B3BB69-23CF-44E3-9099-C40C66FF867C}">
                    <a14:compatExt spid="_x0000_s224469"/>
                  </a:ext>
                  <a:ext uri="{FF2B5EF4-FFF2-40B4-BE49-F238E27FC236}">
                    <a16:creationId xmlns:a16="http://schemas.microsoft.com/office/drawing/2014/main" id="{00000000-0008-0000-1500-0000D56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70" name="Group Box 214" hidden="1">
                <a:extLst>
                  <a:ext uri="{63B3BB69-23CF-44E3-9099-C40C66FF867C}">
                    <a14:compatExt spid="_x0000_s224470"/>
                  </a:ext>
                  <a:ext uri="{FF2B5EF4-FFF2-40B4-BE49-F238E27FC236}">
                    <a16:creationId xmlns:a16="http://schemas.microsoft.com/office/drawing/2014/main" id="{00000000-0008-0000-1500-0000D66C0300}"/>
                  </a:ext>
                </a:extLst>
              </xdr:cNvPr>
              <xdr:cNvSpPr/>
            </xdr:nvSpPr>
            <xdr:spPr bwMode="auto">
              <a:xfrm>
                <a:off x="2995452" y="3846792"/>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109</xdr:row>
          <xdr:rowOff>0</xdr:rowOff>
        </xdr:from>
        <xdr:to>
          <xdr:col>8</xdr:col>
          <xdr:colOff>0</xdr:colOff>
          <xdr:row>110</xdr:row>
          <xdr:rowOff>2055</xdr:rowOff>
        </xdr:to>
        <xdr:grpSp>
          <xdr:nvGrpSpPr>
            <xdr:cNvPr id="224502" name="Groupe 224501">
              <a:extLst>
                <a:ext uri="{FF2B5EF4-FFF2-40B4-BE49-F238E27FC236}">
                  <a16:creationId xmlns:a16="http://schemas.microsoft.com/office/drawing/2014/main" id="{00000000-0008-0000-1600-0000F66C0300}"/>
                </a:ext>
              </a:extLst>
            </xdr:cNvPr>
            <xdr:cNvGrpSpPr/>
          </xdr:nvGrpSpPr>
          <xdr:grpSpPr>
            <a:xfrm>
              <a:off x="3696269" y="61221582"/>
              <a:ext cx="1956179" cy="1651160"/>
              <a:chOff x="2994700" y="2201914"/>
              <a:chExt cx="1960968" cy="1646923"/>
            </a:xfrm>
          </xdr:grpSpPr>
          <xdr:sp macro="" textlink="">
            <xdr:nvSpPr>
              <xdr:cNvPr id="224471" name="Option Button 215" descr="Case d'option 47" hidden="1">
                <a:extLst>
                  <a:ext uri="{63B3BB69-23CF-44E3-9099-C40C66FF867C}">
                    <a14:compatExt spid="_x0000_s224471"/>
                  </a:ext>
                  <a:ext uri="{FF2B5EF4-FFF2-40B4-BE49-F238E27FC236}">
                    <a16:creationId xmlns:a16="http://schemas.microsoft.com/office/drawing/2014/main" id="{00000000-0008-0000-1500-0000D7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72" name="Option Button 216" hidden="1">
                <a:extLst>
                  <a:ext uri="{63B3BB69-23CF-44E3-9099-C40C66FF867C}">
                    <a14:compatExt spid="_x0000_s224472"/>
                  </a:ext>
                  <a:ext uri="{FF2B5EF4-FFF2-40B4-BE49-F238E27FC236}">
                    <a16:creationId xmlns:a16="http://schemas.microsoft.com/office/drawing/2014/main" id="{00000000-0008-0000-1500-0000D8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56" name="Option Button 217" hidden="1">
                <a:extLst>
                  <a:ext uri="{63B3BB69-23CF-44E3-9099-C40C66FF867C}">
                    <a14:compatExt spid="_x0000_s224473"/>
                  </a:ext>
                  <a:ext uri="{FF2B5EF4-FFF2-40B4-BE49-F238E27FC236}">
                    <a16:creationId xmlns:a16="http://schemas.microsoft.com/office/drawing/2014/main" id="{00000000-0008-0000-1500-0000C8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74" name="Option Button 218" hidden="1">
                <a:extLst>
                  <a:ext uri="{63B3BB69-23CF-44E3-9099-C40C66FF867C}">
                    <a14:compatExt spid="_x0000_s224474"/>
                  </a:ext>
                  <a:ext uri="{FF2B5EF4-FFF2-40B4-BE49-F238E27FC236}">
                    <a16:creationId xmlns:a16="http://schemas.microsoft.com/office/drawing/2014/main" id="{00000000-0008-0000-1500-0000DA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75" name="Group Box 219" hidden="1">
                <a:extLst>
                  <a:ext uri="{63B3BB69-23CF-44E3-9099-C40C66FF867C}">
                    <a14:compatExt spid="_x0000_s224475"/>
                  </a:ext>
                  <a:ext uri="{FF2B5EF4-FFF2-40B4-BE49-F238E27FC236}">
                    <a16:creationId xmlns:a16="http://schemas.microsoft.com/office/drawing/2014/main" id="{00000000-0008-0000-1500-0000DB6C0300}"/>
                  </a:ext>
                </a:extLst>
              </xdr:cNvPr>
              <xdr:cNvSpPr/>
            </xdr:nvSpPr>
            <xdr:spPr bwMode="auto">
              <a:xfrm>
                <a:off x="2994700" y="2201914"/>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111</xdr:row>
      <xdr:rowOff>15675</xdr:rowOff>
    </xdr:from>
    <xdr:to>
      <xdr:col>9</xdr:col>
      <xdr:colOff>4503756</xdr:colOff>
      <xdr:row>112</xdr:row>
      <xdr:rowOff>0</xdr:rowOff>
    </xdr:to>
    <xdr:sp macro="" textlink="" fLocksText="0">
      <xdr:nvSpPr>
        <xdr:cNvPr id="224508" name="ZoneTexte 1">
          <a:extLst>
            <a:ext uri="{FF2B5EF4-FFF2-40B4-BE49-F238E27FC236}">
              <a16:creationId xmlns:a16="http://schemas.microsoft.com/office/drawing/2014/main" id="{00000000-0008-0000-1600-0000FC6C03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224509" name="ZoneTexte 1">
          <a:extLst>
            <a:ext uri="{FF2B5EF4-FFF2-40B4-BE49-F238E27FC236}">
              <a16:creationId xmlns:a16="http://schemas.microsoft.com/office/drawing/2014/main" id="{00000000-0008-0000-1600-0000FD6C03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224510" name="ZoneTexte 1">
          <a:extLst>
            <a:ext uri="{FF2B5EF4-FFF2-40B4-BE49-F238E27FC236}">
              <a16:creationId xmlns:a16="http://schemas.microsoft.com/office/drawing/2014/main" id="{00000000-0008-0000-1600-0000FE6C03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111</xdr:row>
          <xdr:rowOff>0</xdr:rowOff>
        </xdr:from>
        <xdr:to>
          <xdr:col>8</xdr:col>
          <xdr:colOff>0</xdr:colOff>
          <xdr:row>112</xdr:row>
          <xdr:rowOff>0</xdr:rowOff>
        </xdr:to>
        <xdr:grpSp>
          <xdr:nvGrpSpPr>
            <xdr:cNvPr id="224523" name="Groupe 224522">
              <a:extLst>
                <a:ext uri="{FF2B5EF4-FFF2-40B4-BE49-F238E27FC236}">
                  <a16:creationId xmlns:a16="http://schemas.microsoft.com/office/drawing/2014/main" id="{00000000-0008-0000-1600-00000B6D0300}"/>
                </a:ext>
              </a:extLst>
            </xdr:cNvPr>
            <xdr:cNvGrpSpPr/>
          </xdr:nvGrpSpPr>
          <xdr:grpSpPr>
            <a:xfrm>
              <a:off x="3696269" y="64519791"/>
              <a:ext cx="1956179" cy="1649105"/>
              <a:chOff x="2994696" y="2201922"/>
              <a:chExt cx="1960968" cy="1646928"/>
            </a:xfrm>
          </xdr:grpSpPr>
          <xdr:sp macro="" textlink="">
            <xdr:nvSpPr>
              <xdr:cNvPr id="224486" name="Option Button 230" descr="Case d'option 47" hidden="1">
                <a:extLst>
                  <a:ext uri="{63B3BB69-23CF-44E3-9099-C40C66FF867C}">
                    <a14:compatExt spid="_x0000_s224486"/>
                  </a:ext>
                  <a:ext uri="{FF2B5EF4-FFF2-40B4-BE49-F238E27FC236}">
                    <a16:creationId xmlns:a16="http://schemas.microsoft.com/office/drawing/2014/main" id="{00000000-0008-0000-1500-0000E66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24487" name="Option Button 231" hidden="1">
                <a:extLst>
                  <a:ext uri="{63B3BB69-23CF-44E3-9099-C40C66FF867C}">
                    <a14:compatExt spid="_x0000_s224487"/>
                  </a:ext>
                  <a:ext uri="{FF2B5EF4-FFF2-40B4-BE49-F238E27FC236}">
                    <a16:creationId xmlns:a16="http://schemas.microsoft.com/office/drawing/2014/main" id="{00000000-0008-0000-1500-0000E76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24488" name="Option Button 232" hidden="1">
                <a:extLst>
                  <a:ext uri="{63B3BB69-23CF-44E3-9099-C40C66FF867C}">
                    <a14:compatExt spid="_x0000_s224488"/>
                  </a:ext>
                  <a:ext uri="{FF2B5EF4-FFF2-40B4-BE49-F238E27FC236}">
                    <a16:creationId xmlns:a16="http://schemas.microsoft.com/office/drawing/2014/main" id="{00000000-0008-0000-1500-0000E86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24489" name="Option Button 233" hidden="1">
                <a:extLst>
                  <a:ext uri="{63B3BB69-23CF-44E3-9099-C40C66FF867C}">
                    <a14:compatExt spid="_x0000_s224489"/>
                  </a:ext>
                  <a:ext uri="{FF2B5EF4-FFF2-40B4-BE49-F238E27FC236}">
                    <a16:creationId xmlns:a16="http://schemas.microsoft.com/office/drawing/2014/main" id="{00000000-0008-0000-1500-0000E96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24490" name="Group Box 234" hidden="1">
                <a:extLst>
                  <a:ext uri="{63B3BB69-23CF-44E3-9099-C40C66FF867C}">
                    <a14:compatExt spid="_x0000_s224490"/>
                  </a:ext>
                  <a:ext uri="{FF2B5EF4-FFF2-40B4-BE49-F238E27FC236}">
                    <a16:creationId xmlns:a16="http://schemas.microsoft.com/office/drawing/2014/main" id="{00000000-0008-0000-1500-0000EA6C0300}"/>
                  </a:ext>
                </a:extLst>
              </xdr:cNvPr>
              <xdr:cNvSpPr/>
            </xdr:nvSpPr>
            <xdr:spPr bwMode="auto">
              <a:xfrm>
                <a:off x="2994696" y="2201922"/>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106</xdr:row>
      <xdr:rowOff>165251</xdr:rowOff>
    </xdr:from>
    <xdr:to>
      <xdr:col>5</xdr:col>
      <xdr:colOff>462364</xdr:colOff>
      <xdr:row>107</xdr:row>
      <xdr:rowOff>415621</xdr:rowOff>
    </xdr:to>
    <xdr:sp macro="" textlink="">
      <xdr:nvSpPr>
        <xdr:cNvPr id="224529" name="Ellipse 224528">
          <a:extLst>
            <a:ext uri="{FF2B5EF4-FFF2-40B4-BE49-F238E27FC236}">
              <a16:creationId xmlns:a16="http://schemas.microsoft.com/office/drawing/2014/main" id="{00000000-0008-0000-1600-0000116D03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224530" name="ZoneTexte 1">
          <a:extLst>
            <a:ext uri="{FF2B5EF4-FFF2-40B4-BE49-F238E27FC236}">
              <a16:creationId xmlns:a16="http://schemas.microsoft.com/office/drawing/2014/main" id="{00000000-0008-0000-1600-0000126D03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224531" name="ZoneTexte 1">
          <a:extLst>
            <a:ext uri="{FF2B5EF4-FFF2-40B4-BE49-F238E27FC236}">
              <a16:creationId xmlns:a16="http://schemas.microsoft.com/office/drawing/2014/main" id="{00000000-0008-0000-1600-0000136D03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12</xdr:row>
      <xdr:rowOff>22746</xdr:rowOff>
    </xdr:from>
    <xdr:to>
      <xdr:col>9</xdr:col>
      <xdr:colOff>4571656</xdr:colOff>
      <xdr:row>12</xdr:row>
      <xdr:rowOff>1627565</xdr:rowOff>
    </xdr:to>
    <xdr:sp macro="" textlink="" fLocksText="0">
      <xdr:nvSpPr>
        <xdr:cNvPr id="224457" name="ZoneTexte 224456">
          <a:extLst>
            <a:ext uri="{FF2B5EF4-FFF2-40B4-BE49-F238E27FC236}">
              <a16:creationId xmlns:a16="http://schemas.microsoft.com/office/drawing/2014/main" id="{0496FB2C-7F6E-4972-945D-07E37E50376B}"/>
            </a:ext>
          </a:extLst>
        </xdr:cNvPr>
        <xdr:cNvSpPr txBox="1">
          <a:spLocks noChangeArrowheads="1"/>
        </xdr:cNvSpPr>
      </xdr:nvSpPr>
      <xdr:spPr bwMode="auto">
        <a:xfrm>
          <a:off x="6892119" y="503829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224462" name="ZoneTexte 224461">
          <a:extLst>
            <a:ext uri="{FF2B5EF4-FFF2-40B4-BE49-F238E27FC236}">
              <a16:creationId xmlns:a16="http://schemas.microsoft.com/office/drawing/2014/main" id="{CD1C7912-D6C1-4440-8C44-8DC326A002E4}"/>
            </a:ext>
          </a:extLst>
        </xdr:cNvPr>
        <xdr:cNvSpPr txBox="1">
          <a:spLocks noChangeArrowheads="1"/>
        </xdr:cNvSpPr>
      </xdr:nvSpPr>
      <xdr:spPr bwMode="auto">
        <a:xfrm>
          <a:off x="6892119" y="1049740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1627565</xdr:rowOff>
    </xdr:to>
    <xdr:sp macro="" textlink="" fLocksText="0">
      <xdr:nvSpPr>
        <xdr:cNvPr id="224463" name="ZoneTexte 224462">
          <a:extLst>
            <a:ext uri="{FF2B5EF4-FFF2-40B4-BE49-F238E27FC236}">
              <a16:creationId xmlns:a16="http://schemas.microsoft.com/office/drawing/2014/main" id="{9648CCB4-53A3-49BF-B00D-0A82102BC399}"/>
            </a:ext>
          </a:extLst>
        </xdr:cNvPr>
        <xdr:cNvSpPr txBox="1">
          <a:spLocks noChangeArrowheads="1"/>
        </xdr:cNvSpPr>
      </xdr:nvSpPr>
      <xdr:spPr bwMode="auto">
        <a:xfrm>
          <a:off x="6892119" y="22552925"/>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224464" name="ZoneTexte 224463">
          <a:extLst>
            <a:ext uri="{FF2B5EF4-FFF2-40B4-BE49-F238E27FC236}">
              <a16:creationId xmlns:a16="http://schemas.microsoft.com/office/drawing/2014/main" id="{7362EDD3-971F-4F2A-9435-EE39D573D3F1}"/>
            </a:ext>
          </a:extLst>
        </xdr:cNvPr>
        <xdr:cNvSpPr txBox="1">
          <a:spLocks noChangeArrowheads="1"/>
        </xdr:cNvSpPr>
      </xdr:nvSpPr>
      <xdr:spPr bwMode="auto">
        <a:xfrm>
          <a:off x="6892119" y="33095821"/>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78</xdr:row>
      <xdr:rowOff>22746</xdr:rowOff>
    </xdr:from>
    <xdr:to>
      <xdr:col>9</xdr:col>
      <xdr:colOff>4571656</xdr:colOff>
      <xdr:row>78</xdr:row>
      <xdr:rowOff>1627565</xdr:rowOff>
    </xdr:to>
    <xdr:sp macro="" textlink="" fLocksText="0">
      <xdr:nvSpPr>
        <xdr:cNvPr id="224465" name="ZoneTexte 224464">
          <a:extLst>
            <a:ext uri="{FF2B5EF4-FFF2-40B4-BE49-F238E27FC236}">
              <a16:creationId xmlns:a16="http://schemas.microsoft.com/office/drawing/2014/main" id="{86C31284-9FDF-4849-8B71-EAE4FC0E4B32}"/>
            </a:ext>
          </a:extLst>
        </xdr:cNvPr>
        <xdr:cNvSpPr txBox="1">
          <a:spLocks noChangeArrowheads="1"/>
        </xdr:cNvSpPr>
      </xdr:nvSpPr>
      <xdr:spPr bwMode="auto">
        <a:xfrm>
          <a:off x="6892119" y="42171582"/>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94</xdr:row>
      <xdr:rowOff>22746</xdr:rowOff>
    </xdr:from>
    <xdr:to>
      <xdr:col>9</xdr:col>
      <xdr:colOff>4571656</xdr:colOff>
      <xdr:row>94</xdr:row>
      <xdr:rowOff>1627565</xdr:rowOff>
    </xdr:to>
    <xdr:sp macro="" textlink="" fLocksText="0">
      <xdr:nvSpPr>
        <xdr:cNvPr id="224476" name="ZoneTexte 224475">
          <a:extLst>
            <a:ext uri="{FF2B5EF4-FFF2-40B4-BE49-F238E27FC236}">
              <a16:creationId xmlns:a16="http://schemas.microsoft.com/office/drawing/2014/main" id="{48CEF6A9-5444-4F3B-A641-F8544F932449}"/>
            </a:ext>
          </a:extLst>
        </xdr:cNvPr>
        <xdr:cNvSpPr txBox="1">
          <a:spLocks noChangeArrowheads="1"/>
        </xdr:cNvSpPr>
      </xdr:nvSpPr>
      <xdr:spPr bwMode="auto">
        <a:xfrm>
          <a:off x="6892119" y="52532507"/>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110</xdr:row>
      <xdr:rowOff>22746</xdr:rowOff>
    </xdr:from>
    <xdr:to>
      <xdr:col>9</xdr:col>
      <xdr:colOff>4571656</xdr:colOff>
      <xdr:row>110</xdr:row>
      <xdr:rowOff>1627565</xdr:rowOff>
    </xdr:to>
    <xdr:sp macro="" textlink="" fLocksText="0">
      <xdr:nvSpPr>
        <xdr:cNvPr id="224478" name="ZoneTexte 224477">
          <a:extLst>
            <a:ext uri="{FF2B5EF4-FFF2-40B4-BE49-F238E27FC236}">
              <a16:creationId xmlns:a16="http://schemas.microsoft.com/office/drawing/2014/main" id="{F16709EC-31DF-474D-BD9E-575C4FDDD94E}"/>
            </a:ext>
          </a:extLst>
        </xdr:cNvPr>
        <xdr:cNvSpPr txBox="1">
          <a:spLocks noChangeArrowheads="1"/>
        </xdr:cNvSpPr>
      </xdr:nvSpPr>
      <xdr:spPr bwMode="auto">
        <a:xfrm>
          <a:off x="6892119" y="6289343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1020796</xdr:colOff>
      <xdr:row>21</xdr:row>
      <xdr:rowOff>158148</xdr:rowOff>
    </xdr:from>
    <xdr:to>
      <xdr:col>6</xdr:col>
      <xdr:colOff>4084671</xdr:colOff>
      <xdr:row>22</xdr:row>
      <xdr:rowOff>183689</xdr:rowOff>
    </xdr:to>
    <xdr:sp macro="[0]!CalculMaturiteVF" textlink="">
      <xdr:nvSpPr>
        <xdr:cNvPr id="2" name="Rectangle : coins arrondis 1">
          <a:extLst>
            <a:ext uri="{FF2B5EF4-FFF2-40B4-BE49-F238E27FC236}">
              <a16:creationId xmlns:a16="http://schemas.microsoft.com/office/drawing/2014/main" id="{00000000-0008-0000-1700-000002000000}"/>
            </a:ext>
          </a:extLst>
        </xdr:cNvPr>
        <xdr:cNvSpPr/>
      </xdr:nvSpPr>
      <xdr:spPr>
        <a:xfrm>
          <a:off x="3579966" y="9460299"/>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43188</xdr:colOff>
      <xdr:row>9</xdr:row>
      <xdr:rowOff>69218</xdr:rowOff>
    </xdr:from>
    <xdr:to>
      <xdr:col>3</xdr:col>
      <xdr:colOff>235995</xdr:colOff>
      <xdr:row>9</xdr:row>
      <xdr:rowOff>497367</xdr:rowOff>
    </xdr:to>
    <xdr:sp macro="" textlink="">
      <xdr:nvSpPr>
        <xdr:cNvPr id="19" name="Ellipse 18">
          <a:extLst>
            <a:ext uri="{FF2B5EF4-FFF2-40B4-BE49-F238E27FC236}">
              <a16:creationId xmlns:a16="http://schemas.microsoft.com/office/drawing/2014/main" id="{00000000-0008-0000-0300-000013000000}"/>
            </a:ext>
          </a:extLst>
        </xdr:cNvPr>
        <xdr:cNvSpPr>
          <a:spLocks noChangeAspect="1"/>
        </xdr:cNvSpPr>
      </xdr:nvSpPr>
      <xdr:spPr>
        <a:xfrm>
          <a:off x="551188" y="3117218"/>
          <a:ext cx="446807" cy="428149"/>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0097CC"/>
              </a:solidFill>
            </a:rPr>
            <a:t>1</a:t>
          </a:r>
        </a:p>
      </xdr:txBody>
    </xdr:sp>
    <xdr:clientData/>
  </xdr:twoCellAnchor>
  <xdr:twoCellAnchor editAs="oneCell">
    <xdr:from>
      <xdr:col>2</xdr:col>
      <xdr:colOff>43188</xdr:colOff>
      <xdr:row>16</xdr:row>
      <xdr:rowOff>159501</xdr:rowOff>
    </xdr:from>
    <xdr:to>
      <xdr:col>3</xdr:col>
      <xdr:colOff>235995</xdr:colOff>
      <xdr:row>17</xdr:row>
      <xdr:rowOff>158177</xdr:rowOff>
    </xdr:to>
    <xdr:sp macro="" textlink="">
      <xdr:nvSpPr>
        <xdr:cNvPr id="20" name="Ellipse 19">
          <a:extLst>
            <a:ext uri="{FF2B5EF4-FFF2-40B4-BE49-F238E27FC236}">
              <a16:creationId xmlns:a16="http://schemas.microsoft.com/office/drawing/2014/main" id="{00000000-0008-0000-0300-000014000000}"/>
            </a:ext>
          </a:extLst>
        </xdr:cNvPr>
        <xdr:cNvSpPr>
          <a:spLocks noChangeAspect="1"/>
        </xdr:cNvSpPr>
      </xdr:nvSpPr>
      <xdr:spPr>
        <a:xfrm>
          <a:off x="551188" y="6291787"/>
          <a:ext cx="446807" cy="423678"/>
        </a:xfrm>
        <a:prstGeom prst="ellipse">
          <a:avLst/>
        </a:prstGeom>
        <a:solidFill>
          <a:schemeClr val="bg1"/>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0097CC"/>
              </a:solidFill>
            </a:rPr>
            <a:t>2</a:t>
          </a:r>
        </a:p>
      </xdr:txBody>
    </xdr:sp>
    <xdr:clientData/>
  </xdr:twoCellAnchor>
  <xdr:twoCellAnchor editAs="oneCell">
    <xdr:from>
      <xdr:col>2</xdr:col>
      <xdr:colOff>43188</xdr:colOff>
      <xdr:row>25</xdr:row>
      <xdr:rowOff>187933</xdr:rowOff>
    </xdr:from>
    <xdr:to>
      <xdr:col>3</xdr:col>
      <xdr:colOff>235995</xdr:colOff>
      <xdr:row>26</xdr:row>
      <xdr:rowOff>71192</xdr:rowOff>
    </xdr:to>
    <xdr:sp macro="" textlink="">
      <xdr:nvSpPr>
        <xdr:cNvPr id="21" name="Ellipse 20">
          <a:extLst>
            <a:ext uri="{FF2B5EF4-FFF2-40B4-BE49-F238E27FC236}">
              <a16:creationId xmlns:a16="http://schemas.microsoft.com/office/drawing/2014/main" id="{00000000-0008-0000-0300-000015000000}"/>
            </a:ext>
          </a:extLst>
        </xdr:cNvPr>
        <xdr:cNvSpPr>
          <a:spLocks noChangeAspect="1"/>
        </xdr:cNvSpPr>
      </xdr:nvSpPr>
      <xdr:spPr>
        <a:xfrm>
          <a:off x="551188" y="10638219"/>
          <a:ext cx="446807" cy="427545"/>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0097CC"/>
              </a:solidFill>
            </a:rPr>
            <a:t>3</a:t>
          </a:r>
        </a:p>
      </xdr:txBody>
    </xdr:sp>
    <xdr:clientData/>
  </xdr:twoCellAnchor>
  <xdr:twoCellAnchor editAs="oneCell">
    <xdr:from>
      <xdr:col>2</xdr:col>
      <xdr:colOff>43188</xdr:colOff>
      <xdr:row>33</xdr:row>
      <xdr:rowOff>416502</xdr:rowOff>
    </xdr:from>
    <xdr:to>
      <xdr:col>3</xdr:col>
      <xdr:colOff>235995</xdr:colOff>
      <xdr:row>34</xdr:row>
      <xdr:rowOff>298440</xdr:rowOff>
    </xdr:to>
    <xdr:sp macro="" textlink="">
      <xdr:nvSpPr>
        <xdr:cNvPr id="22" name="Ellipse 21">
          <a:extLst>
            <a:ext uri="{FF2B5EF4-FFF2-40B4-BE49-F238E27FC236}">
              <a16:creationId xmlns:a16="http://schemas.microsoft.com/office/drawing/2014/main" id="{00000000-0008-0000-0300-000016000000}"/>
            </a:ext>
          </a:extLst>
        </xdr:cNvPr>
        <xdr:cNvSpPr>
          <a:spLocks noChangeAspect="1"/>
        </xdr:cNvSpPr>
      </xdr:nvSpPr>
      <xdr:spPr>
        <a:xfrm>
          <a:off x="551188" y="14797740"/>
          <a:ext cx="446807" cy="426223"/>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0097CC"/>
              </a:solidFill>
            </a:rPr>
            <a:t>4</a:t>
          </a:r>
        </a:p>
      </xdr:txBody>
    </xdr:sp>
    <xdr:clientData/>
  </xdr:twoCellAnchor>
  <xdr:twoCellAnchor editAs="oneCell">
    <xdr:from>
      <xdr:col>2</xdr:col>
      <xdr:colOff>43188</xdr:colOff>
      <xdr:row>40</xdr:row>
      <xdr:rowOff>345440</xdr:rowOff>
    </xdr:from>
    <xdr:to>
      <xdr:col>3</xdr:col>
      <xdr:colOff>235995</xdr:colOff>
      <xdr:row>41</xdr:row>
      <xdr:rowOff>387427</xdr:rowOff>
    </xdr:to>
    <xdr:sp macro="" textlink="">
      <xdr:nvSpPr>
        <xdr:cNvPr id="23" name="Ellipse 22">
          <a:extLst>
            <a:ext uri="{FF2B5EF4-FFF2-40B4-BE49-F238E27FC236}">
              <a16:creationId xmlns:a16="http://schemas.microsoft.com/office/drawing/2014/main" id="{00000000-0008-0000-0300-000017000000}"/>
            </a:ext>
          </a:extLst>
        </xdr:cNvPr>
        <xdr:cNvSpPr>
          <a:spLocks noChangeAspect="1"/>
        </xdr:cNvSpPr>
      </xdr:nvSpPr>
      <xdr:spPr>
        <a:xfrm>
          <a:off x="551188" y="17738392"/>
          <a:ext cx="446807" cy="429035"/>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1C3D79"/>
              </a:solidFill>
            </a:rPr>
            <a:t>5</a:t>
          </a:r>
        </a:p>
      </xdr:txBody>
    </xdr:sp>
    <xdr:clientData/>
  </xdr:twoCellAnchor>
  <xdr:twoCellAnchor editAs="oneCell">
    <xdr:from>
      <xdr:col>2</xdr:col>
      <xdr:colOff>43188</xdr:colOff>
      <xdr:row>49</xdr:row>
      <xdr:rowOff>39117</xdr:rowOff>
    </xdr:from>
    <xdr:to>
      <xdr:col>3</xdr:col>
      <xdr:colOff>235995</xdr:colOff>
      <xdr:row>49</xdr:row>
      <xdr:rowOff>467423</xdr:rowOff>
    </xdr:to>
    <xdr:sp macro="" textlink="">
      <xdr:nvSpPr>
        <xdr:cNvPr id="24" name="Ellipse 23">
          <a:extLst>
            <a:ext uri="{FF2B5EF4-FFF2-40B4-BE49-F238E27FC236}">
              <a16:creationId xmlns:a16="http://schemas.microsoft.com/office/drawing/2014/main" id="{00000000-0008-0000-0300-000018000000}"/>
            </a:ext>
          </a:extLst>
        </xdr:cNvPr>
        <xdr:cNvSpPr>
          <a:spLocks noChangeAspect="1"/>
        </xdr:cNvSpPr>
      </xdr:nvSpPr>
      <xdr:spPr>
        <a:xfrm>
          <a:off x="551188" y="20359117"/>
          <a:ext cx="446807" cy="428306"/>
        </a:xfrm>
        <a:prstGeom prst="ellipse">
          <a:avLst/>
        </a:prstGeom>
        <a:solidFill>
          <a:schemeClr val="bg1"/>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1C3D79"/>
              </a:solidFill>
            </a:rPr>
            <a:t>6</a:t>
          </a:r>
        </a:p>
      </xdr:txBody>
    </xdr:sp>
    <xdr:clientData/>
  </xdr:twoCellAnchor>
  <xdr:twoCellAnchor editAs="oneCell">
    <xdr:from>
      <xdr:col>2</xdr:col>
      <xdr:colOff>43188</xdr:colOff>
      <xdr:row>56</xdr:row>
      <xdr:rowOff>291985</xdr:rowOff>
    </xdr:from>
    <xdr:to>
      <xdr:col>3</xdr:col>
      <xdr:colOff>235995</xdr:colOff>
      <xdr:row>57</xdr:row>
      <xdr:rowOff>331670</xdr:rowOff>
    </xdr:to>
    <xdr:sp macro="" textlink="">
      <xdr:nvSpPr>
        <xdr:cNvPr id="25" name="Ellipse 24">
          <a:extLst>
            <a:ext uri="{FF2B5EF4-FFF2-40B4-BE49-F238E27FC236}">
              <a16:creationId xmlns:a16="http://schemas.microsoft.com/office/drawing/2014/main" id="{00000000-0008-0000-0300-000019000000}"/>
            </a:ext>
          </a:extLst>
        </xdr:cNvPr>
        <xdr:cNvSpPr>
          <a:spLocks noChangeAspect="1"/>
        </xdr:cNvSpPr>
      </xdr:nvSpPr>
      <xdr:spPr>
        <a:xfrm>
          <a:off x="551188" y="24288937"/>
          <a:ext cx="446807" cy="426733"/>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1C3D79"/>
              </a:solidFill>
            </a:rPr>
            <a:t>7</a:t>
          </a:r>
        </a:p>
      </xdr:txBody>
    </xdr:sp>
    <xdr:clientData/>
  </xdr:twoCellAnchor>
  <xdr:twoCellAnchor editAs="oneCell">
    <xdr:from>
      <xdr:col>2</xdr:col>
      <xdr:colOff>43188</xdr:colOff>
      <xdr:row>65</xdr:row>
      <xdr:rowOff>240590</xdr:rowOff>
    </xdr:from>
    <xdr:to>
      <xdr:col>3</xdr:col>
      <xdr:colOff>235995</xdr:colOff>
      <xdr:row>66</xdr:row>
      <xdr:rowOff>112125</xdr:rowOff>
    </xdr:to>
    <xdr:sp macro="" textlink="">
      <xdr:nvSpPr>
        <xdr:cNvPr id="26" name="Ellipse 25">
          <a:extLst>
            <a:ext uri="{FF2B5EF4-FFF2-40B4-BE49-F238E27FC236}">
              <a16:creationId xmlns:a16="http://schemas.microsoft.com/office/drawing/2014/main" id="{00000000-0008-0000-0300-00001A000000}"/>
            </a:ext>
          </a:extLst>
        </xdr:cNvPr>
        <xdr:cNvSpPr>
          <a:spLocks noChangeAspect="1"/>
        </xdr:cNvSpPr>
      </xdr:nvSpPr>
      <xdr:spPr>
        <a:xfrm>
          <a:off x="551188" y="29317542"/>
          <a:ext cx="446807" cy="415821"/>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1C3D79"/>
              </a:solidFill>
            </a:rPr>
            <a:t>8</a:t>
          </a:r>
        </a:p>
      </xdr:txBody>
    </xdr:sp>
    <xdr:clientData/>
  </xdr:twoCellAnchor>
  <xdr:twoCellAnchor editAs="oneCell">
    <xdr:from>
      <xdr:col>2</xdr:col>
      <xdr:colOff>43188</xdr:colOff>
      <xdr:row>72</xdr:row>
      <xdr:rowOff>335537</xdr:rowOff>
    </xdr:from>
    <xdr:to>
      <xdr:col>3</xdr:col>
      <xdr:colOff>235995</xdr:colOff>
      <xdr:row>73</xdr:row>
      <xdr:rowOff>373879</xdr:rowOff>
    </xdr:to>
    <xdr:sp macro="" textlink="">
      <xdr:nvSpPr>
        <xdr:cNvPr id="27" name="Ellipse 26">
          <a:extLst>
            <a:ext uri="{FF2B5EF4-FFF2-40B4-BE49-F238E27FC236}">
              <a16:creationId xmlns:a16="http://schemas.microsoft.com/office/drawing/2014/main" id="{00000000-0008-0000-0300-00001B000000}"/>
            </a:ext>
          </a:extLst>
        </xdr:cNvPr>
        <xdr:cNvSpPr>
          <a:spLocks noChangeAspect="1"/>
        </xdr:cNvSpPr>
      </xdr:nvSpPr>
      <xdr:spPr>
        <a:xfrm>
          <a:off x="551188" y="32605632"/>
          <a:ext cx="446807" cy="425390"/>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1C3D79"/>
              </a:solidFill>
            </a:rPr>
            <a:t>9</a:t>
          </a:r>
        </a:p>
      </xdr:txBody>
    </xdr:sp>
    <xdr:clientData/>
  </xdr:twoCellAnchor>
  <xdr:twoCellAnchor>
    <xdr:from>
      <xdr:col>1</xdr:col>
      <xdr:colOff>166072</xdr:colOff>
      <xdr:row>79</xdr:row>
      <xdr:rowOff>349240</xdr:rowOff>
    </xdr:from>
    <xdr:to>
      <xdr:col>3</xdr:col>
      <xdr:colOff>374948</xdr:colOff>
      <xdr:row>81</xdr:row>
      <xdr:rowOff>319126</xdr:rowOff>
    </xdr:to>
    <xdr:grpSp>
      <xdr:nvGrpSpPr>
        <xdr:cNvPr id="2" name="Groupe 1">
          <a:extLst>
            <a:ext uri="{FF2B5EF4-FFF2-40B4-BE49-F238E27FC236}">
              <a16:creationId xmlns:a16="http://schemas.microsoft.com/office/drawing/2014/main" id="{44924C25-B018-E73F-3AEC-3EB93D7F38DA}"/>
            </a:ext>
          </a:extLst>
        </xdr:cNvPr>
        <xdr:cNvGrpSpPr/>
      </xdr:nvGrpSpPr>
      <xdr:grpSpPr>
        <a:xfrm>
          <a:off x="428831" y="36058137"/>
          <a:ext cx="734393" cy="902679"/>
          <a:chOff x="420072" y="35401241"/>
          <a:chExt cx="716876" cy="901220"/>
        </a:xfrm>
      </xdr:grpSpPr>
      <xdr:sp macro="" textlink="">
        <xdr:nvSpPr>
          <xdr:cNvPr id="28" name="Ellipse 27">
            <a:extLst>
              <a:ext uri="{FF2B5EF4-FFF2-40B4-BE49-F238E27FC236}">
                <a16:creationId xmlns:a16="http://schemas.microsoft.com/office/drawing/2014/main" id="{00000000-0008-0000-0300-00001C000000}"/>
              </a:ext>
            </a:extLst>
          </xdr:cNvPr>
          <xdr:cNvSpPr>
            <a:spLocks noChangeAspect="1"/>
          </xdr:cNvSpPr>
        </xdr:nvSpPr>
        <xdr:spPr>
          <a:xfrm>
            <a:off x="551188" y="35654591"/>
            <a:ext cx="446807" cy="425610"/>
          </a:xfrm>
          <a:prstGeom prst="ellipse">
            <a:avLst/>
          </a:prstGeom>
          <a:solidFill>
            <a:schemeClr val="bg1"/>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2600">
              <a:solidFill>
                <a:srgbClr val="203B7D"/>
              </a:solidFill>
            </a:endParaRPr>
          </a:p>
        </xdr:txBody>
      </xdr:sp>
      <xdr:sp macro="" textlink="">
        <xdr:nvSpPr>
          <xdr:cNvPr id="29" name="Ellipse 28">
            <a:extLst>
              <a:ext uri="{FF2B5EF4-FFF2-40B4-BE49-F238E27FC236}">
                <a16:creationId xmlns:a16="http://schemas.microsoft.com/office/drawing/2014/main" id="{00000000-0008-0000-0300-00001D000000}"/>
              </a:ext>
            </a:extLst>
          </xdr:cNvPr>
          <xdr:cNvSpPr>
            <a:spLocks noChangeAspect="1"/>
          </xdr:cNvSpPr>
        </xdr:nvSpPr>
        <xdr:spPr>
          <a:xfrm>
            <a:off x="420072" y="35401241"/>
            <a:ext cx="716876" cy="901220"/>
          </a:xfrm>
          <a:prstGeom prst="ellipse">
            <a:avLst/>
          </a:prstGeom>
          <a:no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45413F"/>
                </a:solidFill>
              </a:rPr>
              <a:t>10</a:t>
            </a:r>
          </a:p>
        </xdr:txBody>
      </xdr:sp>
    </xdr:grpSp>
    <xdr:clientData/>
  </xdr:twoCellAnchor>
  <xdr:twoCellAnchor editAs="oneCell">
    <xdr:from>
      <xdr:col>2</xdr:col>
      <xdr:colOff>43188</xdr:colOff>
      <xdr:row>88</xdr:row>
      <xdr:rowOff>424816</xdr:rowOff>
    </xdr:from>
    <xdr:to>
      <xdr:col>3</xdr:col>
      <xdr:colOff>235995</xdr:colOff>
      <xdr:row>89</xdr:row>
      <xdr:rowOff>300005</xdr:rowOff>
    </xdr:to>
    <xdr:sp macro="" textlink="">
      <xdr:nvSpPr>
        <xdr:cNvPr id="30" name="Ellipse 29">
          <a:extLst>
            <a:ext uri="{FF2B5EF4-FFF2-40B4-BE49-F238E27FC236}">
              <a16:creationId xmlns:a16="http://schemas.microsoft.com/office/drawing/2014/main" id="{00000000-0008-0000-0300-00001E000000}"/>
            </a:ext>
          </a:extLst>
        </xdr:cNvPr>
        <xdr:cNvSpPr>
          <a:spLocks noChangeAspect="1"/>
        </xdr:cNvSpPr>
      </xdr:nvSpPr>
      <xdr:spPr>
        <a:xfrm>
          <a:off x="565702" y="37073387"/>
          <a:ext cx="454064" cy="426731"/>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2600">
            <a:solidFill>
              <a:srgbClr val="45413F"/>
            </a:solidFill>
          </a:endParaRPr>
        </a:p>
      </xdr:txBody>
    </xdr:sp>
    <xdr:clientData/>
  </xdr:twoCellAnchor>
  <xdr:twoCellAnchor editAs="oneCell">
    <xdr:from>
      <xdr:col>2</xdr:col>
      <xdr:colOff>43188</xdr:colOff>
      <xdr:row>97</xdr:row>
      <xdr:rowOff>194816</xdr:rowOff>
    </xdr:from>
    <xdr:to>
      <xdr:col>3</xdr:col>
      <xdr:colOff>235995</xdr:colOff>
      <xdr:row>97</xdr:row>
      <xdr:rowOff>626879</xdr:rowOff>
    </xdr:to>
    <xdr:sp macro="" textlink="">
      <xdr:nvSpPr>
        <xdr:cNvPr id="31" name="Ellipse 30">
          <a:extLst>
            <a:ext uri="{FF2B5EF4-FFF2-40B4-BE49-F238E27FC236}">
              <a16:creationId xmlns:a16="http://schemas.microsoft.com/office/drawing/2014/main" id="{00000000-0008-0000-0300-00001F000000}"/>
            </a:ext>
          </a:extLst>
        </xdr:cNvPr>
        <xdr:cNvSpPr>
          <a:spLocks noChangeAspect="1"/>
        </xdr:cNvSpPr>
      </xdr:nvSpPr>
      <xdr:spPr>
        <a:xfrm>
          <a:off x="561348" y="31878776"/>
          <a:ext cx="451887" cy="432063"/>
        </a:xfrm>
        <a:prstGeom prst="ellipse">
          <a:avLst/>
        </a:prstGeom>
        <a:solidFill>
          <a:sysClr val="window" lastClr="FFFFFF"/>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2600">
            <a:solidFill>
              <a:srgbClr val="376C99"/>
            </a:solidFill>
          </a:endParaRPr>
        </a:p>
      </xdr:txBody>
    </xdr:sp>
    <xdr:clientData/>
  </xdr:twoCellAnchor>
  <xdr:twoCellAnchor>
    <xdr:from>
      <xdr:col>1</xdr:col>
      <xdr:colOff>171102</xdr:colOff>
      <xdr:row>88</xdr:row>
      <xdr:rowOff>108856</xdr:rowOff>
    </xdr:from>
    <xdr:to>
      <xdr:col>3</xdr:col>
      <xdr:colOff>360534</xdr:colOff>
      <xdr:row>90</xdr:row>
      <xdr:rowOff>224943</xdr:rowOff>
    </xdr:to>
    <xdr:sp macro="" textlink="">
      <xdr:nvSpPr>
        <xdr:cNvPr id="32" name="Ellipse 31">
          <a:extLst>
            <a:ext uri="{FF2B5EF4-FFF2-40B4-BE49-F238E27FC236}">
              <a16:creationId xmlns:a16="http://schemas.microsoft.com/office/drawing/2014/main" id="{00000000-0008-0000-0300-000020000000}"/>
            </a:ext>
          </a:extLst>
        </xdr:cNvPr>
        <xdr:cNvSpPr>
          <a:spLocks noChangeAspect="1"/>
        </xdr:cNvSpPr>
      </xdr:nvSpPr>
      <xdr:spPr>
        <a:xfrm>
          <a:off x="432359" y="36757427"/>
          <a:ext cx="711946" cy="1030487"/>
        </a:xfrm>
        <a:prstGeom prst="ellipse">
          <a:avLst/>
        </a:prstGeom>
        <a:no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45413F"/>
              </a:solidFill>
            </a:rPr>
            <a:t>11</a:t>
          </a:r>
        </a:p>
      </xdr:txBody>
    </xdr:sp>
    <xdr:clientData/>
  </xdr:twoCellAnchor>
  <xdr:twoCellAnchor editAs="oneCell">
    <xdr:from>
      <xdr:col>2</xdr:col>
      <xdr:colOff>43188</xdr:colOff>
      <xdr:row>104</xdr:row>
      <xdr:rowOff>205752</xdr:rowOff>
    </xdr:from>
    <xdr:to>
      <xdr:col>3</xdr:col>
      <xdr:colOff>235995</xdr:colOff>
      <xdr:row>105</xdr:row>
      <xdr:rowOff>246660</xdr:rowOff>
    </xdr:to>
    <xdr:sp macro="" textlink="">
      <xdr:nvSpPr>
        <xdr:cNvPr id="33" name="Ellipse 32">
          <a:extLst>
            <a:ext uri="{FF2B5EF4-FFF2-40B4-BE49-F238E27FC236}">
              <a16:creationId xmlns:a16="http://schemas.microsoft.com/office/drawing/2014/main" id="{00000000-0008-0000-0300-000021000000}"/>
            </a:ext>
          </a:extLst>
        </xdr:cNvPr>
        <xdr:cNvSpPr>
          <a:spLocks noChangeAspect="1"/>
        </xdr:cNvSpPr>
      </xdr:nvSpPr>
      <xdr:spPr>
        <a:xfrm>
          <a:off x="551188" y="46252323"/>
          <a:ext cx="446807" cy="427956"/>
        </a:xfrm>
        <a:prstGeom prst="ellipse">
          <a:avLst/>
        </a:prstGeom>
        <a:solidFill>
          <a:schemeClr val="bg1"/>
        </a:solid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2600">
            <a:solidFill>
              <a:srgbClr val="203B7D"/>
            </a:solidFill>
          </a:endParaRPr>
        </a:p>
      </xdr:txBody>
    </xdr:sp>
    <xdr:clientData/>
  </xdr:twoCellAnchor>
  <xdr:twoCellAnchor>
    <xdr:from>
      <xdr:col>1</xdr:col>
      <xdr:colOff>156308</xdr:colOff>
      <xdr:row>96</xdr:row>
      <xdr:rowOff>307364</xdr:rowOff>
    </xdr:from>
    <xdr:to>
      <xdr:col>3</xdr:col>
      <xdr:colOff>373295</xdr:colOff>
      <xdr:row>98</xdr:row>
      <xdr:rowOff>339971</xdr:rowOff>
    </xdr:to>
    <xdr:sp macro="" textlink="">
      <xdr:nvSpPr>
        <xdr:cNvPr id="34" name="Ellipse 33">
          <a:extLst>
            <a:ext uri="{FF2B5EF4-FFF2-40B4-BE49-F238E27FC236}">
              <a16:creationId xmlns:a16="http://schemas.microsoft.com/office/drawing/2014/main" id="{00000000-0008-0000-0300-000022000000}"/>
            </a:ext>
          </a:extLst>
        </xdr:cNvPr>
        <xdr:cNvSpPr>
          <a:spLocks noChangeAspect="1"/>
        </xdr:cNvSpPr>
      </xdr:nvSpPr>
      <xdr:spPr>
        <a:xfrm>
          <a:off x="414216" y="40705087"/>
          <a:ext cx="732802" cy="1310422"/>
        </a:xfrm>
        <a:prstGeom prst="ellipse">
          <a:avLst/>
        </a:prstGeom>
        <a:no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45413F"/>
              </a:solidFill>
            </a:rPr>
            <a:t>12</a:t>
          </a:r>
        </a:p>
      </xdr:txBody>
    </xdr:sp>
    <xdr:clientData/>
  </xdr:twoCellAnchor>
  <xdr:twoCellAnchor>
    <xdr:from>
      <xdr:col>1</xdr:col>
      <xdr:colOff>164495</xdr:colOff>
      <xdr:row>104</xdr:row>
      <xdr:rowOff>18030</xdr:rowOff>
    </xdr:from>
    <xdr:to>
      <xdr:col>3</xdr:col>
      <xdr:colOff>379437</xdr:colOff>
      <xdr:row>106</xdr:row>
      <xdr:rowOff>15551</xdr:rowOff>
    </xdr:to>
    <xdr:sp macro="" textlink="">
      <xdr:nvSpPr>
        <xdr:cNvPr id="35" name="Ellipse 34">
          <a:extLst>
            <a:ext uri="{FF2B5EF4-FFF2-40B4-BE49-F238E27FC236}">
              <a16:creationId xmlns:a16="http://schemas.microsoft.com/office/drawing/2014/main" id="{00000000-0008-0000-0300-000023000000}"/>
            </a:ext>
          </a:extLst>
        </xdr:cNvPr>
        <xdr:cNvSpPr>
          <a:spLocks noChangeAspect="1"/>
        </xdr:cNvSpPr>
      </xdr:nvSpPr>
      <xdr:spPr>
        <a:xfrm>
          <a:off x="418495" y="46064601"/>
          <a:ext cx="722942" cy="771617"/>
        </a:xfrm>
        <a:prstGeom prst="ellipse">
          <a:avLst/>
        </a:prstGeom>
        <a:noFill/>
        <a:ln w="285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45413F"/>
              </a:solidFill>
            </a:rPr>
            <a:t>13</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8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8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800-000005000000}"/>
                </a:ext>
              </a:extLst>
            </xdr:cNvPr>
            <xdr:cNvGrpSpPr/>
          </xdr:nvGrpSpPr>
          <xdr:grpSpPr>
            <a:xfrm>
              <a:off x="3696269" y="5015552"/>
              <a:ext cx="1956179" cy="1649105"/>
              <a:chOff x="2995478" y="3846831"/>
              <a:chExt cx="1960181" cy="1644869"/>
            </a:xfrm>
          </xdr:grpSpPr>
          <xdr:sp macro="" textlink="">
            <xdr:nvSpPr>
              <xdr:cNvPr id="153601" name="Option Button 1" hidden="1">
                <a:extLst>
                  <a:ext uri="{63B3BB69-23CF-44E3-9099-C40C66FF867C}">
                    <a14:compatExt spid="_x0000_s153601"/>
                  </a:ext>
                  <a:ext uri="{FF2B5EF4-FFF2-40B4-BE49-F238E27FC236}">
                    <a16:creationId xmlns:a16="http://schemas.microsoft.com/office/drawing/2014/main" id="{00000000-0008-0000-1700-000001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02" name="Option Button 2" hidden="1">
                <a:extLst>
                  <a:ext uri="{63B3BB69-23CF-44E3-9099-C40C66FF867C}">
                    <a14:compatExt spid="_x0000_s153602"/>
                  </a:ext>
                  <a:ext uri="{FF2B5EF4-FFF2-40B4-BE49-F238E27FC236}">
                    <a16:creationId xmlns:a16="http://schemas.microsoft.com/office/drawing/2014/main" id="{00000000-0008-0000-1700-000002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03" name="Option Button 3" hidden="1">
                <a:extLst>
                  <a:ext uri="{63B3BB69-23CF-44E3-9099-C40C66FF867C}">
                    <a14:compatExt spid="_x0000_s153603"/>
                  </a:ext>
                  <a:ext uri="{FF2B5EF4-FFF2-40B4-BE49-F238E27FC236}">
                    <a16:creationId xmlns:a16="http://schemas.microsoft.com/office/drawing/2014/main" id="{00000000-0008-0000-1700-000003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04" name="Option Button 4" hidden="1">
                <a:extLst>
                  <a:ext uri="{63B3BB69-23CF-44E3-9099-C40C66FF867C}">
                    <a14:compatExt spid="_x0000_s153604"/>
                  </a:ext>
                  <a:ext uri="{FF2B5EF4-FFF2-40B4-BE49-F238E27FC236}">
                    <a16:creationId xmlns:a16="http://schemas.microsoft.com/office/drawing/2014/main" id="{00000000-0008-0000-1700-000004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05" name="Group Box 5" hidden="1">
                <a:extLst>
                  <a:ext uri="{63B3BB69-23CF-44E3-9099-C40C66FF867C}">
                    <a14:compatExt spid="_x0000_s153605"/>
                  </a:ext>
                  <a:ext uri="{FF2B5EF4-FFF2-40B4-BE49-F238E27FC236}">
                    <a16:creationId xmlns:a16="http://schemas.microsoft.com/office/drawing/2014/main" id="{00000000-0008-0000-1700-000005580200}"/>
                  </a:ext>
                </a:extLst>
              </xdr:cNvPr>
              <xdr:cNvSpPr/>
            </xdr:nvSpPr>
            <xdr:spPr bwMode="auto">
              <a:xfrm>
                <a:off x="2995478" y="384683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8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8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8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8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8</xdr:col>
          <xdr:colOff>0</xdr:colOff>
          <xdr:row>17</xdr:row>
          <xdr:rowOff>0</xdr:rowOff>
        </xdr:to>
        <xdr:sp macro="" textlink="">
          <xdr:nvSpPr>
            <xdr:cNvPr id="153606" name="Group Box 6" hidden="1">
              <a:extLst>
                <a:ext uri="{63B3BB69-23CF-44E3-9099-C40C66FF867C}">
                  <a14:compatExt spid="_x0000_s153606"/>
                </a:ext>
                <a:ext uri="{FF2B5EF4-FFF2-40B4-BE49-F238E27FC236}">
                  <a16:creationId xmlns:a16="http://schemas.microsoft.com/office/drawing/2014/main" id="{00000000-0008-0000-1700-0000065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800-00000A000000}"/>
                </a:ext>
              </a:extLst>
            </xdr:cNvPr>
            <xdr:cNvGrpSpPr/>
          </xdr:nvGrpSpPr>
          <xdr:grpSpPr>
            <a:xfrm>
              <a:off x="3696269" y="3366450"/>
              <a:ext cx="1957768" cy="1651160"/>
              <a:chOff x="3693195" y="3303806"/>
              <a:chExt cx="1959430" cy="1648421"/>
            </a:xfrm>
          </xdr:grpSpPr>
          <xdr:sp macro="" textlink="">
            <xdr:nvSpPr>
              <xdr:cNvPr id="153607" name="Group Box 7" hidden="1">
                <a:extLst>
                  <a:ext uri="{63B3BB69-23CF-44E3-9099-C40C66FF867C}">
                    <a14:compatExt spid="_x0000_s153607"/>
                  </a:ext>
                  <a:ext uri="{FF2B5EF4-FFF2-40B4-BE49-F238E27FC236}">
                    <a16:creationId xmlns:a16="http://schemas.microsoft.com/office/drawing/2014/main" id="{00000000-0008-0000-1700-000007580200}"/>
                  </a:ext>
                </a:extLst>
              </xdr:cNvPr>
              <xdr:cNvSpPr/>
            </xdr:nvSpPr>
            <xdr:spPr bwMode="auto">
              <a:xfrm>
                <a:off x="3693195" y="3303806"/>
                <a:ext cx="1959426" cy="1648421"/>
              </a:xfrm>
              <a:prstGeom prst="rect">
                <a:avLst/>
              </a:prstGeom>
              <a:noFill/>
              <a:ln w="9525">
                <a:miter lim="800000"/>
                <a:headEnd/>
                <a:tailEnd/>
              </a:ln>
              <a:extLst>
                <a:ext uri="{909E8E84-426E-40DD-AFC4-6F175D3DCCD1}">
                  <a14:hiddenFill>
                    <a:noFill/>
                  </a14:hiddenFill>
                </a:ext>
              </a:extLst>
            </xdr:spPr>
          </xdr:sp>
          <xdr:sp macro="" textlink="">
            <xdr:nvSpPr>
              <xdr:cNvPr id="153608" name="Option Button 8" descr="Case d'option 47" hidden="1">
                <a:extLst>
                  <a:ext uri="{63B3BB69-23CF-44E3-9099-C40C66FF867C}">
                    <a14:compatExt spid="_x0000_s153608"/>
                  </a:ext>
                  <a:ext uri="{FF2B5EF4-FFF2-40B4-BE49-F238E27FC236}">
                    <a16:creationId xmlns:a16="http://schemas.microsoft.com/office/drawing/2014/main" id="{00000000-0008-0000-1700-00000858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09" name="Option Button 9" hidden="1">
                <a:extLst>
                  <a:ext uri="{63B3BB69-23CF-44E3-9099-C40C66FF867C}">
                    <a14:compatExt spid="_x0000_s153609"/>
                  </a:ext>
                  <a:ext uri="{FF2B5EF4-FFF2-40B4-BE49-F238E27FC236}">
                    <a16:creationId xmlns:a16="http://schemas.microsoft.com/office/drawing/2014/main" id="{00000000-0008-0000-1700-0000095802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10" name="Option Button 10" hidden="1">
                <a:extLst>
                  <a:ext uri="{63B3BB69-23CF-44E3-9099-C40C66FF867C}">
                    <a14:compatExt spid="_x0000_s153610"/>
                  </a:ext>
                  <a:ext uri="{FF2B5EF4-FFF2-40B4-BE49-F238E27FC236}">
                    <a16:creationId xmlns:a16="http://schemas.microsoft.com/office/drawing/2014/main" id="{00000000-0008-0000-1700-00000A5802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11" name="Option Button 11" hidden="1">
                <a:extLst>
                  <a:ext uri="{63B3BB69-23CF-44E3-9099-C40C66FF867C}">
                    <a14:compatExt spid="_x0000_s153611"/>
                  </a:ext>
                  <a:ext uri="{FF2B5EF4-FFF2-40B4-BE49-F238E27FC236}">
                    <a16:creationId xmlns:a16="http://schemas.microsoft.com/office/drawing/2014/main" id="{00000000-0008-0000-1700-00000B5802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16</xdr:row>
          <xdr:rowOff>0</xdr:rowOff>
        </xdr:from>
        <xdr:to>
          <xdr:col>8</xdr:col>
          <xdr:colOff>2200</xdr:colOff>
          <xdr:row>17</xdr:row>
          <xdr:rowOff>344</xdr:rowOff>
        </xdr:to>
        <xdr:grpSp>
          <xdr:nvGrpSpPr>
            <xdr:cNvPr id="12" name="Groupe 11">
              <a:extLst>
                <a:ext uri="{FF2B5EF4-FFF2-40B4-BE49-F238E27FC236}">
                  <a16:creationId xmlns:a16="http://schemas.microsoft.com/office/drawing/2014/main" id="{00000000-0008-0000-1800-00000C000000}"/>
                </a:ext>
              </a:extLst>
            </xdr:cNvPr>
            <xdr:cNvGrpSpPr/>
          </xdr:nvGrpSpPr>
          <xdr:grpSpPr>
            <a:xfrm>
              <a:off x="3697726" y="11611970"/>
              <a:ext cx="1956922" cy="1649105"/>
              <a:chOff x="2994654" y="2234214"/>
              <a:chExt cx="1960974" cy="1614638"/>
            </a:xfrm>
          </xdr:grpSpPr>
          <xdr:sp macro="" textlink="">
            <xdr:nvSpPr>
              <xdr:cNvPr id="153617" name="Option Button 17" descr="Case d'option 47" hidden="1">
                <a:extLst>
                  <a:ext uri="{63B3BB69-23CF-44E3-9099-C40C66FF867C}">
                    <a14:compatExt spid="_x0000_s153617"/>
                  </a:ext>
                  <a:ext uri="{FF2B5EF4-FFF2-40B4-BE49-F238E27FC236}">
                    <a16:creationId xmlns:a16="http://schemas.microsoft.com/office/drawing/2014/main" id="{00000000-0008-0000-1700-000011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18" name="Option Button 18" hidden="1">
                <a:extLst>
                  <a:ext uri="{63B3BB69-23CF-44E3-9099-C40C66FF867C}">
                    <a14:compatExt spid="_x0000_s153618"/>
                  </a:ext>
                  <a:ext uri="{FF2B5EF4-FFF2-40B4-BE49-F238E27FC236}">
                    <a16:creationId xmlns:a16="http://schemas.microsoft.com/office/drawing/2014/main" id="{00000000-0008-0000-1700-000012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19" name="Option Button 19" hidden="1">
                <a:extLst>
                  <a:ext uri="{63B3BB69-23CF-44E3-9099-C40C66FF867C}">
                    <a14:compatExt spid="_x0000_s153619"/>
                  </a:ext>
                  <a:ext uri="{FF2B5EF4-FFF2-40B4-BE49-F238E27FC236}">
                    <a16:creationId xmlns:a16="http://schemas.microsoft.com/office/drawing/2014/main" id="{00000000-0008-0000-1700-000013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20" name="Option Button 20" hidden="1">
                <a:extLst>
                  <a:ext uri="{63B3BB69-23CF-44E3-9099-C40C66FF867C}">
                    <a14:compatExt spid="_x0000_s153620"/>
                  </a:ext>
                  <a:ext uri="{FF2B5EF4-FFF2-40B4-BE49-F238E27FC236}">
                    <a16:creationId xmlns:a16="http://schemas.microsoft.com/office/drawing/2014/main" id="{00000000-0008-0000-1700-000014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21" name="Group Box 21" hidden="1">
                <a:extLst>
                  <a:ext uri="{63B3BB69-23CF-44E3-9099-C40C66FF867C}">
                    <a14:compatExt spid="_x0000_s153621"/>
                  </a:ext>
                  <a:ext uri="{FF2B5EF4-FFF2-40B4-BE49-F238E27FC236}">
                    <a16:creationId xmlns:a16="http://schemas.microsoft.com/office/drawing/2014/main" id="{00000000-0008-0000-1700-000015580200}"/>
                  </a:ext>
                </a:extLst>
              </xdr:cNvPr>
              <xdr:cNvSpPr/>
            </xdr:nvSpPr>
            <xdr:spPr bwMode="auto">
              <a:xfrm>
                <a:off x="2994654" y="2234214"/>
                <a:ext cx="1960970" cy="161463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1800-00000D000000}"/>
                </a:ext>
              </a:extLst>
            </xdr:cNvPr>
            <xdr:cNvGrpSpPr/>
          </xdr:nvGrpSpPr>
          <xdr:grpSpPr>
            <a:xfrm>
              <a:off x="3696269" y="9962870"/>
              <a:ext cx="1956179" cy="1649101"/>
              <a:chOff x="2995478" y="3846789"/>
              <a:chExt cx="1960181" cy="1673559"/>
            </a:xfrm>
          </xdr:grpSpPr>
          <xdr:sp macro="" textlink="">
            <xdr:nvSpPr>
              <xdr:cNvPr id="153622" name="Option Button 22" hidden="1">
                <a:extLst>
                  <a:ext uri="{63B3BB69-23CF-44E3-9099-C40C66FF867C}">
                    <a14:compatExt spid="_x0000_s153622"/>
                  </a:ext>
                  <a:ext uri="{FF2B5EF4-FFF2-40B4-BE49-F238E27FC236}">
                    <a16:creationId xmlns:a16="http://schemas.microsoft.com/office/drawing/2014/main" id="{00000000-0008-0000-1700-0000165802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23" name="Option Button 23" hidden="1">
                <a:extLst>
                  <a:ext uri="{63B3BB69-23CF-44E3-9099-C40C66FF867C}">
                    <a14:compatExt spid="_x0000_s153623"/>
                  </a:ext>
                  <a:ext uri="{FF2B5EF4-FFF2-40B4-BE49-F238E27FC236}">
                    <a16:creationId xmlns:a16="http://schemas.microsoft.com/office/drawing/2014/main" id="{00000000-0008-0000-1700-000017580200}"/>
                  </a:ext>
                </a:extLst>
              </xdr:cNvPr>
              <xdr:cNvSpPr/>
            </xdr:nvSpPr>
            <xdr:spPr bwMode="auto">
              <a:xfrm>
                <a:off x="3109748" y="424302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24" name="Option Button 24" hidden="1">
                <a:extLst>
                  <a:ext uri="{63B3BB69-23CF-44E3-9099-C40C66FF867C}">
                    <a14:compatExt spid="_x0000_s153624"/>
                  </a:ext>
                  <a:ext uri="{FF2B5EF4-FFF2-40B4-BE49-F238E27FC236}">
                    <a16:creationId xmlns:a16="http://schemas.microsoft.com/office/drawing/2014/main" id="{00000000-0008-0000-1700-000018580200}"/>
                  </a:ext>
                </a:extLst>
              </xdr:cNvPr>
              <xdr:cNvSpPr/>
            </xdr:nvSpPr>
            <xdr:spPr bwMode="auto">
              <a:xfrm>
                <a:off x="3109748" y="448686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25" name="Option Button 25" hidden="1">
                <a:extLst>
                  <a:ext uri="{63B3BB69-23CF-44E3-9099-C40C66FF867C}">
                    <a14:compatExt spid="_x0000_s153625"/>
                  </a:ext>
                  <a:ext uri="{FF2B5EF4-FFF2-40B4-BE49-F238E27FC236}">
                    <a16:creationId xmlns:a16="http://schemas.microsoft.com/office/drawing/2014/main" id="{00000000-0008-0000-1700-0000195802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26" name="Group Box 26" hidden="1">
                <a:extLst>
                  <a:ext uri="{63B3BB69-23CF-44E3-9099-C40C66FF867C}">
                    <a14:compatExt spid="_x0000_s153626"/>
                  </a:ext>
                  <a:ext uri="{FF2B5EF4-FFF2-40B4-BE49-F238E27FC236}">
                    <a16:creationId xmlns:a16="http://schemas.microsoft.com/office/drawing/2014/main" id="{00000000-0008-0000-1700-00001A580200}"/>
                  </a:ext>
                </a:extLst>
              </xdr:cNvPr>
              <xdr:cNvSpPr/>
            </xdr:nvSpPr>
            <xdr:spPr bwMode="auto">
              <a:xfrm>
                <a:off x="2995478" y="3846789"/>
                <a:ext cx="1960181" cy="167355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1800-00000E000000}"/>
                </a:ext>
              </a:extLst>
            </xdr:cNvPr>
            <xdr:cNvGrpSpPr/>
          </xdr:nvGrpSpPr>
          <xdr:grpSpPr>
            <a:xfrm>
              <a:off x="3696269" y="8313761"/>
              <a:ext cx="1956179" cy="1651163"/>
              <a:chOff x="2991500" y="2201919"/>
              <a:chExt cx="1964147" cy="1646926"/>
            </a:xfrm>
            <a:solidFill>
              <a:schemeClr val="accent1"/>
            </a:solidFill>
          </xdr:grpSpPr>
          <xdr:sp macro="" textlink="">
            <xdr:nvSpPr>
              <xdr:cNvPr id="153627" name="Option Button 27" descr="Case d'option 47" hidden="1">
                <a:extLst>
                  <a:ext uri="{63B3BB69-23CF-44E3-9099-C40C66FF867C}">
                    <a14:compatExt spid="_x0000_s153627"/>
                  </a:ext>
                  <a:ext uri="{FF2B5EF4-FFF2-40B4-BE49-F238E27FC236}">
                    <a16:creationId xmlns:a16="http://schemas.microsoft.com/office/drawing/2014/main" id="{00000000-0008-0000-1700-00001B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28" name="Option Button 28" hidden="1">
                <a:extLst>
                  <a:ext uri="{63B3BB69-23CF-44E3-9099-C40C66FF867C}">
                    <a14:compatExt spid="_x0000_s153628"/>
                  </a:ext>
                  <a:ext uri="{FF2B5EF4-FFF2-40B4-BE49-F238E27FC236}">
                    <a16:creationId xmlns:a16="http://schemas.microsoft.com/office/drawing/2014/main" id="{00000000-0008-0000-1700-00001C5802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29" name="Option Button 29" hidden="1">
                <a:extLst>
                  <a:ext uri="{63B3BB69-23CF-44E3-9099-C40C66FF867C}">
                    <a14:compatExt spid="_x0000_s153629"/>
                  </a:ext>
                  <a:ext uri="{FF2B5EF4-FFF2-40B4-BE49-F238E27FC236}">
                    <a16:creationId xmlns:a16="http://schemas.microsoft.com/office/drawing/2014/main" id="{00000000-0008-0000-1700-00001D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30" name="Option Button 30" hidden="1">
                <a:extLst>
                  <a:ext uri="{63B3BB69-23CF-44E3-9099-C40C66FF867C}">
                    <a14:compatExt spid="_x0000_s153630"/>
                  </a:ext>
                  <a:ext uri="{FF2B5EF4-FFF2-40B4-BE49-F238E27FC236}">
                    <a16:creationId xmlns:a16="http://schemas.microsoft.com/office/drawing/2014/main" id="{00000000-0008-0000-1700-00001E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31" name="Group Box 31" hidden="1">
                <a:extLst>
                  <a:ext uri="{63B3BB69-23CF-44E3-9099-C40C66FF867C}">
                    <a14:compatExt spid="_x0000_s153631"/>
                  </a:ext>
                  <a:ext uri="{FF2B5EF4-FFF2-40B4-BE49-F238E27FC236}">
                    <a16:creationId xmlns:a16="http://schemas.microsoft.com/office/drawing/2014/main" id="{00000000-0008-0000-1700-00001F580200}"/>
                  </a:ext>
                </a:extLst>
              </xdr:cNvPr>
              <xdr:cNvSpPr/>
            </xdr:nvSpPr>
            <xdr:spPr bwMode="auto">
              <a:xfrm>
                <a:off x="2991500" y="2201919"/>
                <a:ext cx="1964147"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1800-00000F000000}"/>
                </a:ext>
              </a:extLst>
            </xdr:cNvPr>
            <xdr:cNvGrpSpPr/>
          </xdr:nvGrpSpPr>
          <xdr:grpSpPr>
            <a:xfrm>
              <a:off x="3696269" y="6664657"/>
              <a:ext cx="1956179" cy="1649104"/>
              <a:chOff x="2994710" y="2201920"/>
              <a:chExt cx="1960968" cy="1646929"/>
            </a:xfrm>
          </xdr:grpSpPr>
          <xdr:sp macro="" textlink="">
            <xdr:nvSpPr>
              <xdr:cNvPr id="153632" name="Option Button 32" descr="Case d'option 47" hidden="1">
                <a:extLst>
                  <a:ext uri="{63B3BB69-23CF-44E3-9099-C40C66FF867C}">
                    <a14:compatExt spid="_x0000_s153632"/>
                  </a:ext>
                  <a:ext uri="{FF2B5EF4-FFF2-40B4-BE49-F238E27FC236}">
                    <a16:creationId xmlns:a16="http://schemas.microsoft.com/office/drawing/2014/main" id="{00000000-0008-0000-1700-000020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33" name="Option Button 33" hidden="1">
                <a:extLst>
                  <a:ext uri="{63B3BB69-23CF-44E3-9099-C40C66FF867C}">
                    <a14:compatExt spid="_x0000_s153633"/>
                  </a:ext>
                  <a:ext uri="{FF2B5EF4-FFF2-40B4-BE49-F238E27FC236}">
                    <a16:creationId xmlns:a16="http://schemas.microsoft.com/office/drawing/2014/main" id="{00000000-0008-0000-1700-000021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34" name="Option Button 34" hidden="1">
                <a:extLst>
                  <a:ext uri="{63B3BB69-23CF-44E3-9099-C40C66FF867C}">
                    <a14:compatExt spid="_x0000_s153634"/>
                  </a:ext>
                  <a:ext uri="{FF2B5EF4-FFF2-40B4-BE49-F238E27FC236}">
                    <a16:creationId xmlns:a16="http://schemas.microsoft.com/office/drawing/2014/main" id="{00000000-0008-0000-1700-000022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35" name="Option Button 35" hidden="1">
                <a:extLst>
                  <a:ext uri="{63B3BB69-23CF-44E3-9099-C40C66FF867C}">
                    <a14:compatExt spid="_x0000_s153635"/>
                  </a:ext>
                  <a:ext uri="{FF2B5EF4-FFF2-40B4-BE49-F238E27FC236}">
                    <a16:creationId xmlns:a16="http://schemas.microsoft.com/office/drawing/2014/main" id="{00000000-0008-0000-1700-000023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36" name="Group Box 36" hidden="1">
                <a:extLst>
                  <a:ext uri="{63B3BB69-23CF-44E3-9099-C40C66FF867C}">
                    <a14:compatExt spid="_x0000_s153636"/>
                  </a:ext>
                  <a:ext uri="{FF2B5EF4-FFF2-40B4-BE49-F238E27FC236}">
                    <a16:creationId xmlns:a16="http://schemas.microsoft.com/office/drawing/2014/main" id="{00000000-0008-0000-1700-000024580200}"/>
                  </a:ext>
                </a:extLst>
              </xdr:cNvPr>
              <xdr:cNvSpPr/>
            </xdr:nvSpPr>
            <xdr:spPr bwMode="auto">
              <a:xfrm>
                <a:off x="2994710" y="2201920"/>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8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800-000012000000}"/>
                </a:ext>
              </a:extLst>
            </xdr:cNvPr>
            <xdr:cNvGrpSpPr/>
          </xdr:nvGrpSpPr>
          <xdr:grpSpPr>
            <a:xfrm>
              <a:off x="3696269" y="17071075"/>
              <a:ext cx="1956179" cy="1649104"/>
              <a:chOff x="2995478" y="3846826"/>
              <a:chExt cx="1960181" cy="1644868"/>
            </a:xfrm>
          </xdr:grpSpPr>
          <xdr:sp macro="" textlink="">
            <xdr:nvSpPr>
              <xdr:cNvPr id="153637" name="Option Button 37" hidden="1">
                <a:extLst>
                  <a:ext uri="{63B3BB69-23CF-44E3-9099-C40C66FF867C}">
                    <a14:compatExt spid="_x0000_s153637"/>
                  </a:ext>
                  <a:ext uri="{FF2B5EF4-FFF2-40B4-BE49-F238E27FC236}">
                    <a16:creationId xmlns:a16="http://schemas.microsoft.com/office/drawing/2014/main" id="{00000000-0008-0000-1700-000025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38" name="Option Button 38" hidden="1">
                <a:extLst>
                  <a:ext uri="{63B3BB69-23CF-44E3-9099-C40C66FF867C}">
                    <a14:compatExt spid="_x0000_s153638"/>
                  </a:ext>
                  <a:ext uri="{FF2B5EF4-FFF2-40B4-BE49-F238E27FC236}">
                    <a16:creationId xmlns:a16="http://schemas.microsoft.com/office/drawing/2014/main" id="{00000000-0008-0000-1700-000026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39" name="Option Button 39" hidden="1">
                <a:extLst>
                  <a:ext uri="{63B3BB69-23CF-44E3-9099-C40C66FF867C}">
                    <a14:compatExt spid="_x0000_s153639"/>
                  </a:ext>
                  <a:ext uri="{FF2B5EF4-FFF2-40B4-BE49-F238E27FC236}">
                    <a16:creationId xmlns:a16="http://schemas.microsoft.com/office/drawing/2014/main" id="{00000000-0008-0000-1700-000027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40" name="Option Button 40" hidden="1">
                <a:extLst>
                  <a:ext uri="{63B3BB69-23CF-44E3-9099-C40C66FF867C}">
                    <a14:compatExt spid="_x0000_s153640"/>
                  </a:ext>
                  <a:ext uri="{FF2B5EF4-FFF2-40B4-BE49-F238E27FC236}">
                    <a16:creationId xmlns:a16="http://schemas.microsoft.com/office/drawing/2014/main" id="{00000000-0008-0000-1700-000028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41" name="Group Box 41" hidden="1">
                <a:extLst>
                  <a:ext uri="{63B3BB69-23CF-44E3-9099-C40C66FF867C}">
                    <a14:compatExt spid="_x0000_s153641"/>
                  </a:ext>
                  <a:ext uri="{FF2B5EF4-FFF2-40B4-BE49-F238E27FC236}">
                    <a16:creationId xmlns:a16="http://schemas.microsoft.com/office/drawing/2014/main" id="{00000000-0008-0000-1700-000029580200}"/>
                  </a:ext>
                </a:extLst>
              </xdr:cNvPr>
              <xdr:cNvSpPr/>
            </xdr:nvSpPr>
            <xdr:spPr bwMode="auto">
              <a:xfrm>
                <a:off x="2995478" y="3846826"/>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8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8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8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8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8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800-00001C000000}"/>
                </a:ext>
              </a:extLst>
            </xdr:cNvPr>
            <xdr:cNvGrpSpPr/>
          </xdr:nvGrpSpPr>
          <xdr:grpSpPr>
            <a:xfrm>
              <a:off x="3696269" y="18720179"/>
              <a:ext cx="1956179" cy="1649105"/>
              <a:chOff x="2994710" y="2201918"/>
              <a:chExt cx="1960968" cy="1646923"/>
            </a:xfrm>
          </xdr:grpSpPr>
          <xdr:sp macro="" textlink="">
            <xdr:nvSpPr>
              <xdr:cNvPr id="153663" name="Option Button 63" descr="Case d'option 47" hidden="1">
                <a:extLst>
                  <a:ext uri="{63B3BB69-23CF-44E3-9099-C40C66FF867C}">
                    <a14:compatExt spid="_x0000_s153663"/>
                  </a:ext>
                  <a:ext uri="{FF2B5EF4-FFF2-40B4-BE49-F238E27FC236}">
                    <a16:creationId xmlns:a16="http://schemas.microsoft.com/office/drawing/2014/main" id="{00000000-0008-0000-1700-00003F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64" name="Option Button 64" hidden="1">
                <a:extLst>
                  <a:ext uri="{63B3BB69-23CF-44E3-9099-C40C66FF867C}">
                    <a14:compatExt spid="_x0000_s153664"/>
                  </a:ext>
                  <a:ext uri="{FF2B5EF4-FFF2-40B4-BE49-F238E27FC236}">
                    <a16:creationId xmlns:a16="http://schemas.microsoft.com/office/drawing/2014/main" id="{00000000-0008-0000-1700-000040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65" name="Option Button 65" hidden="1">
                <a:extLst>
                  <a:ext uri="{63B3BB69-23CF-44E3-9099-C40C66FF867C}">
                    <a14:compatExt spid="_x0000_s153665"/>
                  </a:ext>
                  <a:ext uri="{FF2B5EF4-FFF2-40B4-BE49-F238E27FC236}">
                    <a16:creationId xmlns:a16="http://schemas.microsoft.com/office/drawing/2014/main" id="{00000000-0008-0000-1700-000041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66" name="Option Button 66" hidden="1">
                <a:extLst>
                  <a:ext uri="{63B3BB69-23CF-44E3-9099-C40C66FF867C}">
                    <a14:compatExt spid="_x0000_s153666"/>
                  </a:ext>
                  <a:ext uri="{FF2B5EF4-FFF2-40B4-BE49-F238E27FC236}">
                    <a16:creationId xmlns:a16="http://schemas.microsoft.com/office/drawing/2014/main" id="{00000000-0008-0000-1700-000042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67" name="Group Box 67" hidden="1">
                <a:extLst>
                  <a:ext uri="{63B3BB69-23CF-44E3-9099-C40C66FF867C}">
                    <a14:compatExt spid="_x0000_s153667"/>
                  </a:ext>
                  <a:ext uri="{FF2B5EF4-FFF2-40B4-BE49-F238E27FC236}">
                    <a16:creationId xmlns:a16="http://schemas.microsoft.com/office/drawing/2014/main" id="{00000000-0008-0000-1700-000043580200}"/>
                  </a:ext>
                </a:extLst>
              </xdr:cNvPr>
              <xdr:cNvSpPr/>
            </xdr:nvSpPr>
            <xdr:spPr bwMode="auto">
              <a:xfrm>
                <a:off x="2994710" y="220191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8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800-00001E000000}"/>
                </a:ext>
              </a:extLst>
            </xdr:cNvPr>
            <xdr:cNvGrpSpPr/>
          </xdr:nvGrpSpPr>
          <xdr:grpSpPr>
            <a:xfrm>
              <a:off x="3696269" y="22530179"/>
              <a:ext cx="1956179" cy="1651160"/>
              <a:chOff x="2994714" y="2201920"/>
              <a:chExt cx="1960968" cy="1646923"/>
            </a:xfrm>
          </xdr:grpSpPr>
          <xdr:sp macro="" textlink="">
            <xdr:nvSpPr>
              <xdr:cNvPr id="153668" name="Option Button 68" descr="Case d'option 47" hidden="1">
                <a:extLst>
                  <a:ext uri="{63B3BB69-23CF-44E3-9099-C40C66FF867C}">
                    <a14:compatExt spid="_x0000_s153668"/>
                  </a:ext>
                  <a:ext uri="{FF2B5EF4-FFF2-40B4-BE49-F238E27FC236}">
                    <a16:creationId xmlns:a16="http://schemas.microsoft.com/office/drawing/2014/main" id="{00000000-0008-0000-1700-000044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69" name="Option Button 69" hidden="1">
                <a:extLst>
                  <a:ext uri="{63B3BB69-23CF-44E3-9099-C40C66FF867C}">
                    <a14:compatExt spid="_x0000_s153669"/>
                  </a:ext>
                  <a:ext uri="{FF2B5EF4-FFF2-40B4-BE49-F238E27FC236}">
                    <a16:creationId xmlns:a16="http://schemas.microsoft.com/office/drawing/2014/main" id="{00000000-0008-0000-1700-000045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70" name="Option Button 70" hidden="1">
                <a:extLst>
                  <a:ext uri="{63B3BB69-23CF-44E3-9099-C40C66FF867C}">
                    <a14:compatExt spid="_x0000_s153670"/>
                  </a:ext>
                  <a:ext uri="{FF2B5EF4-FFF2-40B4-BE49-F238E27FC236}">
                    <a16:creationId xmlns:a16="http://schemas.microsoft.com/office/drawing/2014/main" id="{00000000-0008-0000-1700-000046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71" name="Option Button 71" hidden="1">
                <a:extLst>
                  <a:ext uri="{63B3BB69-23CF-44E3-9099-C40C66FF867C}">
                    <a14:compatExt spid="_x0000_s153671"/>
                  </a:ext>
                  <a:ext uri="{FF2B5EF4-FFF2-40B4-BE49-F238E27FC236}">
                    <a16:creationId xmlns:a16="http://schemas.microsoft.com/office/drawing/2014/main" id="{00000000-0008-0000-1700-000047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72" name="Group Box 72" hidden="1">
                <a:extLst>
                  <a:ext uri="{63B3BB69-23CF-44E3-9099-C40C66FF867C}">
                    <a14:compatExt spid="_x0000_s153672"/>
                  </a:ext>
                  <a:ext uri="{FF2B5EF4-FFF2-40B4-BE49-F238E27FC236}">
                    <a16:creationId xmlns:a16="http://schemas.microsoft.com/office/drawing/2014/main" id="{00000000-0008-0000-1700-000048580200}"/>
                  </a:ext>
                </a:extLst>
              </xdr:cNvPr>
              <xdr:cNvSpPr/>
            </xdr:nvSpPr>
            <xdr:spPr bwMode="auto">
              <a:xfrm>
                <a:off x="2994714" y="2201920"/>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8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800-000021000000}"/>
                </a:ext>
              </a:extLst>
            </xdr:cNvPr>
            <xdr:cNvGrpSpPr/>
          </xdr:nvGrpSpPr>
          <xdr:grpSpPr>
            <a:xfrm>
              <a:off x="3696269" y="24179284"/>
              <a:ext cx="1956179" cy="1649104"/>
              <a:chOff x="2995478" y="3846783"/>
              <a:chExt cx="1960181" cy="1644870"/>
            </a:xfrm>
          </xdr:grpSpPr>
          <xdr:sp macro="" textlink="">
            <xdr:nvSpPr>
              <xdr:cNvPr id="153673" name="Option Button 73" hidden="1">
                <a:extLst>
                  <a:ext uri="{63B3BB69-23CF-44E3-9099-C40C66FF867C}">
                    <a14:compatExt spid="_x0000_s153673"/>
                  </a:ext>
                  <a:ext uri="{FF2B5EF4-FFF2-40B4-BE49-F238E27FC236}">
                    <a16:creationId xmlns:a16="http://schemas.microsoft.com/office/drawing/2014/main" id="{00000000-0008-0000-1700-000049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74" name="Option Button 74" hidden="1">
                <a:extLst>
                  <a:ext uri="{63B3BB69-23CF-44E3-9099-C40C66FF867C}">
                    <a14:compatExt spid="_x0000_s153674"/>
                  </a:ext>
                  <a:ext uri="{FF2B5EF4-FFF2-40B4-BE49-F238E27FC236}">
                    <a16:creationId xmlns:a16="http://schemas.microsoft.com/office/drawing/2014/main" id="{00000000-0008-0000-1700-00004A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75" name="Option Button 75" hidden="1">
                <a:extLst>
                  <a:ext uri="{63B3BB69-23CF-44E3-9099-C40C66FF867C}">
                    <a14:compatExt spid="_x0000_s153675"/>
                  </a:ext>
                  <a:ext uri="{FF2B5EF4-FFF2-40B4-BE49-F238E27FC236}">
                    <a16:creationId xmlns:a16="http://schemas.microsoft.com/office/drawing/2014/main" id="{00000000-0008-0000-1700-00004B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76" name="Option Button 76" hidden="1">
                <a:extLst>
                  <a:ext uri="{63B3BB69-23CF-44E3-9099-C40C66FF867C}">
                    <a14:compatExt spid="_x0000_s153676"/>
                  </a:ext>
                  <a:ext uri="{FF2B5EF4-FFF2-40B4-BE49-F238E27FC236}">
                    <a16:creationId xmlns:a16="http://schemas.microsoft.com/office/drawing/2014/main" id="{00000000-0008-0000-1700-00004C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77" name="Group Box 77" hidden="1">
                <a:extLst>
                  <a:ext uri="{63B3BB69-23CF-44E3-9099-C40C66FF867C}">
                    <a14:compatExt spid="_x0000_s153677"/>
                  </a:ext>
                  <a:ext uri="{FF2B5EF4-FFF2-40B4-BE49-F238E27FC236}">
                    <a16:creationId xmlns:a16="http://schemas.microsoft.com/office/drawing/2014/main" id="{00000000-0008-0000-1700-00004D580200}"/>
                  </a:ext>
                </a:extLst>
              </xdr:cNvPr>
              <xdr:cNvSpPr/>
            </xdr:nvSpPr>
            <xdr:spPr bwMode="auto">
              <a:xfrm>
                <a:off x="2995478" y="3846783"/>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8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8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1800-000024000000}"/>
                </a:ext>
              </a:extLst>
            </xdr:cNvPr>
            <xdr:cNvGrpSpPr/>
          </xdr:nvGrpSpPr>
          <xdr:grpSpPr>
            <a:xfrm>
              <a:off x="3696506" y="27477493"/>
              <a:ext cx="1955942" cy="1522150"/>
              <a:chOff x="2994710" y="2201918"/>
              <a:chExt cx="1960968" cy="1646925"/>
            </a:xfrm>
          </xdr:grpSpPr>
          <xdr:sp macro="" textlink="">
            <xdr:nvSpPr>
              <xdr:cNvPr id="153678" name="Option Button 78" descr="Case d'option 47" hidden="1">
                <a:extLst>
                  <a:ext uri="{63B3BB69-23CF-44E3-9099-C40C66FF867C}">
                    <a14:compatExt spid="_x0000_s153678"/>
                  </a:ext>
                  <a:ext uri="{FF2B5EF4-FFF2-40B4-BE49-F238E27FC236}">
                    <a16:creationId xmlns:a16="http://schemas.microsoft.com/office/drawing/2014/main" id="{00000000-0008-0000-1700-00004E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79" name="Option Button 79" hidden="1">
                <a:extLst>
                  <a:ext uri="{63B3BB69-23CF-44E3-9099-C40C66FF867C}">
                    <a14:compatExt spid="_x0000_s153679"/>
                  </a:ext>
                  <a:ext uri="{FF2B5EF4-FFF2-40B4-BE49-F238E27FC236}">
                    <a16:creationId xmlns:a16="http://schemas.microsoft.com/office/drawing/2014/main" id="{00000000-0008-0000-1700-00004F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80" name="Option Button 80" hidden="1">
                <a:extLst>
                  <a:ext uri="{63B3BB69-23CF-44E3-9099-C40C66FF867C}">
                    <a14:compatExt spid="_x0000_s153680"/>
                  </a:ext>
                  <a:ext uri="{FF2B5EF4-FFF2-40B4-BE49-F238E27FC236}">
                    <a16:creationId xmlns:a16="http://schemas.microsoft.com/office/drawing/2014/main" id="{00000000-0008-0000-1700-000050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81" name="Option Button 81" hidden="1">
                <a:extLst>
                  <a:ext uri="{63B3BB69-23CF-44E3-9099-C40C66FF867C}">
                    <a14:compatExt spid="_x0000_s153681"/>
                  </a:ext>
                  <a:ext uri="{FF2B5EF4-FFF2-40B4-BE49-F238E27FC236}">
                    <a16:creationId xmlns:a16="http://schemas.microsoft.com/office/drawing/2014/main" id="{00000000-0008-0000-1700-000051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82" name="Group Box 82" hidden="1">
                <a:extLst>
                  <a:ext uri="{63B3BB69-23CF-44E3-9099-C40C66FF867C}">
                    <a14:compatExt spid="_x0000_s153682"/>
                  </a:ext>
                  <a:ext uri="{FF2B5EF4-FFF2-40B4-BE49-F238E27FC236}">
                    <a16:creationId xmlns:a16="http://schemas.microsoft.com/office/drawing/2014/main" id="{00000000-0008-0000-1700-000052580200}"/>
                  </a:ext>
                </a:extLst>
              </xdr:cNvPr>
              <xdr:cNvSpPr/>
            </xdr:nvSpPr>
            <xdr:spPr bwMode="auto">
              <a:xfrm>
                <a:off x="2994710"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800-000025000000}"/>
                </a:ext>
              </a:extLst>
            </xdr:cNvPr>
            <xdr:cNvGrpSpPr/>
          </xdr:nvGrpSpPr>
          <xdr:grpSpPr>
            <a:xfrm>
              <a:off x="3696269" y="25828388"/>
              <a:ext cx="1956179" cy="1649105"/>
              <a:chOff x="2994710" y="2201898"/>
              <a:chExt cx="1960968" cy="1646923"/>
            </a:xfrm>
          </xdr:grpSpPr>
          <xdr:sp macro="" textlink="">
            <xdr:nvSpPr>
              <xdr:cNvPr id="153683" name="Option Button 83" descr="Case d'option 47" hidden="1">
                <a:extLst>
                  <a:ext uri="{63B3BB69-23CF-44E3-9099-C40C66FF867C}">
                    <a14:compatExt spid="_x0000_s153683"/>
                  </a:ext>
                  <a:ext uri="{FF2B5EF4-FFF2-40B4-BE49-F238E27FC236}">
                    <a16:creationId xmlns:a16="http://schemas.microsoft.com/office/drawing/2014/main" id="{00000000-0008-0000-1700-000053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84" name="Option Button 84" hidden="1">
                <a:extLst>
                  <a:ext uri="{63B3BB69-23CF-44E3-9099-C40C66FF867C}">
                    <a14:compatExt spid="_x0000_s153684"/>
                  </a:ext>
                  <a:ext uri="{FF2B5EF4-FFF2-40B4-BE49-F238E27FC236}">
                    <a16:creationId xmlns:a16="http://schemas.microsoft.com/office/drawing/2014/main" id="{00000000-0008-0000-1700-000054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85" name="Option Button 85" hidden="1">
                <a:extLst>
                  <a:ext uri="{63B3BB69-23CF-44E3-9099-C40C66FF867C}">
                    <a14:compatExt spid="_x0000_s153685"/>
                  </a:ext>
                  <a:ext uri="{FF2B5EF4-FFF2-40B4-BE49-F238E27FC236}">
                    <a16:creationId xmlns:a16="http://schemas.microsoft.com/office/drawing/2014/main" id="{00000000-0008-0000-1700-000055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86" name="Option Button 86" hidden="1">
                <a:extLst>
                  <a:ext uri="{63B3BB69-23CF-44E3-9099-C40C66FF867C}">
                    <a14:compatExt spid="_x0000_s153686"/>
                  </a:ext>
                  <a:ext uri="{FF2B5EF4-FFF2-40B4-BE49-F238E27FC236}">
                    <a16:creationId xmlns:a16="http://schemas.microsoft.com/office/drawing/2014/main" id="{00000000-0008-0000-1700-000056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87" name="Group Box 87" hidden="1">
                <a:extLst>
                  <a:ext uri="{63B3BB69-23CF-44E3-9099-C40C66FF867C}">
                    <a14:compatExt spid="_x0000_s153687"/>
                  </a:ext>
                  <a:ext uri="{FF2B5EF4-FFF2-40B4-BE49-F238E27FC236}">
                    <a16:creationId xmlns:a16="http://schemas.microsoft.com/office/drawing/2014/main" id="{00000000-0008-0000-1700-000057580200}"/>
                  </a:ext>
                </a:extLst>
              </xdr:cNvPr>
              <xdr:cNvSpPr/>
            </xdr:nvSpPr>
            <xdr:spPr bwMode="auto">
              <a:xfrm>
                <a:off x="2994710" y="220189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8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800-000028000000}"/>
                </a:ext>
              </a:extLst>
            </xdr:cNvPr>
            <xdr:cNvGrpSpPr/>
          </xdr:nvGrpSpPr>
          <xdr:grpSpPr>
            <a:xfrm>
              <a:off x="3696269" y="35984597"/>
              <a:ext cx="1956179" cy="1649104"/>
              <a:chOff x="2995478" y="3846831"/>
              <a:chExt cx="1960181" cy="1644868"/>
            </a:xfrm>
          </xdr:grpSpPr>
          <xdr:sp macro="" textlink="">
            <xdr:nvSpPr>
              <xdr:cNvPr id="153688" name="Option Button 88" hidden="1">
                <a:extLst>
                  <a:ext uri="{63B3BB69-23CF-44E3-9099-C40C66FF867C}">
                    <a14:compatExt spid="_x0000_s153688"/>
                  </a:ext>
                  <a:ext uri="{FF2B5EF4-FFF2-40B4-BE49-F238E27FC236}">
                    <a16:creationId xmlns:a16="http://schemas.microsoft.com/office/drawing/2014/main" id="{00000000-0008-0000-1700-000058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89" name="Option Button 89" hidden="1">
                <a:extLst>
                  <a:ext uri="{63B3BB69-23CF-44E3-9099-C40C66FF867C}">
                    <a14:compatExt spid="_x0000_s153689"/>
                  </a:ext>
                  <a:ext uri="{FF2B5EF4-FFF2-40B4-BE49-F238E27FC236}">
                    <a16:creationId xmlns:a16="http://schemas.microsoft.com/office/drawing/2014/main" id="{00000000-0008-0000-1700-000059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90" name="Option Button 90" hidden="1">
                <a:extLst>
                  <a:ext uri="{63B3BB69-23CF-44E3-9099-C40C66FF867C}">
                    <a14:compatExt spid="_x0000_s153690"/>
                  </a:ext>
                  <a:ext uri="{FF2B5EF4-FFF2-40B4-BE49-F238E27FC236}">
                    <a16:creationId xmlns:a16="http://schemas.microsoft.com/office/drawing/2014/main" id="{00000000-0008-0000-1700-00005A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91" name="Option Button 91" hidden="1">
                <a:extLst>
                  <a:ext uri="{63B3BB69-23CF-44E3-9099-C40C66FF867C}">
                    <a14:compatExt spid="_x0000_s153691"/>
                  </a:ext>
                  <a:ext uri="{FF2B5EF4-FFF2-40B4-BE49-F238E27FC236}">
                    <a16:creationId xmlns:a16="http://schemas.microsoft.com/office/drawing/2014/main" id="{00000000-0008-0000-1700-00005B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92" name="Group Box 92" hidden="1">
                <a:extLst>
                  <a:ext uri="{63B3BB69-23CF-44E3-9099-C40C66FF867C}">
                    <a14:compatExt spid="_x0000_s153692"/>
                  </a:ext>
                  <a:ext uri="{FF2B5EF4-FFF2-40B4-BE49-F238E27FC236}">
                    <a16:creationId xmlns:a16="http://schemas.microsoft.com/office/drawing/2014/main" id="{00000000-0008-0000-1700-00005C580200}"/>
                  </a:ext>
                </a:extLst>
              </xdr:cNvPr>
              <xdr:cNvSpPr/>
            </xdr:nvSpPr>
            <xdr:spPr bwMode="auto">
              <a:xfrm>
                <a:off x="2995478" y="3846831"/>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800-000029000000}"/>
                </a:ext>
              </a:extLst>
            </xdr:cNvPr>
            <xdr:cNvGrpSpPr/>
          </xdr:nvGrpSpPr>
          <xdr:grpSpPr>
            <a:xfrm>
              <a:off x="3696269" y="34335493"/>
              <a:ext cx="1956179" cy="1651159"/>
              <a:chOff x="2994714" y="2201916"/>
              <a:chExt cx="1960968" cy="1646922"/>
            </a:xfrm>
          </xdr:grpSpPr>
          <xdr:sp macro="" textlink="">
            <xdr:nvSpPr>
              <xdr:cNvPr id="153693" name="Option Button 93" descr="Case d'option 47" hidden="1">
                <a:extLst>
                  <a:ext uri="{63B3BB69-23CF-44E3-9099-C40C66FF867C}">
                    <a14:compatExt spid="_x0000_s153693"/>
                  </a:ext>
                  <a:ext uri="{FF2B5EF4-FFF2-40B4-BE49-F238E27FC236}">
                    <a16:creationId xmlns:a16="http://schemas.microsoft.com/office/drawing/2014/main" id="{00000000-0008-0000-1700-00005D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694" name="Option Button 94" hidden="1">
                <a:extLst>
                  <a:ext uri="{63B3BB69-23CF-44E3-9099-C40C66FF867C}">
                    <a14:compatExt spid="_x0000_s153694"/>
                  </a:ext>
                  <a:ext uri="{FF2B5EF4-FFF2-40B4-BE49-F238E27FC236}">
                    <a16:creationId xmlns:a16="http://schemas.microsoft.com/office/drawing/2014/main" id="{00000000-0008-0000-1700-00005E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695" name="Option Button 95" hidden="1">
                <a:extLst>
                  <a:ext uri="{63B3BB69-23CF-44E3-9099-C40C66FF867C}">
                    <a14:compatExt spid="_x0000_s153695"/>
                  </a:ext>
                  <a:ext uri="{FF2B5EF4-FFF2-40B4-BE49-F238E27FC236}">
                    <a16:creationId xmlns:a16="http://schemas.microsoft.com/office/drawing/2014/main" id="{00000000-0008-0000-1700-00005F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696" name="Option Button 96" hidden="1">
                <a:extLst>
                  <a:ext uri="{63B3BB69-23CF-44E3-9099-C40C66FF867C}">
                    <a14:compatExt spid="_x0000_s153696"/>
                  </a:ext>
                  <a:ext uri="{FF2B5EF4-FFF2-40B4-BE49-F238E27FC236}">
                    <a16:creationId xmlns:a16="http://schemas.microsoft.com/office/drawing/2014/main" id="{00000000-0008-0000-1700-000060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697" name="Group Box 97" hidden="1">
                <a:extLst>
                  <a:ext uri="{63B3BB69-23CF-44E3-9099-C40C66FF867C}">
                    <a14:compatExt spid="_x0000_s153697"/>
                  </a:ext>
                  <a:ext uri="{FF2B5EF4-FFF2-40B4-BE49-F238E27FC236}">
                    <a16:creationId xmlns:a16="http://schemas.microsoft.com/office/drawing/2014/main" id="{00000000-0008-0000-1700-000061580200}"/>
                  </a:ext>
                </a:extLst>
              </xdr:cNvPr>
              <xdr:cNvSpPr/>
            </xdr:nvSpPr>
            <xdr:spPr bwMode="auto">
              <a:xfrm>
                <a:off x="2994714" y="2201916"/>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8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8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8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8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800-000030000000}"/>
                </a:ext>
              </a:extLst>
            </xdr:cNvPr>
            <xdr:cNvGrpSpPr/>
          </xdr:nvGrpSpPr>
          <xdr:grpSpPr>
            <a:xfrm>
              <a:off x="3696269" y="37633701"/>
              <a:ext cx="1956179" cy="1649105"/>
              <a:chOff x="2994710" y="2201923"/>
              <a:chExt cx="1960968" cy="1646930"/>
            </a:xfrm>
          </xdr:grpSpPr>
          <xdr:sp macro="" textlink="">
            <xdr:nvSpPr>
              <xdr:cNvPr id="153709" name="Option Button 109" descr="Case d'option 47" hidden="1">
                <a:extLst>
                  <a:ext uri="{63B3BB69-23CF-44E3-9099-C40C66FF867C}">
                    <a14:compatExt spid="_x0000_s153709"/>
                  </a:ext>
                  <a:ext uri="{FF2B5EF4-FFF2-40B4-BE49-F238E27FC236}">
                    <a16:creationId xmlns:a16="http://schemas.microsoft.com/office/drawing/2014/main" id="{00000000-0008-0000-1700-00006D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10" name="Option Button 110" hidden="1">
                <a:extLst>
                  <a:ext uri="{63B3BB69-23CF-44E3-9099-C40C66FF867C}">
                    <a14:compatExt spid="_x0000_s153710"/>
                  </a:ext>
                  <a:ext uri="{FF2B5EF4-FFF2-40B4-BE49-F238E27FC236}">
                    <a16:creationId xmlns:a16="http://schemas.microsoft.com/office/drawing/2014/main" id="{00000000-0008-0000-1700-00006E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11" name="Option Button 111" hidden="1">
                <a:extLst>
                  <a:ext uri="{63B3BB69-23CF-44E3-9099-C40C66FF867C}">
                    <a14:compatExt spid="_x0000_s153711"/>
                  </a:ext>
                  <a:ext uri="{FF2B5EF4-FFF2-40B4-BE49-F238E27FC236}">
                    <a16:creationId xmlns:a16="http://schemas.microsoft.com/office/drawing/2014/main" id="{00000000-0008-0000-1700-00006F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12" name="Option Button 112" hidden="1">
                <a:extLst>
                  <a:ext uri="{63B3BB69-23CF-44E3-9099-C40C66FF867C}">
                    <a14:compatExt spid="_x0000_s153712"/>
                  </a:ext>
                  <a:ext uri="{FF2B5EF4-FFF2-40B4-BE49-F238E27FC236}">
                    <a16:creationId xmlns:a16="http://schemas.microsoft.com/office/drawing/2014/main" id="{00000000-0008-0000-1700-000070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13" name="Group Box 113" hidden="1">
                <a:extLst>
                  <a:ext uri="{63B3BB69-23CF-44E3-9099-C40C66FF867C}">
                    <a14:compatExt spid="_x0000_s153713"/>
                  </a:ext>
                  <a:ext uri="{FF2B5EF4-FFF2-40B4-BE49-F238E27FC236}">
                    <a16:creationId xmlns:a16="http://schemas.microsoft.com/office/drawing/2014/main" id="{00000000-0008-0000-1700-000071580200}"/>
                  </a:ext>
                </a:extLst>
              </xdr:cNvPr>
              <xdr:cNvSpPr/>
            </xdr:nvSpPr>
            <xdr:spPr bwMode="auto">
              <a:xfrm>
                <a:off x="2994710" y="2201923"/>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8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800-000034000000}"/>
                </a:ext>
              </a:extLst>
            </xdr:cNvPr>
            <xdr:cNvGrpSpPr/>
          </xdr:nvGrpSpPr>
          <xdr:grpSpPr>
            <a:xfrm>
              <a:off x="3696269" y="43411254"/>
              <a:ext cx="1956179" cy="1649104"/>
              <a:chOff x="2995478" y="3846791"/>
              <a:chExt cx="1960181" cy="1644870"/>
            </a:xfrm>
          </xdr:grpSpPr>
          <xdr:sp macro="" textlink="">
            <xdr:nvSpPr>
              <xdr:cNvPr id="153719" name="Option Button 119" hidden="1">
                <a:extLst>
                  <a:ext uri="{63B3BB69-23CF-44E3-9099-C40C66FF867C}">
                    <a14:compatExt spid="_x0000_s153719"/>
                  </a:ext>
                  <a:ext uri="{FF2B5EF4-FFF2-40B4-BE49-F238E27FC236}">
                    <a16:creationId xmlns:a16="http://schemas.microsoft.com/office/drawing/2014/main" id="{00000000-0008-0000-1700-000077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20" name="Option Button 120" hidden="1">
                <a:extLst>
                  <a:ext uri="{63B3BB69-23CF-44E3-9099-C40C66FF867C}">
                    <a14:compatExt spid="_x0000_s153720"/>
                  </a:ext>
                  <a:ext uri="{FF2B5EF4-FFF2-40B4-BE49-F238E27FC236}">
                    <a16:creationId xmlns:a16="http://schemas.microsoft.com/office/drawing/2014/main" id="{00000000-0008-0000-1700-000078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21" name="Option Button 121" hidden="1">
                <a:extLst>
                  <a:ext uri="{63B3BB69-23CF-44E3-9099-C40C66FF867C}">
                    <a14:compatExt spid="_x0000_s153721"/>
                  </a:ext>
                  <a:ext uri="{FF2B5EF4-FFF2-40B4-BE49-F238E27FC236}">
                    <a16:creationId xmlns:a16="http://schemas.microsoft.com/office/drawing/2014/main" id="{00000000-0008-0000-1700-000079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22" name="Option Button 122" hidden="1">
                <a:extLst>
                  <a:ext uri="{63B3BB69-23CF-44E3-9099-C40C66FF867C}">
                    <a14:compatExt spid="_x0000_s153722"/>
                  </a:ext>
                  <a:ext uri="{FF2B5EF4-FFF2-40B4-BE49-F238E27FC236}">
                    <a16:creationId xmlns:a16="http://schemas.microsoft.com/office/drawing/2014/main" id="{00000000-0008-0000-1700-00007A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23" name="Group Box 123" hidden="1">
                <a:extLst>
                  <a:ext uri="{63B3BB69-23CF-44E3-9099-C40C66FF867C}">
                    <a14:compatExt spid="_x0000_s153723"/>
                  </a:ext>
                  <a:ext uri="{FF2B5EF4-FFF2-40B4-BE49-F238E27FC236}">
                    <a16:creationId xmlns:a16="http://schemas.microsoft.com/office/drawing/2014/main" id="{00000000-0008-0000-1700-00007B580200}"/>
                  </a:ext>
                </a:extLst>
              </xdr:cNvPr>
              <xdr:cNvSpPr/>
            </xdr:nvSpPr>
            <xdr:spPr bwMode="auto">
              <a:xfrm>
                <a:off x="2995478" y="3846791"/>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800-000035000000}"/>
                </a:ext>
              </a:extLst>
            </xdr:cNvPr>
            <xdr:cNvGrpSpPr/>
          </xdr:nvGrpSpPr>
          <xdr:grpSpPr>
            <a:xfrm>
              <a:off x="3696269" y="41762149"/>
              <a:ext cx="1956179" cy="1651160"/>
              <a:chOff x="2994714" y="2201915"/>
              <a:chExt cx="1960968" cy="1646923"/>
            </a:xfrm>
          </xdr:grpSpPr>
          <xdr:sp macro="" textlink="">
            <xdr:nvSpPr>
              <xdr:cNvPr id="153724" name="Option Button 124" descr="Case d'option 47" hidden="1">
                <a:extLst>
                  <a:ext uri="{63B3BB69-23CF-44E3-9099-C40C66FF867C}">
                    <a14:compatExt spid="_x0000_s153724"/>
                  </a:ext>
                  <a:ext uri="{FF2B5EF4-FFF2-40B4-BE49-F238E27FC236}">
                    <a16:creationId xmlns:a16="http://schemas.microsoft.com/office/drawing/2014/main" id="{00000000-0008-0000-1700-00007C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25" name="Option Button 125" hidden="1">
                <a:extLst>
                  <a:ext uri="{63B3BB69-23CF-44E3-9099-C40C66FF867C}">
                    <a14:compatExt spid="_x0000_s153725"/>
                  </a:ext>
                  <a:ext uri="{FF2B5EF4-FFF2-40B4-BE49-F238E27FC236}">
                    <a16:creationId xmlns:a16="http://schemas.microsoft.com/office/drawing/2014/main" id="{00000000-0008-0000-1700-00007D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26" name="Option Button 126" hidden="1">
                <a:extLst>
                  <a:ext uri="{63B3BB69-23CF-44E3-9099-C40C66FF867C}">
                    <a14:compatExt spid="_x0000_s153726"/>
                  </a:ext>
                  <a:ext uri="{FF2B5EF4-FFF2-40B4-BE49-F238E27FC236}">
                    <a16:creationId xmlns:a16="http://schemas.microsoft.com/office/drawing/2014/main" id="{00000000-0008-0000-1700-00007E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27" name="Option Button 127" hidden="1">
                <a:extLst>
                  <a:ext uri="{63B3BB69-23CF-44E3-9099-C40C66FF867C}">
                    <a14:compatExt spid="_x0000_s153727"/>
                  </a:ext>
                  <a:ext uri="{FF2B5EF4-FFF2-40B4-BE49-F238E27FC236}">
                    <a16:creationId xmlns:a16="http://schemas.microsoft.com/office/drawing/2014/main" id="{00000000-0008-0000-1700-00007F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28" name="Group Box 128" hidden="1">
                <a:extLst>
                  <a:ext uri="{63B3BB69-23CF-44E3-9099-C40C66FF867C}">
                    <a14:compatExt spid="_x0000_s153728"/>
                  </a:ext>
                  <a:ext uri="{FF2B5EF4-FFF2-40B4-BE49-F238E27FC236}">
                    <a16:creationId xmlns:a16="http://schemas.microsoft.com/office/drawing/2014/main" id="{00000000-0008-0000-1700-000080580200}"/>
                  </a:ext>
                </a:extLst>
              </xdr:cNvPr>
              <xdr:cNvSpPr/>
            </xdr:nvSpPr>
            <xdr:spPr bwMode="auto">
              <a:xfrm>
                <a:off x="2994714" y="2201915"/>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8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8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8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1800-000039000000}"/>
                </a:ext>
              </a:extLst>
            </xdr:cNvPr>
            <xdr:cNvGrpSpPr/>
          </xdr:nvGrpSpPr>
          <xdr:grpSpPr>
            <a:xfrm>
              <a:off x="3696269" y="48358570"/>
              <a:ext cx="1956179" cy="1649105"/>
              <a:chOff x="2995478" y="3846754"/>
              <a:chExt cx="1960181" cy="1644868"/>
            </a:xfrm>
          </xdr:grpSpPr>
          <xdr:sp macro="" textlink="">
            <xdr:nvSpPr>
              <xdr:cNvPr id="153729" name="Option Button 129" hidden="1">
                <a:extLst>
                  <a:ext uri="{63B3BB69-23CF-44E3-9099-C40C66FF867C}">
                    <a14:compatExt spid="_x0000_s153729"/>
                  </a:ext>
                  <a:ext uri="{FF2B5EF4-FFF2-40B4-BE49-F238E27FC236}">
                    <a16:creationId xmlns:a16="http://schemas.microsoft.com/office/drawing/2014/main" id="{00000000-0008-0000-1700-000081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30" name="Option Button 130" hidden="1">
                <a:extLst>
                  <a:ext uri="{63B3BB69-23CF-44E3-9099-C40C66FF867C}">
                    <a14:compatExt spid="_x0000_s153730"/>
                  </a:ext>
                  <a:ext uri="{FF2B5EF4-FFF2-40B4-BE49-F238E27FC236}">
                    <a16:creationId xmlns:a16="http://schemas.microsoft.com/office/drawing/2014/main" id="{00000000-0008-0000-1700-000082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31" name="Option Button 131" hidden="1">
                <a:extLst>
                  <a:ext uri="{63B3BB69-23CF-44E3-9099-C40C66FF867C}">
                    <a14:compatExt spid="_x0000_s153731"/>
                  </a:ext>
                  <a:ext uri="{FF2B5EF4-FFF2-40B4-BE49-F238E27FC236}">
                    <a16:creationId xmlns:a16="http://schemas.microsoft.com/office/drawing/2014/main" id="{00000000-0008-0000-1700-000083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32" name="Option Button 132" hidden="1">
                <a:extLst>
                  <a:ext uri="{63B3BB69-23CF-44E3-9099-C40C66FF867C}">
                    <a14:compatExt spid="_x0000_s153732"/>
                  </a:ext>
                  <a:ext uri="{FF2B5EF4-FFF2-40B4-BE49-F238E27FC236}">
                    <a16:creationId xmlns:a16="http://schemas.microsoft.com/office/drawing/2014/main" id="{00000000-0008-0000-1700-000084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33" name="Group Box 133" hidden="1">
                <a:extLst>
                  <a:ext uri="{63B3BB69-23CF-44E3-9099-C40C66FF867C}">
                    <a14:compatExt spid="_x0000_s153733"/>
                  </a:ext>
                  <a:ext uri="{FF2B5EF4-FFF2-40B4-BE49-F238E27FC236}">
                    <a16:creationId xmlns:a16="http://schemas.microsoft.com/office/drawing/2014/main" id="{00000000-0008-0000-1700-000085580200}"/>
                  </a:ext>
                </a:extLst>
              </xdr:cNvPr>
              <xdr:cNvSpPr/>
            </xdr:nvSpPr>
            <xdr:spPr bwMode="auto">
              <a:xfrm>
                <a:off x="2995478" y="3846754"/>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800-00003A000000}"/>
                </a:ext>
              </a:extLst>
            </xdr:cNvPr>
            <xdr:cNvGrpSpPr/>
          </xdr:nvGrpSpPr>
          <xdr:grpSpPr>
            <a:xfrm>
              <a:off x="3699437" y="46709463"/>
              <a:ext cx="1953011" cy="1651162"/>
              <a:chOff x="2994664" y="2201913"/>
              <a:chExt cx="1960968" cy="1646925"/>
            </a:xfrm>
          </xdr:grpSpPr>
          <xdr:sp macro="" textlink="">
            <xdr:nvSpPr>
              <xdr:cNvPr id="153734" name="Option Button 134" descr="Case d'option 47" hidden="1">
                <a:extLst>
                  <a:ext uri="{63B3BB69-23CF-44E3-9099-C40C66FF867C}">
                    <a14:compatExt spid="_x0000_s153734"/>
                  </a:ext>
                  <a:ext uri="{FF2B5EF4-FFF2-40B4-BE49-F238E27FC236}">
                    <a16:creationId xmlns:a16="http://schemas.microsoft.com/office/drawing/2014/main" id="{00000000-0008-0000-1700-000086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35" name="Option Button 135" hidden="1">
                <a:extLst>
                  <a:ext uri="{63B3BB69-23CF-44E3-9099-C40C66FF867C}">
                    <a14:compatExt spid="_x0000_s153735"/>
                  </a:ext>
                  <a:ext uri="{FF2B5EF4-FFF2-40B4-BE49-F238E27FC236}">
                    <a16:creationId xmlns:a16="http://schemas.microsoft.com/office/drawing/2014/main" id="{00000000-0008-0000-1700-000087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36" name="Option Button 136" hidden="1">
                <a:extLst>
                  <a:ext uri="{63B3BB69-23CF-44E3-9099-C40C66FF867C}">
                    <a14:compatExt spid="_x0000_s153736"/>
                  </a:ext>
                  <a:ext uri="{FF2B5EF4-FFF2-40B4-BE49-F238E27FC236}">
                    <a16:creationId xmlns:a16="http://schemas.microsoft.com/office/drawing/2014/main" id="{00000000-0008-0000-1700-000088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37" name="Option Button 137" hidden="1">
                <a:extLst>
                  <a:ext uri="{63B3BB69-23CF-44E3-9099-C40C66FF867C}">
                    <a14:compatExt spid="_x0000_s153737"/>
                  </a:ext>
                  <a:ext uri="{FF2B5EF4-FFF2-40B4-BE49-F238E27FC236}">
                    <a16:creationId xmlns:a16="http://schemas.microsoft.com/office/drawing/2014/main" id="{00000000-0008-0000-1700-000089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38" name="Group Box 138" hidden="1">
                <a:extLst>
                  <a:ext uri="{63B3BB69-23CF-44E3-9099-C40C66FF867C}">
                    <a14:compatExt spid="_x0000_s153738"/>
                  </a:ext>
                  <a:ext uri="{FF2B5EF4-FFF2-40B4-BE49-F238E27FC236}">
                    <a16:creationId xmlns:a16="http://schemas.microsoft.com/office/drawing/2014/main" id="{00000000-0008-0000-1700-00008A580200}"/>
                  </a:ext>
                </a:extLst>
              </xdr:cNvPr>
              <xdr:cNvSpPr/>
            </xdr:nvSpPr>
            <xdr:spPr bwMode="auto">
              <a:xfrm>
                <a:off x="2994664" y="2201913"/>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800-00003B000000}"/>
                </a:ext>
              </a:extLst>
            </xdr:cNvPr>
            <xdr:cNvGrpSpPr/>
          </xdr:nvGrpSpPr>
          <xdr:grpSpPr>
            <a:xfrm>
              <a:off x="3696269" y="45060358"/>
              <a:ext cx="1956179" cy="1649105"/>
              <a:chOff x="2994710" y="2201920"/>
              <a:chExt cx="1960968" cy="1646930"/>
            </a:xfrm>
          </xdr:grpSpPr>
          <xdr:sp macro="" textlink="">
            <xdr:nvSpPr>
              <xdr:cNvPr id="153739" name="Option Button 139" descr="Case d'option 47" hidden="1">
                <a:extLst>
                  <a:ext uri="{63B3BB69-23CF-44E3-9099-C40C66FF867C}">
                    <a14:compatExt spid="_x0000_s153739"/>
                  </a:ext>
                  <a:ext uri="{FF2B5EF4-FFF2-40B4-BE49-F238E27FC236}">
                    <a16:creationId xmlns:a16="http://schemas.microsoft.com/office/drawing/2014/main" id="{00000000-0008-0000-1700-00008B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40" name="Option Button 140" hidden="1">
                <a:extLst>
                  <a:ext uri="{63B3BB69-23CF-44E3-9099-C40C66FF867C}">
                    <a14:compatExt spid="_x0000_s153740"/>
                  </a:ext>
                  <a:ext uri="{FF2B5EF4-FFF2-40B4-BE49-F238E27FC236}">
                    <a16:creationId xmlns:a16="http://schemas.microsoft.com/office/drawing/2014/main" id="{00000000-0008-0000-1700-00008C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41" name="Option Button 141" hidden="1">
                <a:extLst>
                  <a:ext uri="{63B3BB69-23CF-44E3-9099-C40C66FF867C}">
                    <a14:compatExt spid="_x0000_s153741"/>
                  </a:ext>
                  <a:ext uri="{FF2B5EF4-FFF2-40B4-BE49-F238E27FC236}">
                    <a16:creationId xmlns:a16="http://schemas.microsoft.com/office/drawing/2014/main" id="{00000000-0008-0000-1700-00008D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42" name="Option Button 142" hidden="1">
                <a:extLst>
                  <a:ext uri="{63B3BB69-23CF-44E3-9099-C40C66FF867C}">
                    <a14:compatExt spid="_x0000_s153742"/>
                  </a:ext>
                  <a:ext uri="{FF2B5EF4-FFF2-40B4-BE49-F238E27FC236}">
                    <a16:creationId xmlns:a16="http://schemas.microsoft.com/office/drawing/2014/main" id="{00000000-0008-0000-1700-00008E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43" name="Group Box 143" hidden="1">
                <a:extLst>
                  <a:ext uri="{63B3BB69-23CF-44E3-9099-C40C66FF867C}">
                    <a14:compatExt spid="_x0000_s153743"/>
                  </a:ext>
                  <a:ext uri="{FF2B5EF4-FFF2-40B4-BE49-F238E27FC236}">
                    <a16:creationId xmlns:a16="http://schemas.microsoft.com/office/drawing/2014/main" id="{00000000-0008-0000-1700-00008F580200}"/>
                  </a:ext>
                </a:extLst>
              </xdr:cNvPr>
              <xdr:cNvSpPr/>
            </xdr:nvSpPr>
            <xdr:spPr bwMode="auto">
              <a:xfrm>
                <a:off x="2994710" y="2201920"/>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8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8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8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8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53745" name="Ellipse 153744">
          <a:extLst>
            <a:ext uri="{FF2B5EF4-FFF2-40B4-BE49-F238E27FC236}">
              <a16:creationId xmlns:a16="http://schemas.microsoft.com/office/drawing/2014/main" id="{00000000-0008-0000-1800-00009158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53746" name="Groupe 153745">
              <a:extLst>
                <a:ext uri="{FF2B5EF4-FFF2-40B4-BE49-F238E27FC236}">
                  <a16:creationId xmlns:a16="http://schemas.microsoft.com/office/drawing/2014/main" id="{00000000-0008-0000-1800-000092580200}"/>
                </a:ext>
              </a:extLst>
            </xdr:cNvPr>
            <xdr:cNvGrpSpPr/>
          </xdr:nvGrpSpPr>
          <xdr:grpSpPr>
            <a:xfrm>
              <a:off x="3696269" y="15421970"/>
              <a:ext cx="1956179" cy="1649105"/>
              <a:chOff x="2995478" y="3846744"/>
              <a:chExt cx="1960181" cy="1644868"/>
            </a:xfrm>
          </xdr:grpSpPr>
          <xdr:sp macro="" textlink="">
            <xdr:nvSpPr>
              <xdr:cNvPr id="11" name="Option Button 145" hidden="1">
                <a:extLst>
                  <a:ext uri="{63B3BB69-23CF-44E3-9099-C40C66FF867C}">
                    <a14:compatExt spid="_x0000_s153745"/>
                  </a:ext>
                  <a:ext uri="{FF2B5EF4-FFF2-40B4-BE49-F238E27FC236}">
                    <a16:creationId xmlns:a16="http://schemas.microsoft.com/office/drawing/2014/main" id="{00000000-0008-0000-17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 name="Option Button 146" hidden="1">
                <a:extLst>
                  <a:ext uri="{63B3BB69-23CF-44E3-9099-C40C66FF867C}">
                    <a14:compatExt spid="_x0000_s153746"/>
                  </a:ext>
                  <a:ext uri="{FF2B5EF4-FFF2-40B4-BE49-F238E27FC236}">
                    <a16:creationId xmlns:a16="http://schemas.microsoft.com/office/drawing/2014/main" id="{00000000-0008-0000-1700-000018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47" name="Option Button 147" hidden="1">
                <a:extLst>
                  <a:ext uri="{63B3BB69-23CF-44E3-9099-C40C66FF867C}">
                    <a14:compatExt spid="_x0000_s153747"/>
                  </a:ext>
                  <a:ext uri="{FF2B5EF4-FFF2-40B4-BE49-F238E27FC236}">
                    <a16:creationId xmlns:a16="http://schemas.microsoft.com/office/drawing/2014/main" id="{00000000-0008-0000-1700-00009358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48" name="Option Button 148" hidden="1">
                <a:extLst>
                  <a:ext uri="{63B3BB69-23CF-44E3-9099-C40C66FF867C}">
                    <a14:compatExt spid="_x0000_s153748"/>
                  </a:ext>
                  <a:ext uri="{FF2B5EF4-FFF2-40B4-BE49-F238E27FC236}">
                    <a16:creationId xmlns:a16="http://schemas.microsoft.com/office/drawing/2014/main" id="{00000000-0008-0000-1700-00009458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49" name="Group Box 149" hidden="1">
                <a:extLst>
                  <a:ext uri="{63B3BB69-23CF-44E3-9099-C40C66FF867C}">
                    <a14:compatExt spid="_x0000_s153749"/>
                  </a:ext>
                  <a:ext uri="{FF2B5EF4-FFF2-40B4-BE49-F238E27FC236}">
                    <a16:creationId xmlns:a16="http://schemas.microsoft.com/office/drawing/2014/main" id="{00000000-0008-0000-1700-000095580200}"/>
                  </a:ext>
                </a:extLst>
              </xdr:cNvPr>
              <xdr:cNvSpPr/>
            </xdr:nvSpPr>
            <xdr:spPr bwMode="auto">
              <a:xfrm>
                <a:off x="2995478" y="3846744"/>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53752" name="ZoneTexte 1">
          <a:extLst>
            <a:ext uri="{FF2B5EF4-FFF2-40B4-BE49-F238E27FC236}">
              <a16:creationId xmlns:a16="http://schemas.microsoft.com/office/drawing/2014/main" id="{00000000-0008-0000-1800-00009858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53753" name="ZoneTexte 1">
          <a:extLst>
            <a:ext uri="{FF2B5EF4-FFF2-40B4-BE49-F238E27FC236}">
              <a16:creationId xmlns:a16="http://schemas.microsoft.com/office/drawing/2014/main" id="{00000000-0008-0000-1800-00009958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53760" name="ZoneTexte 1">
          <a:extLst>
            <a:ext uri="{FF2B5EF4-FFF2-40B4-BE49-F238E27FC236}">
              <a16:creationId xmlns:a16="http://schemas.microsoft.com/office/drawing/2014/main" id="{00000000-0008-0000-1800-0000A058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153761" name="Groupe 153760">
              <a:extLst>
                <a:ext uri="{FF2B5EF4-FFF2-40B4-BE49-F238E27FC236}">
                  <a16:creationId xmlns:a16="http://schemas.microsoft.com/office/drawing/2014/main" id="{00000000-0008-0000-1800-0000A1580200}"/>
                </a:ext>
              </a:extLst>
            </xdr:cNvPr>
            <xdr:cNvGrpSpPr/>
          </xdr:nvGrpSpPr>
          <xdr:grpSpPr>
            <a:xfrm>
              <a:off x="3696269" y="29001493"/>
              <a:ext cx="1956179" cy="1649104"/>
              <a:chOff x="2994710" y="2201914"/>
              <a:chExt cx="1960968" cy="1646922"/>
            </a:xfrm>
          </xdr:grpSpPr>
          <xdr:sp macro="" textlink="">
            <xdr:nvSpPr>
              <xdr:cNvPr id="153755" name="Option Button 155" descr="Case d'option 47" hidden="1">
                <a:extLst>
                  <a:ext uri="{63B3BB69-23CF-44E3-9099-C40C66FF867C}">
                    <a14:compatExt spid="_x0000_s153755"/>
                  </a:ext>
                  <a:ext uri="{FF2B5EF4-FFF2-40B4-BE49-F238E27FC236}">
                    <a16:creationId xmlns:a16="http://schemas.microsoft.com/office/drawing/2014/main" id="{00000000-0008-0000-1700-00009B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56" name="Option Button 156" hidden="1">
                <a:extLst>
                  <a:ext uri="{63B3BB69-23CF-44E3-9099-C40C66FF867C}">
                    <a14:compatExt spid="_x0000_s153756"/>
                  </a:ext>
                  <a:ext uri="{FF2B5EF4-FFF2-40B4-BE49-F238E27FC236}">
                    <a16:creationId xmlns:a16="http://schemas.microsoft.com/office/drawing/2014/main" id="{00000000-0008-0000-1700-00009C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57" name="Option Button 157" hidden="1">
                <a:extLst>
                  <a:ext uri="{63B3BB69-23CF-44E3-9099-C40C66FF867C}">
                    <a14:compatExt spid="_x0000_s153757"/>
                  </a:ext>
                  <a:ext uri="{FF2B5EF4-FFF2-40B4-BE49-F238E27FC236}">
                    <a16:creationId xmlns:a16="http://schemas.microsoft.com/office/drawing/2014/main" id="{00000000-0008-0000-1700-00009D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58" name="Option Button 158" hidden="1">
                <a:extLst>
                  <a:ext uri="{63B3BB69-23CF-44E3-9099-C40C66FF867C}">
                    <a14:compatExt spid="_x0000_s153758"/>
                  </a:ext>
                  <a:ext uri="{FF2B5EF4-FFF2-40B4-BE49-F238E27FC236}">
                    <a16:creationId xmlns:a16="http://schemas.microsoft.com/office/drawing/2014/main" id="{00000000-0008-0000-1700-00009E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59" name="Group Box 159" hidden="1">
                <a:extLst>
                  <a:ext uri="{63B3BB69-23CF-44E3-9099-C40C66FF867C}">
                    <a14:compatExt spid="_x0000_s153759"/>
                  </a:ext>
                  <a:ext uri="{FF2B5EF4-FFF2-40B4-BE49-F238E27FC236}">
                    <a16:creationId xmlns:a16="http://schemas.microsoft.com/office/drawing/2014/main" id="{00000000-0008-0000-1700-00009F580200}"/>
                  </a:ext>
                </a:extLst>
              </xdr:cNvPr>
              <xdr:cNvSpPr/>
            </xdr:nvSpPr>
            <xdr:spPr bwMode="auto">
              <a:xfrm>
                <a:off x="2994710"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153767" name="ZoneTexte 1">
          <a:extLst>
            <a:ext uri="{FF2B5EF4-FFF2-40B4-BE49-F238E27FC236}">
              <a16:creationId xmlns:a16="http://schemas.microsoft.com/office/drawing/2014/main" id="{00000000-0008-0000-1800-0000A758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53768" name="ZoneTexte 1">
          <a:extLst>
            <a:ext uri="{FF2B5EF4-FFF2-40B4-BE49-F238E27FC236}">
              <a16:creationId xmlns:a16="http://schemas.microsoft.com/office/drawing/2014/main" id="{00000000-0008-0000-1800-0000A858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153775" name="ZoneTexte 1">
          <a:extLst>
            <a:ext uri="{FF2B5EF4-FFF2-40B4-BE49-F238E27FC236}">
              <a16:creationId xmlns:a16="http://schemas.microsoft.com/office/drawing/2014/main" id="{00000000-0008-0000-1800-0000AF58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53776" name="ZoneTexte 1">
          <a:extLst>
            <a:ext uri="{FF2B5EF4-FFF2-40B4-BE49-F238E27FC236}">
              <a16:creationId xmlns:a16="http://schemas.microsoft.com/office/drawing/2014/main" id="{00000000-0008-0000-1800-0000B058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83</xdr:row>
          <xdr:rowOff>3</xdr:rowOff>
        </xdr:from>
        <xdr:to>
          <xdr:col>8</xdr:col>
          <xdr:colOff>0</xdr:colOff>
          <xdr:row>84</xdr:row>
          <xdr:rowOff>3</xdr:rowOff>
        </xdr:to>
        <xdr:grpSp>
          <xdr:nvGrpSpPr>
            <xdr:cNvPr id="153777" name="Groupe 153776">
              <a:extLst>
                <a:ext uri="{FF2B5EF4-FFF2-40B4-BE49-F238E27FC236}">
                  <a16:creationId xmlns:a16="http://schemas.microsoft.com/office/drawing/2014/main" id="{00000000-0008-0000-1800-0000B1580200}"/>
                </a:ext>
              </a:extLst>
            </xdr:cNvPr>
            <xdr:cNvGrpSpPr/>
          </xdr:nvGrpSpPr>
          <xdr:grpSpPr>
            <a:xfrm>
              <a:off x="3696269" y="51656779"/>
              <a:ext cx="1956179" cy="1649102"/>
              <a:chOff x="2995478" y="3846790"/>
              <a:chExt cx="1960181" cy="1644870"/>
            </a:xfrm>
          </xdr:grpSpPr>
          <xdr:sp macro="" textlink="">
            <xdr:nvSpPr>
              <xdr:cNvPr id="153765" name="Option Button 165" hidden="1">
                <a:extLst>
                  <a:ext uri="{63B3BB69-23CF-44E3-9099-C40C66FF867C}">
                    <a14:compatExt spid="_x0000_s153765"/>
                  </a:ext>
                  <a:ext uri="{FF2B5EF4-FFF2-40B4-BE49-F238E27FC236}">
                    <a16:creationId xmlns:a16="http://schemas.microsoft.com/office/drawing/2014/main" id="{00000000-0008-0000-1700-0000A558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66" name="Option Button 166" hidden="1">
                <a:extLst>
                  <a:ext uri="{63B3BB69-23CF-44E3-9099-C40C66FF867C}">
                    <a14:compatExt spid="_x0000_s153766"/>
                  </a:ext>
                  <a:ext uri="{FF2B5EF4-FFF2-40B4-BE49-F238E27FC236}">
                    <a16:creationId xmlns:a16="http://schemas.microsoft.com/office/drawing/2014/main" id="{00000000-0008-0000-1700-0000A658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5" name="Option Button 167" hidden="1">
                <a:extLst>
                  <a:ext uri="{63B3BB69-23CF-44E3-9099-C40C66FF867C}">
                    <a14:compatExt spid="_x0000_s153767"/>
                  </a:ext>
                  <a:ext uri="{FF2B5EF4-FFF2-40B4-BE49-F238E27FC236}">
                    <a16:creationId xmlns:a16="http://schemas.microsoft.com/office/drawing/2014/main" id="{00000000-0008-0000-1700-0000190000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6" name="Option Button 168" hidden="1">
                <a:extLst>
                  <a:ext uri="{63B3BB69-23CF-44E3-9099-C40C66FF867C}">
                    <a14:compatExt spid="_x0000_s153768"/>
                  </a:ext>
                  <a:ext uri="{FF2B5EF4-FFF2-40B4-BE49-F238E27FC236}">
                    <a16:creationId xmlns:a16="http://schemas.microsoft.com/office/drawing/2014/main" id="{00000000-0008-0000-1700-00001A0000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69" name="Group Box 169" hidden="1">
                <a:extLst>
                  <a:ext uri="{63B3BB69-23CF-44E3-9099-C40C66FF867C}">
                    <a14:compatExt spid="_x0000_s153769"/>
                  </a:ext>
                  <a:ext uri="{FF2B5EF4-FFF2-40B4-BE49-F238E27FC236}">
                    <a16:creationId xmlns:a16="http://schemas.microsoft.com/office/drawing/2014/main" id="{00000000-0008-0000-1700-0000A9580200}"/>
                  </a:ext>
                </a:extLst>
              </xdr:cNvPr>
              <xdr:cNvSpPr/>
            </xdr:nvSpPr>
            <xdr:spPr bwMode="auto">
              <a:xfrm>
                <a:off x="2995478" y="3846790"/>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82</xdr:row>
          <xdr:rowOff>0</xdr:rowOff>
        </xdr:from>
        <xdr:to>
          <xdr:col>8</xdr:col>
          <xdr:colOff>0</xdr:colOff>
          <xdr:row>83</xdr:row>
          <xdr:rowOff>2058</xdr:rowOff>
        </xdr:to>
        <xdr:grpSp>
          <xdr:nvGrpSpPr>
            <xdr:cNvPr id="153783" name="Groupe 153782">
              <a:extLst>
                <a:ext uri="{FF2B5EF4-FFF2-40B4-BE49-F238E27FC236}">
                  <a16:creationId xmlns:a16="http://schemas.microsoft.com/office/drawing/2014/main" id="{00000000-0008-0000-1800-0000B7580200}"/>
                </a:ext>
              </a:extLst>
            </xdr:cNvPr>
            <xdr:cNvGrpSpPr/>
          </xdr:nvGrpSpPr>
          <xdr:grpSpPr>
            <a:xfrm>
              <a:off x="3699437" y="50007672"/>
              <a:ext cx="1953011" cy="1651162"/>
              <a:chOff x="2994664" y="2201916"/>
              <a:chExt cx="1960968" cy="1646925"/>
            </a:xfrm>
          </xdr:grpSpPr>
          <xdr:sp macro="" textlink="">
            <xdr:nvSpPr>
              <xdr:cNvPr id="153770" name="Option Button 170" descr="Case d'option 47" hidden="1">
                <a:extLst>
                  <a:ext uri="{63B3BB69-23CF-44E3-9099-C40C66FF867C}">
                    <a14:compatExt spid="_x0000_s153770"/>
                  </a:ext>
                  <a:ext uri="{FF2B5EF4-FFF2-40B4-BE49-F238E27FC236}">
                    <a16:creationId xmlns:a16="http://schemas.microsoft.com/office/drawing/2014/main" id="{00000000-0008-0000-1700-0000AA58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771" name="Option Button 171" hidden="1">
                <a:extLst>
                  <a:ext uri="{63B3BB69-23CF-44E3-9099-C40C66FF867C}">
                    <a14:compatExt spid="_x0000_s153771"/>
                  </a:ext>
                  <a:ext uri="{FF2B5EF4-FFF2-40B4-BE49-F238E27FC236}">
                    <a16:creationId xmlns:a16="http://schemas.microsoft.com/office/drawing/2014/main" id="{00000000-0008-0000-1700-0000AB58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772" name="Option Button 172" hidden="1">
                <a:extLst>
                  <a:ext uri="{63B3BB69-23CF-44E3-9099-C40C66FF867C}">
                    <a14:compatExt spid="_x0000_s153772"/>
                  </a:ext>
                  <a:ext uri="{FF2B5EF4-FFF2-40B4-BE49-F238E27FC236}">
                    <a16:creationId xmlns:a16="http://schemas.microsoft.com/office/drawing/2014/main" id="{00000000-0008-0000-1700-0000AC58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773" name="Option Button 173" hidden="1">
                <a:extLst>
                  <a:ext uri="{63B3BB69-23CF-44E3-9099-C40C66FF867C}">
                    <a14:compatExt spid="_x0000_s153773"/>
                  </a:ext>
                  <a:ext uri="{FF2B5EF4-FFF2-40B4-BE49-F238E27FC236}">
                    <a16:creationId xmlns:a16="http://schemas.microsoft.com/office/drawing/2014/main" id="{00000000-0008-0000-1700-0000AD58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774" name="Group Box 174" hidden="1">
                <a:extLst>
                  <a:ext uri="{63B3BB69-23CF-44E3-9099-C40C66FF867C}">
                    <a14:compatExt spid="_x0000_s153774"/>
                  </a:ext>
                  <a:ext uri="{FF2B5EF4-FFF2-40B4-BE49-F238E27FC236}">
                    <a16:creationId xmlns:a16="http://schemas.microsoft.com/office/drawing/2014/main" id="{00000000-0008-0000-1700-0000AE580200}"/>
                  </a:ext>
                </a:extLst>
              </xdr:cNvPr>
              <xdr:cNvSpPr/>
            </xdr:nvSpPr>
            <xdr:spPr bwMode="auto">
              <a:xfrm>
                <a:off x="2994664" y="2201916"/>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93</xdr:row>
      <xdr:rowOff>22860</xdr:rowOff>
    </xdr:from>
    <xdr:to>
      <xdr:col>9</xdr:col>
      <xdr:colOff>4503756</xdr:colOff>
      <xdr:row>94</xdr:row>
      <xdr:rowOff>0</xdr:rowOff>
    </xdr:to>
    <xdr:sp macro="" textlink="" fLocksText="0">
      <xdr:nvSpPr>
        <xdr:cNvPr id="153789" name="ZoneTexte 1">
          <a:extLst>
            <a:ext uri="{FF2B5EF4-FFF2-40B4-BE49-F238E27FC236}">
              <a16:creationId xmlns:a16="http://schemas.microsoft.com/office/drawing/2014/main" id="{00000000-0008-0000-1800-0000BD58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94</xdr:row>
      <xdr:rowOff>57150</xdr:rowOff>
    </xdr:from>
    <xdr:to>
      <xdr:col>9</xdr:col>
      <xdr:colOff>4451453</xdr:colOff>
      <xdr:row>95</xdr:row>
      <xdr:rowOff>0</xdr:rowOff>
    </xdr:to>
    <xdr:sp macro="" textlink="">
      <xdr:nvSpPr>
        <xdr:cNvPr id="153790" name="ZoneTexte 1">
          <a:extLst>
            <a:ext uri="{FF2B5EF4-FFF2-40B4-BE49-F238E27FC236}">
              <a16:creationId xmlns:a16="http://schemas.microsoft.com/office/drawing/2014/main" id="{00000000-0008-0000-1800-0000BE580200}"/>
            </a:ext>
          </a:extLst>
        </xdr:cNvPr>
        <xdr:cNvSpPr txBox="1">
          <a:spLocks noChangeArrowheads="1"/>
        </xdr:cNvSpPr>
      </xdr:nvSpPr>
      <xdr:spPr bwMode="auto">
        <a:xfrm>
          <a:off x="6894195" y="740625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95</xdr:row>
      <xdr:rowOff>15675</xdr:rowOff>
    </xdr:from>
    <xdr:to>
      <xdr:col>9</xdr:col>
      <xdr:colOff>4503756</xdr:colOff>
      <xdr:row>96</xdr:row>
      <xdr:rowOff>0</xdr:rowOff>
    </xdr:to>
    <xdr:sp macro="" textlink="" fLocksText="0">
      <xdr:nvSpPr>
        <xdr:cNvPr id="153802" name="ZoneTexte 1">
          <a:extLst>
            <a:ext uri="{FF2B5EF4-FFF2-40B4-BE49-F238E27FC236}">
              <a16:creationId xmlns:a16="http://schemas.microsoft.com/office/drawing/2014/main" id="{00000000-0008-0000-1800-0000CA58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153803" name="ZoneTexte 1">
          <a:extLst>
            <a:ext uri="{FF2B5EF4-FFF2-40B4-BE49-F238E27FC236}">
              <a16:creationId xmlns:a16="http://schemas.microsoft.com/office/drawing/2014/main" id="{00000000-0008-0000-1800-0000CB5802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53804" name="ZoneTexte 1">
          <a:extLst>
            <a:ext uri="{FF2B5EF4-FFF2-40B4-BE49-F238E27FC236}">
              <a16:creationId xmlns:a16="http://schemas.microsoft.com/office/drawing/2014/main" id="{00000000-0008-0000-1800-0000CC58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90</xdr:row>
      <xdr:rowOff>165251</xdr:rowOff>
    </xdr:from>
    <xdr:to>
      <xdr:col>5</xdr:col>
      <xdr:colOff>462364</xdr:colOff>
      <xdr:row>91</xdr:row>
      <xdr:rowOff>415621</xdr:rowOff>
    </xdr:to>
    <xdr:sp macro="" textlink="">
      <xdr:nvSpPr>
        <xdr:cNvPr id="153823" name="Ellipse 153822">
          <a:extLst>
            <a:ext uri="{FF2B5EF4-FFF2-40B4-BE49-F238E27FC236}">
              <a16:creationId xmlns:a16="http://schemas.microsoft.com/office/drawing/2014/main" id="{00000000-0008-0000-1800-0000DF58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153824" name="ZoneTexte 1">
          <a:extLst>
            <a:ext uri="{FF2B5EF4-FFF2-40B4-BE49-F238E27FC236}">
              <a16:creationId xmlns:a16="http://schemas.microsoft.com/office/drawing/2014/main" id="{00000000-0008-0000-1800-0000E05802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53825" name="ZoneTexte 1">
          <a:extLst>
            <a:ext uri="{FF2B5EF4-FFF2-40B4-BE49-F238E27FC236}">
              <a16:creationId xmlns:a16="http://schemas.microsoft.com/office/drawing/2014/main" id="{00000000-0008-0000-1800-0000E158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153838" name="ZoneTexte 1">
          <a:extLst>
            <a:ext uri="{FF2B5EF4-FFF2-40B4-BE49-F238E27FC236}">
              <a16:creationId xmlns:a16="http://schemas.microsoft.com/office/drawing/2014/main" id="{00000000-0008-0000-1800-0000EE58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153839" name="ZoneTexte 1">
          <a:extLst>
            <a:ext uri="{FF2B5EF4-FFF2-40B4-BE49-F238E27FC236}">
              <a16:creationId xmlns:a16="http://schemas.microsoft.com/office/drawing/2014/main" id="{00000000-0008-0000-1800-0000EF5802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153852" name="ZoneTexte 1">
          <a:extLst>
            <a:ext uri="{FF2B5EF4-FFF2-40B4-BE49-F238E27FC236}">
              <a16:creationId xmlns:a16="http://schemas.microsoft.com/office/drawing/2014/main" id="{00000000-0008-0000-1800-0000FC58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153853" name="ZoneTexte 1">
          <a:extLst>
            <a:ext uri="{FF2B5EF4-FFF2-40B4-BE49-F238E27FC236}">
              <a16:creationId xmlns:a16="http://schemas.microsoft.com/office/drawing/2014/main" id="{00000000-0008-0000-1800-0000FD5802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53854" name="ZoneTexte 1">
          <a:extLst>
            <a:ext uri="{FF2B5EF4-FFF2-40B4-BE49-F238E27FC236}">
              <a16:creationId xmlns:a16="http://schemas.microsoft.com/office/drawing/2014/main" id="{00000000-0008-0000-1800-0000FE58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153873" name="Ellipse 153872">
          <a:extLst>
            <a:ext uri="{FF2B5EF4-FFF2-40B4-BE49-F238E27FC236}">
              <a16:creationId xmlns:a16="http://schemas.microsoft.com/office/drawing/2014/main" id="{00000000-0008-0000-1800-00001159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53874" name="ZoneTexte 1">
          <a:extLst>
            <a:ext uri="{FF2B5EF4-FFF2-40B4-BE49-F238E27FC236}">
              <a16:creationId xmlns:a16="http://schemas.microsoft.com/office/drawing/2014/main" id="{00000000-0008-0000-1800-00001259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53875" name="ZoneTexte 1">
          <a:extLst>
            <a:ext uri="{FF2B5EF4-FFF2-40B4-BE49-F238E27FC236}">
              <a16:creationId xmlns:a16="http://schemas.microsoft.com/office/drawing/2014/main" id="{00000000-0008-0000-1800-00001359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1645138</xdr:rowOff>
        </xdr:from>
        <xdr:to>
          <xdr:col>8</xdr:col>
          <xdr:colOff>0</xdr:colOff>
          <xdr:row>49</xdr:row>
          <xdr:rowOff>0</xdr:rowOff>
        </xdr:to>
        <xdr:grpSp>
          <xdr:nvGrpSpPr>
            <xdr:cNvPr id="153888" name="Groupe 153887">
              <a:extLst>
                <a:ext uri="{FF2B5EF4-FFF2-40B4-BE49-F238E27FC236}">
                  <a16:creationId xmlns:a16="http://schemas.microsoft.com/office/drawing/2014/main" id="{00000000-0008-0000-1800-000020590200}"/>
                </a:ext>
              </a:extLst>
            </xdr:cNvPr>
            <xdr:cNvGrpSpPr/>
          </xdr:nvGrpSpPr>
          <xdr:grpSpPr>
            <a:xfrm>
              <a:off x="3696269" y="30646631"/>
              <a:ext cx="1956179" cy="1527966"/>
              <a:chOff x="2994710" y="2201909"/>
              <a:chExt cx="1960968" cy="1646925"/>
            </a:xfrm>
          </xdr:grpSpPr>
          <xdr:sp macro="" textlink="">
            <xdr:nvSpPr>
              <xdr:cNvPr id="153845" name="Option Button 245" descr="Case d'option 47" hidden="1">
                <a:extLst>
                  <a:ext uri="{63B3BB69-23CF-44E3-9099-C40C66FF867C}">
                    <a14:compatExt spid="_x0000_s153845"/>
                  </a:ext>
                  <a:ext uri="{FF2B5EF4-FFF2-40B4-BE49-F238E27FC236}">
                    <a16:creationId xmlns:a16="http://schemas.microsoft.com/office/drawing/2014/main" id="{00000000-0008-0000-1700-0000F5580200}"/>
                  </a:ext>
                </a:extLst>
              </xdr:cNvPr>
              <xdr:cNvSpPr/>
            </xdr:nvSpPr>
            <xdr:spPr bwMode="auto">
              <a:xfrm>
                <a:off x="3102128" y="2270497"/>
                <a:ext cx="1394459"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3846" name="Option Button 246" hidden="1">
                <a:extLst>
                  <a:ext uri="{63B3BB69-23CF-44E3-9099-C40C66FF867C}">
                    <a14:compatExt spid="_x0000_s153846"/>
                  </a:ext>
                  <a:ext uri="{FF2B5EF4-FFF2-40B4-BE49-F238E27FC236}">
                    <a16:creationId xmlns:a16="http://schemas.microsoft.com/office/drawing/2014/main" id="{00000000-0008-0000-1700-0000F6580200}"/>
                  </a:ext>
                </a:extLst>
              </xdr:cNvPr>
              <xdr:cNvSpPr/>
            </xdr:nvSpPr>
            <xdr:spPr bwMode="auto">
              <a:xfrm>
                <a:off x="3102128" y="2506718"/>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3847" name="Option Button 247" hidden="1">
                <a:extLst>
                  <a:ext uri="{63B3BB69-23CF-44E3-9099-C40C66FF867C}">
                    <a14:compatExt spid="_x0000_s153847"/>
                  </a:ext>
                  <a:ext uri="{FF2B5EF4-FFF2-40B4-BE49-F238E27FC236}">
                    <a16:creationId xmlns:a16="http://schemas.microsoft.com/office/drawing/2014/main" id="{00000000-0008-0000-1700-0000F7580200}"/>
                  </a:ext>
                </a:extLst>
              </xdr:cNvPr>
              <xdr:cNvSpPr/>
            </xdr:nvSpPr>
            <xdr:spPr bwMode="auto">
              <a:xfrm>
                <a:off x="3102128" y="2781037"/>
                <a:ext cx="1853500" cy="1752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3848" name="Option Button 248" hidden="1">
                <a:extLst>
                  <a:ext uri="{63B3BB69-23CF-44E3-9099-C40C66FF867C}">
                    <a14:compatExt spid="_x0000_s153848"/>
                  </a:ext>
                  <a:ext uri="{FF2B5EF4-FFF2-40B4-BE49-F238E27FC236}">
                    <a16:creationId xmlns:a16="http://schemas.microsoft.com/office/drawing/2014/main" id="{00000000-0008-0000-1700-0000F8580200}"/>
                  </a:ext>
                </a:extLst>
              </xdr:cNvPr>
              <xdr:cNvSpPr/>
            </xdr:nvSpPr>
            <xdr:spPr bwMode="auto">
              <a:xfrm>
                <a:off x="3102128" y="3024876"/>
                <a:ext cx="830580" cy="1828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3849" name="Group Box 249" hidden="1">
                <a:extLst>
                  <a:ext uri="{63B3BB69-23CF-44E3-9099-C40C66FF867C}">
                    <a14:compatExt spid="_x0000_s153849"/>
                  </a:ext>
                  <a:ext uri="{FF2B5EF4-FFF2-40B4-BE49-F238E27FC236}">
                    <a16:creationId xmlns:a16="http://schemas.microsoft.com/office/drawing/2014/main" id="{00000000-0008-0000-1700-0000F9580200}"/>
                  </a:ext>
                </a:extLst>
              </xdr:cNvPr>
              <xdr:cNvSpPr/>
            </xdr:nvSpPr>
            <xdr:spPr bwMode="auto">
              <a:xfrm>
                <a:off x="2994710" y="2201909"/>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22746</xdr:colOff>
      <xdr:row>12</xdr:row>
      <xdr:rowOff>22746</xdr:rowOff>
    </xdr:from>
    <xdr:to>
      <xdr:col>9</xdr:col>
      <xdr:colOff>4571656</xdr:colOff>
      <xdr:row>12</xdr:row>
      <xdr:rowOff>1627565</xdr:rowOff>
    </xdr:to>
    <xdr:sp macro="" textlink="" fLocksText="0">
      <xdr:nvSpPr>
        <xdr:cNvPr id="27" name="ZoneTexte 26">
          <a:extLst>
            <a:ext uri="{FF2B5EF4-FFF2-40B4-BE49-F238E27FC236}">
              <a16:creationId xmlns:a16="http://schemas.microsoft.com/office/drawing/2014/main" id="{1F0C0D02-2001-4308-B601-B637D1B76CDA}"/>
            </a:ext>
          </a:extLst>
        </xdr:cNvPr>
        <xdr:cNvSpPr txBox="1">
          <a:spLocks noChangeArrowheads="1"/>
        </xdr:cNvSpPr>
      </xdr:nvSpPr>
      <xdr:spPr bwMode="auto">
        <a:xfrm>
          <a:off x="6892119" y="503829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46" name="ZoneTexte 45">
          <a:extLst>
            <a:ext uri="{FF2B5EF4-FFF2-40B4-BE49-F238E27FC236}">
              <a16:creationId xmlns:a16="http://schemas.microsoft.com/office/drawing/2014/main" id="{E000E93E-B2DC-4F6C-96E1-6E315340AAA5}"/>
            </a:ext>
          </a:extLst>
        </xdr:cNvPr>
        <xdr:cNvSpPr txBox="1">
          <a:spLocks noChangeArrowheads="1"/>
        </xdr:cNvSpPr>
      </xdr:nvSpPr>
      <xdr:spPr bwMode="auto">
        <a:xfrm>
          <a:off x="6892119" y="17093821"/>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1627565</xdr:rowOff>
    </xdr:to>
    <xdr:sp macro="" textlink="" fLocksText="0">
      <xdr:nvSpPr>
        <xdr:cNvPr id="47" name="ZoneTexte 46">
          <a:extLst>
            <a:ext uri="{FF2B5EF4-FFF2-40B4-BE49-F238E27FC236}">
              <a16:creationId xmlns:a16="http://schemas.microsoft.com/office/drawing/2014/main" id="{B539B110-E792-4034-91E5-4F161CA531D4}"/>
            </a:ext>
          </a:extLst>
        </xdr:cNvPr>
        <xdr:cNvSpPr txBox="1">
          <a:spLocks noChangeArrowheads="1"/>
        </xdr:cNvSpPr>
      </xdr:nvSpPr>
      <xdr:spPr bwMode="auto">
        <a:xfrm>
          <a:off x="6892119" y="24202030"/>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49" name="ZoneTexte 48">
          <a:extLst>
            <a:ext uri="{FF2B5EF4-FFF2-40B4-BE49-F238E27FC236}">
              <a16:creationId xmlns:a16="http://schemas.microsoft.com/office/drawing/2014/main" id="{33547B6E-5781-4009-B2F6-9969EC53FA29}"/>
            </a:ext>
          </a:extLst>
        </xdr:cNvPr>
        <xdr:cNvSpPr txBox="1">
          <a:spLocks noChangeArrowheads="1"/>
        </xdr:cNvSpPr>
      </xdr:nvSpPr>
      <xdr:spPr bwMode="auto">
        <a:xfrm>
          <a:off x="6892119" y="3600734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78</xdr:row>
      <xdr:rowOff>22746</xdr:rowOff>
    </xdr:from>
    <xdr:to>
      <xdr:col>9</xdr:col>
      <xdr:colOff>4571656</xdr:colOff>
      <xdr:row>78</xdr:row>
      <xdr:rowOff>1627565</xdr:rowOff>
    </xdr:to>
    <xdr:sp macro="" textlink="" fLocksText="0">
      <xdr:nvSpPr>
        <xdr:cNvPr id="153698" name="ZoneTexte 153697">
          <a:extLst>
            <a:ext uri="{FF2B5EF4-FFF2-40B4-BE49-F238E27FC236}">
              <a16:creationId xmlns:a16="http://schemas.microsoft.com/office/drawing/2014/main" id="{F25B4EC8-C0AE-44B4-87B8-BE025B96E849}"/>
            </a:ext>
          </a:extLst>
        </xdr:cNvPr>
        <xdr:cNvSpPr txBox="1">
          <a:spLocks noChangeArrowheads="1"/>
        </xdr:cNvSpPr>
      </xdr:nvSpPr>
      <xdr:spPr bwMode="auto">
        <a:xfrm>
          <a:off x="6892119" y="43434000"/>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1028700</xdr:colOff>
      <xdr:row>21</xdr:row>
      <xdr:rowOff>165100</xdr:rowOff>
    </xdr:from>
    <xdr:to>
      <xdr:col>6</xdr:col>
      <xdr:colOff>4092575</xdr:colOff>
      <xdr:row>22</xdr:row>
      <xdr:rowOff>202622</xdr:rowOff>
    </xdr:to>
    <xdr:sp macro="[0]!CalculMaturiteVF" textlink="">
      <xdr:nvSpPr>
        <xdr:cNvPr id="2" name="Rectangle : coins arrondis 1">
          <a:extLst>
            <a:ext uri="{FF2B5EF4-FFF2-40B4-BE49-F238E27FC236}">
              <a16:creationId xmlns:a16="http://schemas.microsoft.com/office/drawing/2014/main" id="{00000000-0008-0000-1900-000002000000}"/>
            </a:ext>
          </a:extLst>
        </xdr:cNvPr>
        <xdr:cNvSpPr/>
      </xdr:nvSpPr>
      <xdr:spPr>
        <a:xfrm>
          <a:off x="3581400" y="8432800"/>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A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A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A00-000005000000}"/>
                </a:ext>
              </a:extLst>
            </xdr:cNvPr>
            <xdr:cNvGrpSpPr/>
          </xdr:nvGrpSpPr>
          <xdr:grpSpPr>
            <a:xfrm>
              <a:off x="3696269" y="5083791"/>
              <a:ext cx="1956179" cy="1649105"/>
              <a:chOff x="2995478" y="3846823"/>
              <a:chExt cx="1960181" cy="1644869"/>
            </a:xfrm>
          </xdr:grpSpPr>
          <xdr:sp macro="" textlink="">
            <xdr:nvSpPr>
              <xdr:cNvPr id="158721" name="Option Button 1" hidden="1">
                <a:extLst>
                  <a:ext uri="{63B3BB69-23CF-44E3-9099-C40C66FF867C}">
                    <a14:compatExt spid="_x0000_s158721"/>
                  </a:ext>
                  <a:ext uri="{FF2B5EF4-FFF2-40B4-BE49-F238E27FC236}">
                    <a16:creationId xmlns:a16="http://schemas.microsoft.com/office/drawing/2014/main" id="{00000000-0008-0000-1900-000001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22" name="Option Button 2" hidden="1">
                <a:extLst>
                  <a:ext uri="{63B3BB69-23CF-44E3-9099-C40C66FF867C}">
                    <a14:compatExt spid="_x0000_s158722"/>
                  </a:ext>
                  <a:ext uri="{FF2B5EF4-FFF2-40B4-BE49-F238E27FC236}">
                    <a16:creationId xmlns:a16="http://schemas.microsoft.com/office/drawing/2014/main" id="{00000000-0008-0000-1900-000002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23" name="Option Button 3" hidden="1">
                <a:extLst>
                  <a:ext uri="{63B3BB69-23CF-44E3-9099-C40C66FF867C}">
                    <a14:compatExt spid="_x0000_s158723"/>
                  </a:ext>
                  <a:ext uri="{FF2B5EF4-FFF2-40B4-BE49-F238E27FC236}">
                    <a16:creationId xmlns:a16="http://schemas.microsoft.com/office/drawing/2014/main" id="{00000000-0008-0000-1900-000003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24" name="Option Button 4" hidden="1">
                <a:extLst>
                  <a:ext uri="{63B3BB69-23CF-44E3-9099-C40C66FF867C}">
                    <a14:compatExt spid="_x0000_s158724"/>
                  </a:ext>
                  <a:ext uri="{FF2B5EF4-FFF2-40B4-BE49-F238E27FC236}">
                    <a16:creationId xmlns:a16="http://schemas.microsoft.com/office/drawing/2014/main" id="{00000000-0008-0000-1900-000004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25" name="Group Box 5" hidden="1">
                <a:extLst>
                  <a:ext uri="{63B3BB69-23CF-44E3-9099-C40C66FF867C}">
                    <a14:compatExt spid="_x0000_s158725"/>
                  </a:ext>
                  <a:ext uri="{FF2B5EF4-FFF2-40B4-BE49-F238E27FC236}">
                    <a16:creationId xmlns:a16="http://schemas.microsoft.com/office/drawing/2014/main" id="{00000000-0008-0000-1900-0000056C0200}"/>
                  </a:ext>
                </a:extLst>
              </xdr:cNvPr>
              <xdr:cNvSpPr/>
            </xdr:nvSpPr>
            <xdr:spPr bwMode="auto">
              <a:xfrm>
                <a:off x="2995478" y="384682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A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A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A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A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8</xdr:col>
          <xdr:colOff>0</xdr:colOff>
          <xdr:row>17</xdr:row>
          <xdr:rowOff>0</xdr:rowOff>
        </xdr:to>
        <xdr:sp macro="" textlink="">
          <xdr:nvSpPr>
            <xdr:cNvPr id="158726" name="Group Box 6" hidden="1">
              <a:extLst>
                <a:ext uri="{63B3BB69-23CF-44E3-9099-C40C66FF867C}">
                  <a14:compatExt spid="_x0000_s158726"/>
                </a:ext>
                <a:ext uri="{FF2B5EF4-FFF2-40B4-BE49-F238E27FC236}">
                  <a16:creationId xmlns:a16="http://schemas.microsoft.com/office/drawing/2014/main" id="{00000000-0008-0000-1900-0000066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A00-00000A000000}"/>
                </a:ext>
              </a:extLst>
            </xdr:cNvPr>
            <xdr:cNvGrpSpPr/>
          </xdr:nvGrpSpPr>
          <xdr:grpSpPr>
            <a:xfrm>
              <a:off x="3696269" y="3366450"/>
              <a:ext cx="1957768" cy="1719399"/>
              <a:chOff x="3693194" y="3303838"/>
              <a:chExt cx="1959431" cy="1648420"/>
            </a:xfrm>
          </xdr:grpSpPr>
          <xdr:sp macro="" textlink="">
            <xdr:nvSpPr>
              <xdr:cNvPr id="158727" name="Group Box 7" hidden="1">
                <a:extLst>
                  <a:ext uri="{63B3BB69-23CF-44E3-9099-C40C66FF867C}">
                    <a14:compatExt spid="_x0000_s158727"/>
                  </a:ext>
                  <a:ext uri="{FF2B5EF4-FFF2-40B4-BE49-F238E27FC236}">
                    <a16:creationId xmlns:a16="http://schemas.microsoft.com/office/drawing/2014/main" id="{00000000-0008-0000-1900-0000076C0200}"/>
                  </a:ext>
                </a:extLst>
              </xdr:cNvPr>
              <xdr:cNvSpPr/>
            </xdr:nvSpPr>
            <xdr:spPr bwMode="auto">
              <a:xfrm>
                <a:off x="3693194" y="3303838"/>
                <a:ext cx="1959426" cy="1648420"/>
              </a:xfrm>
              <a:prstGeom prst="rect">
                <a:avLst/>
              </a:prstGeom>
              <a:noFill/>
              <a:ln w="9525">
                <a:miter lim="800000"/>
                <a:headEnd/>
                <a:tailEnd/>
              </a:ln>
              <a:extLst>
                <a:ext uri="{909E8E84-426E-40DD-AFC4-6F175D3DCCD1}">
                  <a14:hiddenFill>
                    <a:noFill/>
                  </a14:hiddenFill>
                </a:ext>
              </a:extLst>
            </xdr:spPr>
          </xdr:sp>
          <xdr:sp macro="" textlink="">
            <xdr:nvSpPr>
              <xdr:cNvPr id="158728" name="Option Button 8" descr="Case d'option 47" hidden="1">
                <a:extLst>
                  <a:ext uri="{63B3BB69-23CF-44E3-9099-C40C66FF867C}">
                    <a14:compatExt spid="_x0000_s158728"/>
                  </a:ext>
                  <a:ext uri="{FF2B5EF4-FFF2-40B4-BE49-F238E27FC236}">
                    <a16:creationId xmlns:a16="http://schemas.microsoft.com/office/drawing/2014/main" id="{00000000-0008-0000-1900-0000086C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29" name="Option Button 9" hidden="1">
                <a:extLst>
                  <a:ext uri="{63B3BB69-23CF-44E3-9099-C40C66FF867C}">
                    <a14:compatExt spid="_x0000_s158729"/>
                  </a:ext>
                  <a:ext uri="{FF2B5EF4-FFF2-40B4-BE49-F238E27FC236}">
                    <a16:creationId xmlns:a16="http://schemas.microsoft.com/office/drawing/2014/main" id="{00000000-0008-0000-1900-0000096C02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30" name="Option Button 10" hidden="1">
                <a:extLst>
                  <a:ext uri="{63B3BB69-23CF-44E3-9099-C40C66FF867C}">
                    <a14:compatExt spid="_x0000_s158730"/>
                  </a:ext>
                  <a:ext uri="{FF2B5EF4-FFF2-40B4-BE49-F238E27FC236}">
                    <a16:creationId xmlns:a16="http://schemas.microsoft.com/office/drawing/2014/main" id="{00000000-0008-0000-1900-00000A6C02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31" name="Option Button 11" hidden="1">
                <a:extLst>
                  <a:ext uri="{63B3BB69-23CF-44E3-9099-C40C66FF867C}">
                    <a14:compatExt spid="_x0000_s158731"/>
                  </a:ext>
                  <a:ext uri="{FF2B5EF4-FFF2-40B4-BE49-F238E27FC236}">
                    <a16:creationId xmlns:a16="http://schemas.microsoft.com/office/drawing/2014/main" id="{00000000-0008-0000-1900-00000B6C02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16</xdr:row>
          <xdr:rowOff>0</xdr:rowOff>
        </xdr:from>
        <xdr:to>
          <xdr:col>8</xdr:col>
          <xdr:colOff>2200</xdr:colOff>
          <xdr:row>17</xdr:row>
          <xdr:rowOff>344</xdr:rowOff>
        </xdr:to>
        <xdr:grpSp>
          <xdr:nvGrpSpPr>
            <xdr:cNvPr id="12" name="Groupe 11">
              <a:extLst>
                <a:ext uri="{FF2B5EF4-FFF2-40B4-BE49-F238E27FC236}">
                  <a16:creationId xmlns:a16="http://schemas.microsoft.com/office/drawing/2014/main" id="{00000000-0008-0000-1A00-00000C000000}"/>
                </a:ext>
              </a:extLst>
            </xdr:cNvPr>
            <xdr:cNvGrpSpPr/>
          </xdr:nvGrpSpPr>
          <xdr:grpSpPr>
            <a:xfrm>
              <a:off x="3697726" y="11680209"/>
              <a:ext cx="1956922" cy="1649104"/>
              <a:chOff x="2994653" y="2234195"/>
              <a:chExt cx="1960975" cy="1614639"/>
            </a:xfrm>
          </xdr:grpSpPr>
          <xdr:sp macro="" textlink="">
            <xdr:nvSpPr>
              <xdr:cNvPr id="158737" name="Option Button 17" descr="Case d'option 47" hidden="1">
                <a:extLst>
                  <a:ext uri="{63B3BB69-23CF-44E3-9099-C40C66FF867C}">
                    <a14:compatExt spid="_x0000_s158737"/>
                  </a:ext>
                  <a:ext uri="{FF2B5EF4-FFF2-40B4-BE49-F238E27FC236}">
                    <a16:creationId xmlns:a16="http://schemas.microsoft.com/office/drawing/2014/main" id="{00000000-0008-0000-1900-000011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38" name="Option Button 18" hidden="1">
                <a:extLst>
                  <a:ext uri="{63B3BB69-23CF-44E3-9099-C40C66FF867C}">
                    <a14:compatExt spid="_x0000_s158738"/>
                  </a:ext>
                  <a:ext uri="{FF2B5EF4-FFF2-40B4-BE49-F238E27FC236}">
                    <a16:creationId xmlns:a16="http://schemas.microsoft.com/office/drawing/2014/main" id="{00000000-0008-0000-1900-000012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39" name="Option Button 19" hidden="1">
                <a:extLst>
                  <a:ext uri="{63B3BB69-23CF-44E3-9099-C40C66FF867C}">
                    <a14:compatExt spid="_x0000_s158739"/>
                  </a:ext>
                  <a:ext uri="{FF2B5EF4-FFF2-40B4-BE49-F238E27FC236}">
                    <a16:creationId xmlns:a16="http://schemas.microsoft.com/office/drawing/2014/main" id="{00000000-0008-0000-1900-000013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40" name="Option Button 20" hidden="1">
                <a:extLst>
                  <a:ext uri="{63B3BB69-23CF-44E3-9099-C40C66FF867C}">
                    <a14:compatExt spid="_x0000_s158740"/>
                  </a:ext>
                  <a:ext uri="{FF2B5EF4-FFF2-40B4-BE49-F238E27FC236}">
                    <a16:creationId xmlns:a16="http://schemas.microsoft.com/office/drawing/2014/main" id="{00000000-0008-0000-1900-000014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41" name="Group Box 21" hidden="1">
                <a:extLst>
                  <a:ext uri="{63B3BB69-23CF-44E3-9099-C40C66FF867C}">
                    <a14:compatExt spid="_x0000_s158741"/>
                  </a:ext>
                  <a:ext uri="{FF2B5EF4-FFF2-40B4-BE49-F238E27FC236}">
                    <a16:creationId xmlns:a16="http://schemas.microsoft.com/office/drawing/2014/main" id="{00000000-0008-0000-1900-0000156C0200}"/>
                  </a:ext>
                </a:extLst>
              </xdr:cNvPr>
              <xdr:cNvSpPr/>
            </xdr:nvSpPr>
            <xdr:spPr bwMode="auto">
              <a:xfrm>
                <a:off x="2994653" y="2234195"/>
                <a:ext cx="1960970" cy="161463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1A00-00000D000000}"/>
                </a:ext>
              </a:extLst>
            </xdr:cNvPr>
            <xdr:cNvGrpSpPr/>
          </xdr:nvGrpSpPr>
          <xdr:grpSpPr>
            <a:xfrm>
              <a:off x="3696269" y="10031108"/>
              <a:ext cx="1956179" cy="1649102"/>
              <a:chOff x="2995478" y="3846797"/>
              <a:chExt cx="1960181" cy="1673558"/>
            </a:xfrm>
          </xdr:grpSpPr>
          <xdr:sp macro="" textlink="">
            <xdr:nvSpPr>
              <xdr:cNvPr id="158742" name="Option Button 22" hidden="1">
                <a:extLst>
                  <a:ext uri="{63B3BB69-23CF-44E3-9099-C40C66FF867C}">
                    <a14:compatExt spid="_x0000_s158742"/>
                  </a:ext>
                  <a:ext uri="{FF2B5EF4-FFF2-40B4-BE49-F238E27FC236}">
                    <a16:creationId xmlns:a16="http://schemas.microsoft.com/office/drawing/2014/main" id="{00000000-0008-0000-1900-0000166C02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43" name="Option Button 23" hidden="1">
                <a:extLst>
                  <a:ext uri="{63B3BB69-23CF-44E3-9099-C40C66FF867C}">
                    <a14:compatExt spid="_x0000_s158743"/>
                  </a:ext>
                  <a:ext uri="{FF2B5EF4-FFF2-40B4-BE49-F238E27FC236}">
                    <a16:creationId xmlns:a16="http://schemas.microsoft.com/office/drawing/2014/main" id="{00000000-0008-0000-1900-0000176C0200}"/>
                  </a:ext>
                </a:extLst>
              </xdr:cNvPr>
              <xdr:cNvSpPr/>
            </xdr:nvSpPr>
            <xdr:spPr bwMode="auto">
              <a:xfrm>
                <a:off x="3109748" y="4243025"/>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44" name="Option Button 24" hidden="1">
                <a:extLst>
                  <a:ext uri="{63B3BB69-23CF-44E3-9099-C40C66FF867C}">
                    <a14:compatExt spid="_x0000_s158744"/>
                  </a:ext>
                  <a:ext uri="{FF2B5EF4-FFF2-40B4-BE49-F238E27FC236}">
                    <a16:creationId xmlns:a16="http://schemas.microsoft.com/office/drawing/2014/main" id="{00000000-0008-0000-1900-0000186C0200}"/>
                  </a:ext>
                </a:extLst>
              </xdr:cNvPr>
              <xdr:cNvSpPr/>
            </xdr:nvSpPr>
            <xdr:spPr bwMode="auto">
              <a:xfrm>
                <a:off x="3109748" y="448686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45" name="Option Button 25" hidden="1">
                <a:extLst>
                  <a:ext uri="{63B3BB69-23CF-44E3-9099-C40C66FF867C}">
                    <a14:compatExt spid="_x0000_s158745"/>
                  </a:ext>
                  <a:ext uri="{FF2B5EF4-FFF2-40B4-BE49-F238E27FC236}">
                    <a16:creationId xmlns:a16="http://schemas.microsoft.com/office/drawing/2014/main" id="{00000000-0008-0000-1900-0000196C0200}"/>
                  </a:ext>
                </a:extLst>
              </xdr:cNvPr>
              <xdr:cNvSpPr/>
            </xdr:nvSpPr>
            <xdr:spPr bwMode="auto">
              <a:xfrm>
                <a:off x="3109748" y="4768808"/>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46" name="Group Box 26" hidden="1">
                <a:extLst>
                  <a:ext uri="{63B3BB69-23CF-44E3-9099-C40C66FF867C}">
                    <a14:compatExt spid="_x0000_s158746"/>
                  </a:ext>
                  <a:ext uri="{FF2B5EF4-FFF2-40B4-BE49-F238E27FC236}">
                    <a16:creationId xmlns:a16="http://schemas.microsoft.com/office/drawing/2014/main" id="{00000000-0008-0000-1900-00001A6C0200}"/>
                  </a:ext>
                </a:extLst>
              </xdr:cNvPr>
              <xdr:cNvSpPr/>
            </xdr:nvSpPr>
            <xdr:spPr bwMode="auto">
              <a:xfrm>
                <a:off x="2995478" y="3846797"/>
                <a:ext cx="1960181" cy="167355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1A00-00000E000000}"/>
                </a:ext>
              </a:extLst>
            </xdr:cNvPr>
            <xdr:cNvGrpSpPr/>
          </xdr:nvGrpSpPr>
          <xdr:grpSpPr>
            <a:xfrm>
              <a:off x="3696269" y="8382000"/>
              <a:ext cx="1956179" cy="1651162"/>
              <a:chOff x="2991506" y="2201918"/>
              <a:chExt cx="1964147" cy="1646925"/>
            </a:xfrm>
            <a:solidFill>
              <a:schemeClr val="accent1"/>
            </a:solidFill>
          </xdr:grpSpPr>
          <xdr:sp macro="" textlink="">
            <xdr:nvSpPr>
              <xdr:cNvPr id="158747" name="Option Button 27" descr="Case d'option 47" hidden="1">
                <a:extLst>
                  <a:ext uri="{63B3BB69-23CF-44E3-9099-C40C66FF867C}">
                    <a14:compatExt spid="_x0000_s158747"/>
                  </a:ext>
                  <a:ext uri="{FF2B5EF4-FFF2-40B4-BE49-F238E27FC236}">
                    <a16:creationId xmlns:a16="http://schemas.microsoft.com/office/drawing/2014/main" id="{00000000-0008-0000-1900-00001B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48" name="Option Button 28" hidden="1">
                <a:extLst>
                  <a:ext uri="{63B3BB69-23CF-44E3-9099-C40C66FF867C}">
                    <a14:compatExt spid="_x0000_s158748"/>
                  </a:ext>
                  <a:ext uri="{FF2B5EF4-FFF2-40B4-BE49-F238E27FC236}">
                    <a16:creationId xmlns:a16="http://schemas.microsoft.com/office/drawing/2014/main" id="{00000000-0008-0000-1900-00001C6C02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49" name="Option Button 29" hidden="1">
                <a:extLst>
                  <a:ext uri="{63B3BB69-23CF-44E3-9099-C40C66FF867C}">
                    <a14:compatExt spid="_x0000_s158749"/>
                  </a:ext>
                  <a:ext uri="{FF2B5EF4-FFF2-40B4-BE49-F238E27FC236}">
                    <a16:creationId xmlns:a16="http://schemas.microsoft.com/office/drawing/2014/main" id="{00000000-0008-0000-1900-00001D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50" name="Option Button 30" hidden="1">
                <a:extLst>
                  <a:ext uri="{63B3BB69-23CF-44E3-9099-C40C66FF867C}">
                    <a14:compatExt spid="_x0000_s158750"/>
                  </a:ext>
                  <a:ext uri="{FF2B5EF4-FFF2-40B4-BE49-F238E27FC236}">
                    <a16:creationId xmlns:a16="http://schemas.microsoft.com/office/drawing/2014/main" id="{00000000-0008-0000-1900-00001E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51" name="Group Box 31" hidden="1">
                <a:extLst>
                  <a:ext uri="{63B3BB69-23CF-44E3-9099-C40C66FF867C}">
                    <a14:compatExt spid="_x0000_s158751"/>
                  </a:ext>
                  <a:ext uri="{FF2B5EF4-FFF2-40B4-BE49-F238E27FC236}">
                    <a16:creationId xmlns:a16="http://schemas.microsoft.com/office/drawing/2014/main" id="{00000000-0008-0000-1900-00001F6C0200}"/>
                  </a:ext>
                </a:extLst>
              </xdr:cNvPr>
              <xdr:cNvSpPr/>
            </xdr:nvSpPr>
            <xdr:spPr bwMode="auto">
              <a:xfrm>
                <a:off x="2991506" y="2201918"/>
                <a:ext cx="196414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1A00-00000F000000}"/>
                </a:ext>
              </a:extLst>
            </xdr:cNvPr>
            <xdr:cNvGrpSpPr/>
          </xdr:nvGrpSpPr>
          <xdr:grpSpPr>
            <a:xfrm>
              <a:off x="3696269" y="6732896"/>
              <a:ext cx="1956179" cy="1649104"/>
              <a:chOff x="2994708" y="2201922"/>
              <a:chExt cx="1960968" cy="1646929"/>
            </a:xfrm>
          </xdr:grpSpPr>
          <xdr:sp macro="" textlink="">
            <xdr:nvSpPr>
              <xdr:cNvPr id="158752" name="Option Button 32" descr="Case d'option 47" hidden="1">
                <a:extLst>
                  <a:ext uri="{63B3BB69-23CF-44E3-9099-C40C66FF867C}">
                    <a14:compatExt spid="_x0000_s158752"/>
                  </a:ext>
                  <a:ext uri="{FF2B5EF4-FFF2-40B4-BE49-F238E27FC236}">
                    <a16:creationId xmlns:a16="http://schemas.microsoft.com/office/drawing/2014/main" id="{00000000-0008-0000-1900-000020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53" name="Option Button 33" hidden="1">
                <a:extLst>
                  <a:ext uri="{63B3BB69-23CF-44E3-9099-C40C66FF867C}">
                    <a14:compatExt spid="_x0000_s158753"/>
                  </a:ext>
                  <a:ext uri="{FF2B5EF4-FFF2-40B4-BE49-F238E27FC236}">
                    <a16:creationId xmlns:a16="http://schemas.microsoft.com/office/drawing/2014/main" id="{00000000-0008-0000-1900-000021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54" name="Option Button 34" hidden="1">
                <a:extLst>
                  <a:ext uri="{63B3BB69-23CF-44E3-9099-C40C66FF867C}">
                    <a14:compatExt spid="_x0000_s158754"/>
                  </a:ext>
                  <a:ext uri="{FF2B5EF4-FFF2-40B4-BE49-F238E27FC236}">
                    <a16:creationId xmlns:a16="http://schemas.microsoft.com/office/drawing/2014/main" id="{00000000-0008-0000-1900-0000226C0200}"/>
                  </a:ext>
                </a:extLst>
              </xdr:cNvPr>
              <xdr:cNvSpPr/>
            </xdr:nvSpPr>
            <xdr:spPr bwMode="auto">
              <a:xfrm>
                <a:off x="3102128" y="2781036"/>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55" name="Option Button 35" hidden="1">
                <a:extLst>
                  <a:ext uri="{63B3BB69-23CF-44E3-9099-C40C66FF867C}">
                    <a14:compatExt spid="_x0000_s158755"/>
                  </a:ext>
                  <a:ext uri="{FF2B5EF4-FFF2-40B4-BE49-F238E27FC236}">
                    <a16:creationId xmlns:a16="http://schemas.microsoft.com/office/drawing/2014/main" id="{00000000-0008-0000-1900-000023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56" name="Group Box 36" hidden="1">
                <a:extLst>
                  <a:ext uri="{63B3BB69-23CF-44E3-9099-C40C66FF867C}">
                    <a14:compatExt spid="_x0000_s158756"/>
                  </a:ext>
                  <a:ext uri="{FF2B5EF4-FFF2-40B4-BE49-F238E27FC236}">
                    <a16:creationId xmlns:a16="http://schemas.microsoft.com/office/drawing/2014/main" id="{00000000-0008-0000-1900-0000246C0200}"/>
                  </a:ext>
                </a:extLst>
              </xdr:cNvPr>
              <xdr:cNvSpPr/>
            </xdr:nvSpPr>
            <xdr:spPr bwMode="auto">
              <a:xfrm>
                <a:off x="2994708" y="2201922"/>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A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A00-000012000000}"/>
                </a:ext>
              </a:extLst>
            </xdr:cNvPr>
            <xdr:cNvGrpSpPr/>
          </xdr:nvGrpSpPr>
          <xdr:grpSpPr>
            <a:xfrm>
              <a:off x="3696269" y="17196179"/>
              <a:ext cx="1956179" cy="1649105"/>
              <a:chOff x="2995478" y="3846820"/>
              <a:chExt cx="1960181" cy="1644869"/>
            </a:xfrm>
          </xdr:grpSpPr>
          <xdr:sp macro="" textlink="">
            <xdr:nvSpPr>
              <xdr:cNvPr id="158757" name="Option Button 37" hidden="1">
                <a:extLst>
                  <a:ext uri="{63B3BB69-23CF-44E3-9099-C40C66FF867C}">
                    <a14:compatExt spid="_x0000_s158757"/>
                  </a:ext>
                  <a:ext uri="{FF2B5EF4-FFF2-40B4-BE49-F238E27FC236}">
                    <a16:creationId xmlns:a16="http://schemas.microsoft.com/office/drawing/2014/main" id="{00000000-0008-0000-1900-000025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58" name="Option Button 38" hidden="1">
                <a:extLst>
                  <a:ext uri="{63B3BB69-23CF-44E3-9099-C40C66FF867C}">
                    <a14:compatExt spid="_x0000_s158758"/>
                  </a:ext>
                  <a:ext uri="{FF2B5EF4-FFF2-40B4-BE49-F238E27FC236}">
                    <a16:creationId xmlns:a16="http://schemas.microsoft.com/office/drawing/2014/main" id="{00000000-0008-0000-1900-000026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59" name="Option Button 39" hidden="1">
                <a:extLst>
                  <a:ext uri="{63B3BB69-23CF-44E3-9099-C40C66FF867C}">
                    <a14:compatExt spid="_x0000_s158759"/>
                  </a:ext>
                  <a:ext uri="{FF2B5EF4-FFF2-40B4-BE49-F238E27FC236}">
                    <a16:creationId xmlns:a16="http://schemas.microsoft.com/office/drawing/2014/main" id="{00000000-0008-0000-1900-000027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60" name="Option Button 40" hidden="1">
                <a:extLst>
                  <a:ext uri="{63B3BB69-23CF-44E3-9099-C40C66FF867C}">
                    <a14:compatExt spid="_x0000_s158760"/>
                  </a:ext>
                  <a:ext uri="{FF2B5EF4-FFF2-40B4-BE49-F238E27FC236}">
                    <a16:creationId xmlns:a16="http://schemas.microsoft.com/office/drawing/2014/main" id="{00000000-0008-0000-1900-000028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61" name="Group Box 41" hidden="1">
                <a:extLst>
                  <a:ext uri="{63B3BB69-23CF-44E3-9099-C40C66FF867C}">
                    <a14:compatExt spid="_x0000_s158761"/>
                  </a:ext>
                  <a:ext uri="{FF2B5EF4-FFF2-40B4-BE49-F238E27FC236}">
                    <a16:creationId xmlns:a16="http://schemas.microsoft.com/office/drawing/2014/main" id="{00000000-0008-0000-1900-0000296C0200}"/>
                  </a:ext>
                </a:extLst>
              </xdr:cNvPr>
              <xdr:cNvSpPr/>
            </xdr:nvSpPr>
            <xdr:spPr bwMode="auto">
              <a:xfrm>
                <a:off x="2995478" y="3846820"/>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A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A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A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A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A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A00-00001C000000}"/>
                </a:ext>
              </a:extLst>
            </xdr:cNvPr>
            <xdr:cNvGrpSpPr/>
          </xdr:nvGrpSpPr>
          <xdr:grpSpPr>
            <a:xfrm>
              <a:off x="3696269" y="18845284"/>
              <a:ext cx="1956179" cy="1649104"/>
              <a:chOff x="2994708" y="2201917"/>
              <a:chExt cx="1960968" cy="1646922"/>
            </a:xfrm>
          </xdr:grpSpPr>
          <xdr:sp macro="" textlink="">
            <xdr:nvSpPr>
              <xdr:cNvPr id="158783" name="Option Button 63" descr="Case d'option 47" hidden="1">
                <a:extLst>
                  <a:ext uri="{63B3BB69-23CF-44E3-9099-C40C66FF867C}">
                    <a14:compatExt spid="_x0000_s158783"/>
                  </a:ext>
                  <a:ext uri="{FF2B5EF4-FFF2-40B4-BE49-F238E27FC236}">
                    <a16:creationId xmlns:a16="http://schemas.microsoft.com/office/drawing/2014/main" id="{00000000-0008-0000-1900-00003F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84" name="Option Button 64" hidden="1">
                <a:extLst>
                  <a:ext uri="{63B3BB69-23CF-44E3-9099-C40C66FF867C}">
                    <a14:compatExt spid="_x0000_s158784"/>
                  </a:ext>
                  <a:ext uri="{FF2B5EF4-FFF2-40B4-BE49-F238E27FC236}">
                    <a16:creationId xmlns:a16="http://schemas.microsoft.com/office/drawing/2014/main" id="{00000000-0008-0000-1900-000040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85" name="Option Button 65" hidden="1">
                <a:extLst>
                  <a:ext uri="{63B3BB69-23CF-44E3-9099-C40C66FF867C}">
                    <a14:compatExt spid="_x0000_s158785"/>
                  </a:ext>
                  <a:ext uri="{FF2B5EF4-FFF2-40B4-BE49-F238E27FC236}">
                    <a16:creationId xmlns:a16="http://schemas.microsoft.com/office/drawing/2014/main" id="{00000000-0008-0000-1900-000041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86" name="Option Button 66" hidden="1">
                <a:extLst>
                  <a:ext uri="{63B3BB69-23CF-44E3-9099-C40C66FF867C}">
                    <a14:compatExt spid="_x0000_s158786"/>
                  </a:ext>
                  <a:ext uri="{FF2B5EF4-FFF2-40B4-BE49-F238E27FC236}">
                    <a16:creationId xmlns:a16="http://schemas.microsoft.com/office/drawing/2014/main" id="{00000000-0008-0000-1900-000042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87" name="Group Box 67" hidden="1">
                <a:extLst>
                  <a:ext uri="{63B3BB69-23CF-44E3-9099-C40C66FF867C}">
                    <a14:compatExt spid="_x0000_s158787"/>
                  </a:ext>
                  <a:ext uri="{FF2B5EF4-FFF2-40B4-BE49-F238E27FC236}">
                    <a16:creationId xmlns:a16="http://schemas.microsoft.com/office/drawing/2014/main" id="{00000000-0008-0000-1900-0000436C0200}"/>
                  </a:ext>
                </a:extLst>
              </xdr:cNvPr>
              <xdr:cNvSpPr/>
            </xdr:nvSpPr>
            <xdr:spPr bwMode="auto">
              <a:xfrm>
                <a:off x="2994708" y="220191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A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A00-00001E000000}"/>
                </a:ext>
              </a:extLst>
            </xdr:cNvPr>
            <xdr:cNvGrpSpPr/>
          </xdr:nvGrpSpPr>
          <xdr:grpSpPr>
            <a:xfrm>
              <a:off x="3696269" y="22712149"/>
              <a:ext cx="1956179" cy="1651160"/>
              <a:chOff x="2994712" y="2201912"/>
              <a:chExt cx="1960968" cy="1646922"/>
            </a:xfrm>
          </xdr:grpSpPr>
          <xdr:sp macro="" textlink="">
            <xdr:nvSpPr>
              <xdr:cNvPr id="158788" name="Option Button 68" descr="Case d'option 47" hidden="1">
                <a:extLst>
                  <a:ext uri="{63B3BB69-23CF-44E3-9099-C40C66FF867C}">
                    <a14:compatExt spid="_x0000_s158788"/>
                  </a:ext>
                  <a:ext uri="{FF2B5EF4-FFF2-40B4-BE49-F238E27FC236}">
                    <a16:creationId xmlns:a16="http://schemas.microsoft.com/office/drawing/2014/main" id="{00000000-0008-0000-1900-000044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89" name="Option Button 69" hidden="1">
                <a:extLst>
                  <a:ext uri="{63B3BB69-23CF-44E3-9099-C40C66FF867C}">
                    <a14:compatExt spid="_x0000_s158789"/>
                  </a:ext>
                  <a:ext uri="{FF2B5EF4-FFF2-40B4-BE49-F238E27FC236}">
                    <a16:creationId xmlns:a16="http://schemas.microsoft.com/office/drawing/2014/main" id="{00000000-0008-0000-1900-000045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90" name="Option Button 70" hidden="1">
                <a:extLst>
                  <a:ext uri="{63B3BB69-23CF-44E3-9099-C40C66FF867C}">
                    <a14:compatExt spid="_x0000_s158790"/>
                  </a:ext>
                  <a:ext uri="{FF2B5EF4-FFF2-40B4-BE49-F238E27FC236}">
                    <a16:creationId xmlns:a16="http://schemas.microsoft.com/office/drawing/2014/main" id="{00000000-0008-0000-1900-000046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91" name="Option Button 71" hidden="1">
                <a:extLst>
                  <a:ext uri="{63B3BB69-23CF-44E3-9099-C40C66FF867C}">
                    <a14:compatExt spid="_x0000_s158791"/>
                  </a:ext>
                  <a:ext uri="{FF2B5EF4-FFF2-40B4-BE49-F238E27FC236}">
                    <a16:creationId xmlns:a16="http://schemas.microsoft.com/office/drawing/2014/main" id="{00000000-0008-0000-1900-000047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92" name="Group Box 72" hidden="1">
                <a:extLst>
                  <a:ext uri="{63B3BB69-23CF-44E3-9099-C40C66FF867C}">
                    <a14:compatExt spid="_x0000_s158792"/>
                  </a:ext>
                  <a:ext uri="{FF2B5EF4-FFF2-40B4-BE49-F238E27FC236}">
                    <a16:creationId xmlns:a16="http://schemas.microsoft.com/office/drawing/2014/main" id="{00000000-0008-0000-1900-0000486C0200}"/>
                  </a:ext>
                </a:extLst>
              </xdr:cNvPr>
              <xdr:cNvSpPr/>
            </xdr:nvSpPr>
            <xdr:spPr bwMode="auto">
              <a:xfrm>
                <a:off x="2994712" y="2201912"/>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A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A00-000021000000}"/>
                </a:ext>
              </a:extLst>
            </xdr:cNvPr>
            <xdr:cNvGrpSpPr/>
          </xdr:nvGrpSpPr>
          <xdr:grpSpPr>
            <a:xfrm>
              <a:off x="3696269" y="24361254"/>
              <a:ext cx="1956179" cy="1910686"/>
              <a:chOff x="2995478" y="3846787"/>
              <a:chExt cx="1960181" cy="1644868"/>
            </a:xfrm>
          </xdr:grpSpPr>
          <xdr:sp macro="" textlink="">
            <xdr:nvSpPr>
              <xdr:cNvPr id="158793" name="Option Button 73" hidden="1">
                <a:extLst>
                  <a:ext uri="{63B3BB69-23CF-44E3-9099-C40C66FF867C}">
                    <a14:compatExt spid="_x0000_s158793"/>
                  </a:ext>
                  <a:ext uri="{FF2B5EF4-FFF2-40B4-BE49-F238E27FC236}">
                    <a16:creationId xmlns:a16="http://schemas.microsoft.com/office/drawing/2014/main" id="{00000000-0008-0000-1900-000049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794" name="Option Button 74" hidden="1">
                <a:extLst>
                  <a:ext uri="{63B3BB69-23CF-44E3-9099-C40C66FF867C}">
                    <a14:compatExt spid="_x0000_s158794"/>
                  </a:ext>
                  <a:ext uri="{FF2B5EF4-FFF2-40B4-BE49-F238E27FC236}">
                    <a16:creationId xmlns:a16="http://schemas.microsoft.com/office/drawing/2014/main" id="{00000000-0008-0000-1900-00004A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795" name="Option Button 75" hidden="1">
                <a:extLst>
                  <a:ext uri="{63B3BB69-23CF-44E3-9099-C40C66FF867C}">
                    <a14:compatExt spid="_x0000_s158795"/>
                  </a:ext>
                  <a:ext uri="{FF2B5EF4-FFF2-40B4-BE49-F238E27FC236}">
                    <a16:creationId xmlns:a16="http://schemas.microsoft.com/office/drawing/2014/main" id="{00000000-0008-0000-1900-00004B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796" name="Option Button 76" hidden="1">
                <a:extLst>
                  <a:ext uri="{63B3BB69-23CF-44E3-9099-C40C66FF867C}">
                    <a14:compatExt spid="_x0000_s158796"/>
                  </a:ext>
                  <a:ext uri="{FF2B5EF4-FFF2-40B4-BE49-F238E27FC236}">
                    <a16:creationId xmlns:a16="http://schemas.microsoft.com/office/drawing/2014/main" id="{00000000-0008-0000-1900-00004C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797" name="Group Box 77" hidden="1">
                <a:extLst>
                  <a:ext uri="{63B3BB69-23CF-44E3-9099-C40C66FF867C}">
                    <a14:compatExt spid="_x0000_s158797"/>
                  </a:ext>
                  <a:ext uri="{FF2B5EF4-FFF2-40B4-BE49-F238E27FC236}">
                    <a16:creationId xmlns:a16="http://schemas.microsoft.com/office/drawing/2014/main" id="{00000000-0008-0000-1900-00004D6C0200}"/>
                  </a:ext>
                </a:extLst>
              </xdr:cNvPr>
              <xdr:cNvSpPr/>
            </xdr:nvSpPr>
            <xdr:spPr bwMode="auto">
              <a:xfrm>
                <a:off x="2995478" y="3846787"/>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A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A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A00-000025000000}"/>
                </a:ext>
              </a:extLst>
            </xdr:cNvPr>
            <xdr:cNvGrpSpPr/>
          </xdr:nvGrpSpPr>
          <xdr:grpSpPr>
            <a:xfrm>
              <a:off x="3696269" y="26271940"/>
              <a:ext cx="1956179" cy="1649105"/>
              <a:chOff x="2994708" y="2201896"/>
              <a:chExt cx="1960968" cy="1646921"/>
            </a:xfrm>
          </xdr:grpSpPr>
          <xdr:sp macro="" textlink="">
            <xdr:nvSpPr>
              <xdr:cNvPr id="158803" name="Option Button 83" descr="Case d'option 47" hidden="1">
                <a:extLst>
                  <a:ext uri="{63B3BB69-23CF-44E3-9099-C40C66FF867C}">
                    <a14:compatExt spid="_x0000_s158803"/>
                  </a:ext>
                  <a:ext uri="{FF2B5EF4-FFF2-40B4-BE49-F238E27FC236}">
                    <a16:creationId xmlns:a16="http://schemas.microsoft.com/office/drawing/2014/main" id="{00000000-0008-0000-1900-000053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04" name="Option Button 84" hidden="1">
                <a:extLst>
                  <a:ext uri="{63B3BB69-23CF-44E3-9099-C40C66FF867C}">
                    <a14:compatExt spid="_x0000_s158804"/>
                  </a:ext>
                  <a:ext uri="{FF2B5EF4-FFF2-40B4-BE49-F238E27FC236}">
                    <a16:creationId xmlns:a16="http://schemas.microsoft.com/office/drawing/2014/main" id="{00000000-0008-0000-1900-000054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05" name="Option Button 85" hidden="1">
                <a:extLst>
                  <a:ext uri="{63B3BB69-23CF-44E3-9099-C40C66FF867C}">
                    <a14:compatExt spid="_x0000_s158805"/>
                  </a:ext>
                  <a:ext uri="{FF2B5EF4-FFF2-40B4-BE49-F238E27FC236}">
                    <a16:creationId xmlns:a16="http://schemas.microsoft.com/office/drawing/2014/main" id="{00000000-0008-0000-1900-000055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06" name="Option Button 86" hidden="1">
                <a:extLst>
                  <a:ext uri="{63B3BB69-23CF-44E3-9099-C40C66FF867C}">
                    <a14:compatExt spid="_x0000_s158806"/>
                  </a:ext>
                  <a:ext uri="{FF2B5EF4-FFF2-40B4-BE49-F238E27FC236}">
                    <a16:creationId xmlns:a16="http://schemas.microsoft.com/office/drawing/2014/main" id="{00000000-0008-0000-1900-000056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07" name="Group Box 87" hidden="1">
                <a:extLst>
                  <a:ext uri="{63B3BB69-23CF-44E3-9099-C40C66FF867C}">
                    <a14:compatExt spid="_x0000_s158807"/>
                  </a:ext>
                  <a:ext uri="{FF2B5EF4-FFF2-40B4-BE49-F238E27FC236}">
                    <a16:creationId xmlns:a16="http://schemas.microsoft.com/office/drawing/2014/main" id="{00000000-0008-0000-1900-0000576C0200}"/>
                  </a:ext>
                </a:extLst>
              </xdr:cNvPr>
              <xdr:cNvSpPr/>
            </xdr:nvSpPr>
            <xdr:spPr bwMode="auto">
              <a:xfrm>
                <a:off x="2994708" y="2201896"/>
                <a:ext cx="1960968"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A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A00-000028000000}"/>
                </a:ext>
              </a:extLst>
            </xdr:cNvPr>
            <xdr:cNvGrpSpPr/>
          </xdr:nvGrpSpPr>
          <xdr:grpSpPr>
            <a:xfrm>
              <a:off x="3696269" y="31787910"/>
              <a:ext cx="1956179" cy="1649105"/>
              <a:chOff x="2995478" y="3846759"/>
              <a:chExt cx="1960181" cy="1644868"/>
            </a:xfrm>
          </xdr:grpSpPr>
          <xdr:sp macro="" textlink="">
            <xdr:nvSpPr>
              <xdr:cNvPr id="158808" name="Option Button 88" hidden="1">
                <a:extLst>
                  <a:ext uri="{63B3BB69-23CF-44E3-9099-C40C66FF867C}">
                    <a14:compatExt spid="_x0000_s158808"/>
                  </a:ext>
                  <a:ext uri="{FF2B5EF4-FFF2-40B4-BE49-F238E27FC236}">
                    <a16:creationId xmlns:a16="http://schemas.microsoft.com/office/drawing/2014/main" id="{00000000-0008-0000-1900-000058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09" name="Option Button 89" hidden="1">
                <a:extLst>
                  <a:ext uri="{63B3BB69-23CF-44E3-9099-C40C66FF867C}">
                    <a14:compatExt spid="_x0000_s158809"/>
                  </a:ext>
                  <a:ext uri="{FF2B5EF4-FFF2-40B4-BE49-F238E27FC236}">
                    <a16:creationId xmlns:a16="http://schemas.microsoft.com/office/drawing/2014/main" id="{00000000-0008-0000-1900-000059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10" name="Option Button 90" hidden="1">
                <a:extLst>
                  <a:ext uri="{63B3BB69-23CF-44E3-9099-C40C66FF867C}">
                    <a14:compatExt spid="_x0000_s158810"/>
                  </a:ext>
                  <a:ext uri="{FF2B5EF4-FFF2-40B4-BE49-F238E27FC236}">
                    <a16:creationId xmlns:a16="http://schemas.microsoft.com/office/drawing/2014/main" id="{00000000-0008-0000-1900-00005A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11" name="Option Button 91" hidden="1">
                <a:extLst>
                  <a:ext uri="{63B3BB69-23CF-44E3-9099-C40C66FF867C}">
                    <a14:compatExt spid="_x0000_s158811"/>
                  </a:ext>
                  <a:ext uri="{FF2B5EF4-FFF2-40B4-BE49-F238E27FC236}">
                    <a16:creationId xmlns:a16="http://schemas.microsoft.com/office/drawing/2014/main" id="{00000000-0008-0000-1900-00005B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12" name="Group Box 92" hidden="1">
                <a:extLst>
                  <a:ext uri="{63B3BB69-23CF-44E3-9099-C40C66FF867C}">
                    <a14:compatExt spid="_x0000_s158812"/>
                  </a:ext>
                  <a:ext uri="{FF2B5EF4-FFF2-40B4-BE49-F238E27FC236}">
                    <a16:creationId xmlns:a16="http://schemas.microsoft.com/office/drawing/2014/main" id="{00000000-0008-0000-1900-00005C6C0200}"/>
                  </a:ext>
                </a:extLst>
              </xdr:cNvPr>
              <xdr:cNvSpPr/>
            </xdr:nvSpPr>
            <xdr:spPr bwMode="auto">
              <a:xfrm>
                <a:off x="2995478" y="3846759"/>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A00-000029000000}"/>
                </a:ext>
              </a:extLst>
            </xdr:cNvPr>
            <xdr:cNvGrpSpPr/>
          </xdr:nvGrpSpPr>
          <xdr:grpSpPr>
            <a:xfrm>
              <a:off x="3696269" y="30138806"/>
              <a:ext cx="1956179" cy="1651159"/>
              <a:chOff x="2994712" y="2201916"/>
              <a:chExt cx="1960968" cy="1646922"/>
            </a:xfrm>
          </xdr:grpSpPr>
          <xdr:sp macro="" textlink="">
            <xdr:nvSpPr>
              <xdr:cNvPr id="158813" name="Option Button 93" descr="Case d'option 47" hidden="1">
                <a:extLst>
                  <a:ext uri="{63B3BB69-23CF-44E3-9099-C40C66FF867C}">
                    <a14:compatExt spid="_x0000_s158813"/>
                  </a:ext>
                  <a:ext uri="{FF2B5EF4-FFF2-40B4-BE49-F238E27FC236}">
                    <a16:creationId xmlns:a16="http://schemas.microsoft.com/office/drawing/2014/main" id="{00000000-0008-0000-1900-00005D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14" name="Option Button 94" hidden="1">
                <a:extLst>
                  <a:ext uri="{63B3BB69-23CF-44E3-9099-C40C66FF867C}">
                    <a14:compatExt spid="_x0000_s158814"/>
                  </a:ext>
                  <a:ext uri="{FF2B5EF4-FFF2-40B4-BE49-F238E27FC236}">
                    <a16:creationId xmlns:a16="http://schemas.microsoft.com/office/drawing/2014/main" id="{00000000-0008-0000-1900-00005E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15" name="Option Button 95" hidden="1">
                <a:extLst>
                  <a:ext uri="{63B3BB69-23CF-44E3-9099-C40C66FF867C}">
                    <a14:compatExt spid="_x0000_s158815"/>
                  </a:ext>
                  <a:ext uri="{FF2B5EF4-FFF2-40B4-BE49-F238E27FC236}">
                    <a16:creationId xmlns:a16="http://schemas.microsoft.com/office/drawing/2014/main" id="{00000000-0008-0000-1900-00005F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16" name="Option Button 96" hidden="1">
                <a:extLst>
                  <a:ext uri="{63B3BB69-23CF-44E3-9099-C40C66FF867C}">
                    <a14:compatExt spid="_x0000_s158816"/>
                  </a:ext>
                  <a:ext uri="{FF2B5EF4-FFF2-40B4-BE49-F238E27FC236}">
                    <a16:creationId xmlns:a16="http://schemas.microsoft.com/office/drawing/2014/main" id="{00000000-0008-0000-1900-000060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17" name="Group Box 97" hidden="1">
                <a:extLst>
                  <a:ext uri="{63B3BB69-23CF-44E3-9099-C40C66FF867C}">
                    <a14:compatExt spid="_x0000_s158817"/>
                  </a:ext>
                  <a:ext uri="{FF2B5EF4-FFF2-40B4-BE49-F238E27FC236}">
                    <a16:creationId xmlns:a16="http://schemas.microsoft.com/office/drawing/2014/main" id="{00000000-0008-0000-1900-0000616C0200}"/>
                  </a:ext>
                </a:extLst>
              </xdr:cNvPr>
              <xdr:cNvSpPr/>
            </xdr:nvSpPr>
            <xdr:spPr bwMode="auto">
              <a:xfrm>
                <a:off x="2994712" y="2201916"/>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A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A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A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A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64</xdr:row>
          <xdr:rowOff>0</xdr:rowOff>
        </xdr:from>
        <xdr:to>
          <xdr:col>8</xdr:col>
          <xdr:colOff>0</xdr:colOff>
          <xdr:row>65</xdr:row>
          <xdr:rowOff>0</xdr:rowOff>
        </xdr:to>
        <xdr:sp macro="" textlink="">
          <xdr:nvSpPr>
            <xdr:cNvPr id="158818" name="Group Box 98" hidden="1">
              <a:extLst>
                <a:ext uri="{63B3BB69-23CF-44E3-9099-C40C66FF867C}">
                  <a14:compatExt spid="_x0000_s158818"/>
                </a:ext>
                <a:ext uri="{FF2B5EF4-FFF2-40B4-BE49-F238E27FC236}">
                  <a16:creationId xmlns:a16="http://schemas.microsoft.com/office/drawing/2014/main" id="{00000000-0008-0000-1900-0000626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1A00-00002E000000}"/>
                </a:ext>
              </a:extLst>
            </xdr:cNvPr>
            <xdr:cNvGrpSpPr/>
          </xdr:nvGrpSpPr>
          <xdr:grpSpPr>
            <a:xfrm>
              <a:off x="3696269" y="36735227"/>
              <a:ext cx="1956179" cy="1649104"/>
              <a:chOff x="2995478" y="3846817"/>
              <a:chExt cx="1960181" cy="1644868"/>
            </a:xfrm>
          </xdr:grpSpPr>
          <xdr:sp macro="" textlink="">
            <xdr:nvSpPr>
              <xdr:cNvPr id="158819" name="Option Button 99" hidden="1">
                <a:extLst>
                  <a:ext uri="{63B3BB69-23CF-44E3-9099-C40C66FF867C}">
                    <a14:compatExt spid="_x0000_s158819"/>
                  </a:ext>
                  <a:ext uri="{FF2B5EF4-FFF2-40B4-BE49-F238E27FC236}">
                    <a16:creationId xmlns:a16="http://schemas.microsoft.com/office/drawing/2014/main" id="{00000000-0008-0000-1900-000063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20" name="Option Button 100" hidden="1">
                <a:extLst>
                  <a:ext uri="{63B3BB69-23CF-44E3-9099-C40C66FF867C}">
                    <a14:compatExt spid="_x0000_s158820"/>
                  </a:ext>
                  <a:ext uri="{FF2B5EF4-FFF2-40B4-BE49-F238E27FC236}">
                    <a16:creationId xmlns:a16="http://schemas.microsoft.com/office/drawing/2014/main" id="{00000000-0008-0000-1900-000064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21" name="Option Button 101" hidden="1">
                <a:extLst>
                  <a:ext uri="{63B3BB69-23CF-44E3-9099-C40C66FF867C}">
                    <a14:compatExt spid="_x0000_s158821"/>
                  </a:ext>
                  <a:ext uri="{FF2B5EF4-FFF2-40B4-BE49-F238E27FC236}">
                    <a16:creationId xmlns:a16="http://schemas.microsoft.com/office/drawing/2014/main" id="{00000000-0008-0000-1900-000065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22" name="Option Button 102" hidden="1">
                <a:extLst>
                  <a:ext uri="{63B3BB69-23CF-44E3-9099-C40C66FF867C}">
                    <a14:compatExt spid="_x0000_s158822"/>
                  </a:ext>
                  <a:ext uri="{FF2B5EF4-FFF2-40B4-BE49-F238E27FC236}">
                    <a16:creationId xmlns:a16="http://schemas.microsoft.com/office/drawing/2014/main" id="{00000000-0008-0000-1900-000066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23" name="Group Box 103" hidden="1">
                <a:extLst>
                  <a:ext uri="{63B3BB69-23CF-44E3-9099-C40C66FF867C}">
                    <a14:compatExt spid="_x0000_s158823"/>
                  </a:ext>
                  <a:ext uri="{FF2B5EF4-FFF2-40B4-BE49-F238E27FC236}">
                    <a16:creationId xmlns:a16="http://schemas.microsoft.com/office/drawing/2014/main" id="{00000000-0008-0000-1900-0000676C0200}"/>
                  </a:ext>
                </a:extLst>
              </xdr:cNvPr>
              <xdr:cNvSpPr/>
            </xdr:nvSpPr>
            <xdr:spPr bwMode="auto">
              <a:xfrm>
                <a:off x="2995478" y="3846817"/>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A00-00002F000000}"/>
                </a:ext>
              </a:extLst>
            </xdr:cNvPr>
            <xdr:cNvGrpSpPr/>
          </xdr:nvGrpSpPr>
          <xdr:grpSpPr>
            <a:xfrm>
              <a:off x="3699437" y="35086119"/>
              <a:ext cx="1953011" cy="1651163"/>
              <a:chOff x="2994662" y="2201912"/>
              <a:chExt cx="1960968" cy="1646925"/>
            </a:xfrm>
          </xdr:grpSpPr>
          <xdr:sp macro="" textlink="">
            <xdr:nvSpPr>
              <xdr:cNvPr id="158824" name="Option Button 104" descr="Case d'option 47" hidden="1">
                <a:extLst>
                  <a:ext uri="{63B3BB69-23CF-44E3-9099-C40C66FF867C}">
                    <a14:compatExt spid="_x0000_s158824"/>
                  </a:ext>
                  <a:ext uri="{FF2B5EF4-FFF2-40B4-BE49-F238E27FC236}">
                    <a16:creationId xmlns:a16="http://schemas.microsoft.com/office/drawing/2014/main" id="{00000000-0008-0000-1900-000068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25" name="Option Button 105" hidden="1">
                <a:extLst>
                  <a:ext uri="{63B3BB69-23CF-44E3-9099-C40C66FF867C}">
                    <a14:compatExt spid="_x0000_s158825"/>
                  </a:ext>
                  <a:ext uri="{FF2B5EF4-FFF2-40B4-BE49-F238E27FC236}">
                    <a16:creationId xmlns:a16="http://schemas.microsoft.com/office/drawing/2014/main" id="{00000000-0008-0000-1900-000069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26" name="Option Button 106" hidden="1">
                <a:extLst>
                  <a:ext uri="{63B3BB69-23CF-44E3-9099-C40C66FF867C}">
                    <a14:compatExt spid="_x0000_s158826"/>
                  </a:ext>
                  <a:ext uri="{FF2B5EF4-FFF2-40B4-BE49-F238E27FC236}">
                    <a16:creationId xmlns:a16="http://schemas.microsoft.com/office/drawing/2014/main" id="{00000000-0008-0000-1900-00006A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27" name="Option Button 107" hidden="1">
                <a:extLst>
                  <a:ext uri="{63B3BB69-23CF-44E3-9099-C40C66FF867C}">
                    <a14:compatExt spid="_x0000_s158827"/>
                  </a:ext>
                  <a:ext uri="{FF2B5EF4-FFF2-40B4-BE49-F238E27FC236}">
                    <a16:creationId xmlns:a16="http://schemas.microsoft.com/office/drawing/2014/main" id="{00000000-0008-0000-1900-00006B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28" name="Group Box 108" hidden="1">
                <a:extLst>
                  <a:ext uri="{63B3BB69-23CF-44E3-9099-C40C66FF867C}">
                    <a14:compatExt spid="_x0000_s158828"/>
                  </a:ext>
                  <a:ext uri="{FF2B5EF4-FFF2-40B4-BE49-F238E27FC236}">
                    <a16:creationId xmlns:a16="http://schemas.microsoft.com/office/drawing/2014/main" id="{00000000-0008-0000-1900-00006C6C0200}"/>
                  </a:ext>
                </a:extLst>
              </xdr:cNvPr>
              <xdr:cNvSpPr/>
            </xdr:nvSpPr>
            <xdr:spPr bwMode="auto">
              <a:xfrm>
                <a:off x="2994662"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A00-000030000000}"/>
                </a:ext>
              </a:extLst>
            </xdr:cNvPr>
            <xdr:cNvGrpSpPr/>
          </xdr:nvGrpSpPr>
          <xdr:grpSpPr>
            <a:xfrm>
              <a:off x="3696269" y="33437015"/>
              <a:ext cx="1956179" cy="1649104"/>
              <a:chOff x="2994708" y="2201923"/>
              <a:chExt cx="1960968" cy="1646929"/>
            </a:xfrm>
          </xdr:grpSpPr>
          <xdr:sp macro="" textlink="">
            <xdr:nvSpPr>
              <xdr:cNvPr id="158829" name="Option Button 109" descr="Case d'option 47" hidden="1">
                <a:extLst>
                  <a:ext uri="{63B3BB69-23CF-44E3-9099-C40C66FF867C}">
                    <a14:compatExt spid="_x0000_s158829"/>
                  </a:ext>
                  <a:ext uri="{FF2B5EF4-FFF2-40B4-BE49-F238E27FC236}">
                    <a16:creationId xmlns:a16="http://schemas.microsoft.com/office/drawing/2014/main" id="{00000000-0008-0000-1900-00006D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30" name="Option Button 110" hidden="1">
                <a:extLst>
                  <a:ext uri="{63B3BB69-23CF-44E3-9099-C40C66FF867C}">
                    <a14:compatExt spid="_x0000_s158830"/>
                  </a:ext>
                  <a:ext uri="{FF2B5EF4-FFF2-40B4-BE49-F238E27FC236}">
                    <a16:creationId xmlns:a16="http://schemas.microsoft.com/office/drawing/2014/main" id="{00000000-0008-0000-1900-00006E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31" name="Option Button 111" hidden="1">
                <a:extLst>
                  <a:ext uri="{63B3BB69-23CF-44E3-9099-C40C66FF867C}">
                    <a14:compatExt spid="_x0000_s158831"/>
                  </a:ext>
                  <a:ext uri="{FF2B5EF4-FFF2-40B4-BE49-F238E27FC236}">
                    <a16:creationId xmlns:a16="http://schemas.microsoft.com/office/drawing/2014/main" id="{00000000-0008-0000-1900-00006F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32" name="Option Button 112" hidden="1">
                <a:extLst>
                  <a:ext uri="{63B3BB69-23CF-44E3-9099-C40C66FF867C}">
                    <a14:compatExt spid="_x0000_s158832"/>
                  </a:ext>
                  <a:ext uri="{FF2B5EF4-FFF2-40B4-BE49-F238E27FC236}">
                    <a16:creationId xmlns:a16="http://schemas.microsoft.com/office/drawing/2014/main" id="{00000000-0008-0000-1900-000070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33" name="Group Box 113" hidden="1">
                <a:extLst>
                  <a:ext uri="{63B3BB69-23CF-44E3-9099-C40C66FF867C}">
                    <a14:compatExt spid="_x0000_s158833"/>
                  </a:ext>
                  <a:ext uri="{FF2B5EF4-FFF2-40B4-BE49-F238E27FC236}">
                    <a16:creationId xmlns:a16="http://schemas.microsoft.com/office/drawing/2014/main" id="{00000000-0008-0000-1900-0000716C0200}"/>
                  </a:ext>
                </a:extLst>
              </xdr:cNvPr>
              <xdr:cNvSpPr/>
            </xdr:nvSpPr>
            <xdr:spPr bwMode="auto">
              <a:xfrm>
                <a:off x="2994708" y="2201923"/>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64</xdr:row>
          <xdr:rowOff>0</xdr:rowOff>
        </xdr:from>
        <xdr:to>
          <xdr:col>8</xdr:col>
          <xdr:colOff>0</xdr:colOff>
          <xdr:row>65</xdr:row>
          <xdr:rowOff>2058</xdr:rowOff>
        </xdr:to>
        <xdr:grpSp>
          <xdr:nvGrpSpPr>
            <xdr:cNvPr id="49" name="Groupe 48">
              <a:extLst>
                <a:ext uri="{FF2B5EF4-FFF2-40B4-BE49-F238E27FC236}">
                  <a16:creationId xmlns:a16="http://schemas.microsoft.com/office/drawing/2014/main" id="{00000000-0008-0000-1A00-000031000000}"/>
                </a:ext>
              </a:extLst>
            </xdr:cNvPr>
            <xdr:cNvGrpSpPr/>
          </xdr:nvGrpSpPr>
          <xdr:grpSpPr>
            <a:xfrm>
              <a:off x="3699437" y="38384328"/>
              <a:ext cx="1953011" cy="1649105"/>
              <a:chOff x="2994662" y="2201946"/>
              <a:chExt cx="1960968" cy="1646924"/>
            </a:xfrm>
          </xdr:grpSpPr>
          <xdr:sp macro="" textlink="">
            <xdr:nvSpPr>
              <xdr:cNvPr id="158834" name="Option Button 114" descr="Case d'option 47" hidden="1">
                <a:extLst>
                  <a:ext uri="{63B3BB69-23CF-44E3-9099-C40C66FF867C}">
                    <a14:compatExt spid="_x0000_s158834"/>
                  </a:ext>
                  <a:ext uri="{FF2B5EF4-FFF2-40B4-BE49-F238E27FC236}">
                    <a16:creationId xmlns:a16="http://schemas.microsoft.com/office/drawing/2014/main" id="{00000000-0008-0000-1900-000072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35" name="Option Button 115" hidden="1">
                <a:extLst>
                  <a:ext uri="{63B3BB69-23CF-44E3-9099-C40C66FF867C}">
                    <a14:compatExt spid="_x0000_s158835"/>
                  </a:ext>
                  <a:ext uri="{FF2B5EF4-FFF2-40B4-BE49-F238E27FC236}">
                    <a16:creationId xmlns:a16="http://schemas.microsoft.com/office/drawing/2014/main" id="{00000000-0008-0000-1900-000073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36" name="Option Button 116" hidden="1">
                <a:extLst>
                  <a:ext uri="{63B3BB69-23CF-44E3-9099-C40C66FF867C}">
                    <a14:compatExt spid="_x0000_s158836"/>
                  </a:ext>
                  <a:ext uri="{FF2B5EF4-FFF2-40B4-BE49-F238E27FC236}">
                    <a16:creationId xmlns:a16="http://schemas.microsoft.com/office/drawing/2014/main" id="{00000000-0008-0000-1900-000074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37" name="Option Button 117" hidden="1">
                <a:extLst>
                  <a:ext uri="{63B3BB69-23CF-44E3-9099-C40C66FF867C}">
                    <a14:compatExt spid="_x0000_s158837"/>
                  </a:ext>
                  <a:ext uri="{FF2B5EF4-FFF2-40B4-BE49-F238E27FC236}">
                    <a16:creationId xmlns:a16="http://schemas.microsoft.com/office/drawing/2014/main" id="{00000000-0008-0000-1900-000075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38" name="Group Box 118" hidden="1">
                <a:extLst>
                  <a:ext uri="{63B3BB69-23CF-44E3-9099-C40C66FF867C}">
                    <a14:compatExt spid="_x0000_s158838"/>
                  </a:ext>
                  <a:ext uri="{FF2B5EF4-FFF2-40B4-BE49-F238E27FC236}">
                    <a16:creationId xmlns:a16="http://schemas.microsoft.com/office/drawing/2014/main" id="{00000000-0008-0000-1900-0000766C0200}"/>
                  </a:ext>
                </a:extLst>
              </xdr:cNvPr>
              <xdr:cNvSpPr/>
            </xdr:nvSpPr>
            <xdr:spPr bwMode="auto">
              <a:xfrm>
                <a:off x="2994662" y="2201946"/>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A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A00-000034000000}"/>
                </a:ext>
              </a:extLst>
            </xdr:cNvPr>
            <xdr:cNvGrpSpPr/>
          </xdr:nvGrpSpPr>
          <xdr:grpSpPr>
            <a:xfrm>
              <a:off x="3696269" y="44958000"/>
              <a:ext cx="1956179" cy="1649104"/>
              <a:chOff x="2995478" y="3846789"/>
              <a:chExt cx="1960181" cy="1644870"/>
            </a:xfrm>
          </xdr:grpSpPr>
          <xdr:sp macro="" textlink="">
            <xdr:nvSpPr>
              <xdr:cNvPr id="158839" name="Option Button 119" hidden="1">
                <a:extLst>
                  <a:ext uri="{63B3BB69-23CF-44E3-9099-C40C66FF867C}">
                    <a14:compatExt spid="_x0000_s158839"/>
                  </a:ext>
                  <a:ext uri="{FF2B5EF4-FFF2-40B4-BE49-F238E27FC236}">
                    <a16:creationId xmlns:a16="http://schemas.microsoft.com/office/drawing/2014/main" id="{00000000-0008-0000-1900-000077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40" name="Option Button 120" hidden="1">
                <a:extLst>
                  <a:ext uri="{63B3BB69-23CF-44E3-9099-C40C66FF867C}">
                    <a14:compatExt spid="_x0000_s158840"/>
                  </a:ext>
                  <a:ext uri="{FF2B5EF4-FFF2-40B4-BE49-F238E27FC236}">
                    <a16:creationId xmlns:a16="http://schemas.microsoft.com/office/drawing/2014/main" id="{00000000-0008-0000-1900-000078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41" name="Option Button 121" hidden="1">
                <a:extLst>
                  <a:ext uri="{63B3BB69-23CF-44E3-9099-C40C66FF867C}">
                    <a14:compatExt spid="_x0000_s158841"/>
                  </a:ext>
                  <a:ext uri="{FF2B5EF4-FFF2-40B4-BE49-F238E27FC236}">
                    <a16:creationId xmlns:a16="http://schemas.microsoft.com/office/drawing/2014/main" id="{00000000-0008-0000-1900-000079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42" name="Option Button 122" hidden="1">
                <a:extLst>
                  <a:ext uri="{63B3BB69-23CF-44E3-9099-C40C66FF867C}">
                    <a14:compatExt spid="_x0000_s158842"/>
                  </a:ext>
                  <a:ext uri="{FF2B5EF4-FFF2-40B4-BE49-F238E27FC236}">
                    <a16:creationId xmlns:a16="http://schemas.microsoft.com/office/drawing/2014/main" id="{00000000-0008-0000-1900-00007A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43" name="Group Box 123" hidden="1">
                <a:extLst>
                  <a:ext uri="{63B3BB69-23CF-44E3-9099-C40C66FF867C}">
                    <a14:compatExt spid="_x0000_s158843"/>
                  </a:ext>
                  <a:ext uri="{FF2B5EF4-FFF2-40B4-BE49-F238E27FC236}">
                    <a16:creationId xmlns:a16="http://schemas.microsoft.com/office/drawing/2014/main" id="{00000000-0008-0000-1900-00007B6C0200}"/>
                  </a:ext>
                </a:extLst>
              </xdr:cNvPr>
              <xdr:cNvSpPr/>
            </xdr:nvSpPr>
            <xdr:spPr bwMode="auto">
              <a:xfrm>
                <a:off x="2995478" y="3846789"/>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A00-000035000000}"/>
                </a:ext>
              </a:extLst>
            </xdr:cNvPr>
            <xdr:cNvGrpSpPr/>
          </xdr:nvGrpSpPr>
          <xdr:grpSpPr>
            <a:xfrm>
              <a:off x="3696269" y="42569642"/>
              <a:ext cx="1956179" cy="2390413"/>
              <a:chOff x="2994712" y="2201918"/>
              <a:chExt cx="1960968" cy="1646922"/>
            </a:xfrm>
          </xdr:grpSpPr>
          <xdr:sp macro="" textlink="">
            <xdr:nvSpPr>
              <xdr:cNvPr id="158844" name="Option Button 124" descr="Case d'option 47" hidden="1">
                <a:extLst>
                  <a:ext uri="{63B3BB69-23CF-44E3-9099-C40C66FF867C}">
                    <a14:compatExt spid="_x0000_s158844"/>
                  </a:ext>
                  <a:ext uri="{FF2B5EF4-FFF2-40B4-BE49-F238E27FC236}">
                    <a16:creationId xmlns:a16="http://schemas.microsoft.com/office/drawing/2014/main" id="{00000000-0008-0000-1900-00007C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45" name="Option Button 125" hidden="1">
                <a:extLst>
                  <a:ext uri="{63B3BB69-23CF-44E3-9099-C40C66FF867C}">
                    <a14:compatExt spid="_x0000_s158845"/>
                  </a:ext>
                  <a:ext uri="{FF2B5EF4-FFF2-40B4-BE49-F238E27FC236}">
                    <a16:creationId xmlns:a16="http://schemas.microsoft.com/office/drawing/2014/main" id="{00000000-0008-0000-1900-00007D6C0200}"/>
                  </a:ext>
                </a:extLst>
              </xdr:cNvPr>
              <xdr:cNvSpPr/>
            </xdr:nvSpPr>
            <xdr:spPr bwMode="auto">
              <a:xfrm>
                <a:off x="3102128" y="2463688"/>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46" name="Option Button 126" hidden="1">
                <a:extLst>
                  <a:ext uri="{63B3BB69-23CF-44E3-9099-C40C66FF867C}">
                    <a14:compatExt spid="_x0000_s158846"/>
                  </a:ext>
                  <a:ext uri="{FF2B5EF4-FFF2-40B4-BE49-F238E27FC236}">
                    <a16:creationId xmlns:a16="http://schemas.microsoft.com/office/drawing/2014/main" id="{00000000-0008-0000-1900-00007E6C0200}"/>
                  </a:ext>
                </a:extLst>
              </xdr:cNvPr>
              <xdr:cNvSpPr/>
            </xdr:nvSpPr>
            <xdr:spPr bwMode="auto">
              <a:xfrm>
                <a:off x="3102128" y="2664499"/>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47" name="Option Button 127" hidden="1">
                <a:extLst>
                  <a:ext uri="{63B3BB69-23CF-44E3-9099-C40C66FF867C}">
                    <a14:compatExt spid="_x0000_s158847"/>
                  </a:ext>
                  <a:ext uri="{FF2B5EF4-FFF2-40B4-BE49-F238E27FC236}">
                    <a16:creationId xmlns:a16="http://schemas.microsoft.com/office/drawing/2014/main" id="{00000000-0008-0000-1900-00007F6C0200}"/>
                  </a:ext>
                </a:extLst>
              </xdr:cNvPr>
              <xdr:cNvSpPr/>
            </xdr:nvSpPr>
            <xdr:spPr bwMode="auto">
              <a:xfrm>
                <a:off x="3102128" y="2842450"/>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48" name="Group Box 128" hidden="1">
                <a:extLst>
                  <a:ext uri="{63B3BB69-23CF-44E3-9099-C40C66FF867C}">
                    <a14:compatExt spid="_x0000_s158848"/>
                  </a:ext>
                  <a:ext uri="{FF2B5EF4-FFF2-40B4-BE49-F238E27FC236}">
                    <a16:creationId xmlns:a16="http://schemas.microsoft.com/office/drawing/2014/main" id="{00000000-0008-0000-1900-0000806C0200}"/>
                  </a:ext>
                </a:extLst>
              </xdr:cNvPr>
              <xdr:cNvSpPr/>
            </xdr:nvSpPr>
            <xdr:spPr bwMode="auto">
              <a:xfrm>
                <a:off x="2994712" y="2201918"/>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A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A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A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A00-00003B000000}"/>
                </a:ext>
              </a:extLst>
            </xdr:cNvPr>
            <xdr:cNvGrpSpPr/>
          </xdr:nvGrpSpPr>
          <xdr:grpSpPr>
            <a:xfrm>
              <a:off x="3696269" y="46607104"/>
              <a:ext cx="1956179" cy="1649105"/>
              <a:chOff x="2994708" y="2201919"/>
              <a:chExt cx="1960968" cy="1646928"/>
            </a:xfrm>
          </xdr:grpSpPr>
          <xdr:sp macro="" textlink="">
            <xdr:nvSpPr>
              <xdr:cNvPr id="158859" name="Option Button 139" descr="Case d'option 47" hidden="1">
                <a:extLst>
                  <a:ext uri="{63B3BB69-23CF-44E3-9099-C40C66FF867C}">
                    <a14:compatExt spid="_x0000_s158859"/>
                  </a:ext>
                  <a:ext uri="{FF2B5EF4-FFF2-40B4-BE49-F238E27FC236}">
                    <a16:creationId xmlns:a16="http://schemas.microsoft.com/office/drawing/2014/main" id="{00000000-0008-0000-1900-00008B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60" name="Option Button 140" hidden="1">
                <a:extLst>
                  <a:ext uri="{63B3BB69-23CF-44E3-9099-C40C66FF867C}">
                    <a14:compatExt spid="_x0000_s158860"/>
                  </a:ext>
                  <a:ext uri="{FF2B5EF4-FFF2-40B4-BE49-F238E27FC236}">
                    <a16:creationId xmlns:a16="http://schemas.microsoft.com/office/drawing/2014/main" id="{00000000-0008-0000-1900-00008C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61" name="Option Button 141" hidden="1">
                <a:extLst>
                  <a:ext uri="{63B3BB69-23CF-44E3-9099-C40C66FF867C}">
                    <a14:compatExt spid="_x0000_s158861"/>
                  </a:ext>
                  <a:ext uri="{FF2B5EF4-FFF2-40B4-BE49-F238E27FC236}">
                    <a16:creationId xmlns:a16="http://schemas.microsoft.com/office/drawing/2014/main" id="{00000000-0008-0000-1900-00008D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62" name="Option Button 142" hidden="1">
                <a:extLst>
                  <a:ext uri="{63B3BB69-23CF-44E3-9099-C40C66FF867C}">
                    <a14:compatExt spid="_x0000_s158862"/>
                  </a:ext>
                  <a:ext uri="{FF2B5EF4-FFF2-40B4-BE49-F238E27FC236}">
                    <a16:creationId xmlns:a16="http://schemas.microsoft.com/office/drawing/2014/main" id="{00000000-0008-0000-1900-00008E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63" name="Group Box 143" hidden="1">
                <a:extLst>
                  <a:ext uri="{63B3BB69-23CF-44E3-9099-C40C66FF867C}">
                    <a14:compatExt spid="_x0000_s158863"/>
                  </a:ext>
                  <a:ext uri="{FF2B5EF4-FFF2-40B4-BE49-F238E27FC236}">
                    <a16:creationId xmlns:a16="http://schemas.microsoft.com/office/drawing/2014/main" id="{00000000-0008-0000-1900-00008F6C0200}"/>
                  </a:ext>
                </a:extLst>
              </xdr:cNvPr>
              <xdr:cNvSpPr/>
            </xdr:nvSpPr>
            <xdr:spPr bwMode="auto">
              <a:xfrm>
                <a:off x="2994708" y="2201919"/>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A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A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A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A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58720" name="Ellipse 158719">
          <a:extLst>
            <a:ext uri="{FF2B5EF4-FFF2-40B4-BE49-F238E27FC236}">
              <a16:creationId xmlns:a16="http://schemas.microsoft.com/office/drawing/2014/main" id="{00000000-0008-0000-1A00-0000006C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58865" name="Groupe 158864">
              <a:extLst>
                <a:ext uri="{FF2B5EF4-FFF2-40B4-BE49-F238E27FC236}">
                  <a16:creationId xmlns:a16="http://schemas.microsoft.com/office/drawing/2014/main" id="{00000000-0008-0000-1A00-0000916C0200}"/>
                </a:ext>
              </a:extLst>
            </xdr:cNvPr>
            <xdr:cNvGrpSpPr/>
          </xdr:nvGrpSpPr>
          <xdr:grpSpPr>
            <a:xfrm>
              <a:off x="3696269" y="15547075"/>
              <a:ext cx="1956179" cy="1649104"/>
              <a:chOff x="2995478" y="3846810"/>
              <a:chExt cx="1960181" cy="1644868"/>
            </a:xfrm>
          </xdr:grpSpPr>
          <xdr:sp macro="" textlink="">
            <xdr:nvSpPr>
              <xdr:cNvPr id="11" name="Option Button 145" hidden="1">
                <a:extLst>
                  <a:ext uri="{63B3BB69-23CF-44E3-9099-C40C66FF867C}">
                    <a14:compatExt spid="_x0000_s158865"/>
                  </a:ext>
                  <a:ext uri="{FF2B5EF4-FFF2-40B4-BE49-F238E27FC236}">
                    <a16:creationId xmlns:a16="http://schemas.microsoft.com/office/drawing/2014/main" id="{00000000-0008-0000-19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66" name="Option Button 146" hidden="1">
                <a:extLst>
                  <a:ext uri="{63B3BB69-23CF-44E3-9099-C40C66FF867C}">
                    <a14:compatExt spid="_x0000_s158866"/>
                  </a:ext>
                  <a:ext uri="{FF2B5EF4-FFF2-40B4-BE49-F238E27FC236}">
                    <a16:creationId xmlns:a16="http://schemas.microsoft.com/office/drawing/2014/main" id="{00000000-0008-0000-1900-000092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67" name="Option Button 147" hidden="1">
                <a:extLst>
                  <a:ext uri="{63B3BB69-23CF-44E3-9099-C40C66FF867C}">
                    <a14:compatExt spid="_x0000_s158867"/>
                  </a:ext>
                  <a:ext uri="{FF2B5EF4-FFF2-40B4-BE49-F238E27FC236}">
                    <a16:creationId xmlns:a16="http://schemas.microsoft.com/office/drawing/2014/main" id="{00000000-0008-0000-1900-000093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68" name="Option Button 148" hidden="1">
                <a:extLst>
                  <a:ext uri="{63B3BB69-23CF-44E3-9099-C40C66FF867C}">
                    <a14:compatExt spid="_x0000_s158868"/>
                  </a:ext>
                  <a:ext uri="{FF2B5EF4-FFF2-40B4-BE49-F238E27FC236}">
                    <a16:creationId xmlns:a16="http://schemas.microsoft.com/office/drawing/2014/main" id="{00000000-0008-0000-1900-000094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69" name="Group Box 149" hidden="1">
                <a:extLst>
                  <a:ext uri="{63B3BB69-23CF-44E3-9099-C40C66FF867C}">
                    <a14:compatExt spid="_x0000_s158869"/>
                  </a:ext>
                  <a:ext uri="{FF2B5EF4-FFF2-40B4-BE49-F238E27FC236}">
                    <a16:creationId xmlns:a16="http://schemas.microsoft.com/office/drawing/2014/main" id="{00000000-0008-0000-1900-0000956C0200}"/>
                  </a:ext>
                </a:extLst>
              </xdr:cNvPr>
              <xdr:cNvSpPr/>
            </xdr:nvSpPr>
            <xdr:spPr bwMode="auto">
              <a:xfrm>
                <a:off x="2995478" y="3846810"/>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58871" name="ZoneTexte 1">
          <a:extLst>
            <a:ext uri="{FF2B5EF4-FFF2-40B4-BE49-F238E27FC236}">
              <a16:creationId xmlns:a16="http://schemas.microsoft.com/office/drawing/2014/main" id="{00000000-0008-0000-1A00-0000976C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58872" name="ZoneTexte 1">
          <a:extLst>
            <a:ext uri="{FF2B5EF4-FFF2-40B4-BE49-F238E27FC236}">
              <a16:creationId xmlns:a16="http://schemas.microsoft.com/office/drawing/2014/main" id="{00000000-0008-0000-1A00-0000986C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58879" name="ZoneTexte 1">
          <a:extLst>
            <a:ext uri="{FF2B5EF4-FFF2-40B4-BE49-F238E27FC236}">
              <a16:creationId xmlns:a16="http://schemas.microsoft.com/office/drawing/2014/main" id="{00000000-0008-0000-1A00-00009F6C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48</xdr:row>
      <xdr:rowOff>22859</xdr:rowOff>
    </xdr:from>
    <xdr:to>
      <xdr:col>9</xdr:col>
      <xdr:colOff>4572000</xdr:colOff>
      <xdr:row>49</xdr:row>
      <xdr:rowOff>0</xdr:rowOff>
    </xdr:to>
    <xdr:sp macro="" textlink="" fLocksText="0">
      <xdr:nvSpPr>
        <xdr:cNvPr id="158886" name="ZoneTexte 1">
          <a:extLst>
            <a:ext uri="{FF2B5EF4-FFF2-40B4-BE49-F238E27FC236}">
              <a16:creationId xmlns:a16="http://schemas.microsoft.com/office/drawing/2014/main" id="{00000000-0008-0000-1A00-0000A66C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58887" name="ZoneTexte 1">
          <a:extLst>
            <a:ext uri="{FF2B5EF4-FFF2-40B4-BE49-F238E27FC236}">
              <a16:creationId xmlns:a16="http://schemas.microsoft.com/office/drawing/2014/main" id="{00000000-0008-0000-1A00-0000A76C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158894" name="ZoneTexte 1">
          <a:extLst>
            <a:ext uri="{FF2B5EF4-FFF2-40B4-BE49-F238E27FC236}">
              <a16:creationId xmlns:a16="http://schemas.microsoft.com/office/drawing/2014/main" id="{00000000-0008-0000-1A00-0000AE6C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58895" name="ZoneTexte 1">
          <a:extLst>
            <a:ext uri="{FF2B5EF4-FFF2-40B4-BE49-F238E27FC236}">
              <a16:creationId xmlns:a16="http://schemas.microsoft.com/office/drawing/2014/main" id="{00000000-0008-0000-1A00-0000AF6C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158908" name="ZoneTexte 1">
          <a:extLst>
            <a:ext uri="{FF2B5EF4-FFF2-40B4-BE49-F238E27FC236}">
              <a16:creationId xmlns:a16="http://schemas.microsoft.com/office/drawing/2014/main" id="{00000000-0008-0000-1A00-0000BC6C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158910" name="Groupe 158909">
              <a:extLst>
                <a:ext uri="{FF2B5EF4-FFF2-40B4-BE49-F238E27FC236}">
                  <a16:creationId xmlns:a16="http://schemas.microsoft.com/office/drawing/2014/main" id="{00000000-0008-0000-1A00-0000BE6C0200}"/>
                </a:ext>
              </a:extLst>
            </xdr:cNvPr>
            <xdr:cNvGrpSpPr/>
          </xdr:nvGrpSpPr>
          <xdr:grpSpPr>
            <a:xfrm>
              <a:off x="3696269" y="52077582"/>
              <a:ext cx="1956179" cy="1649105"/>
              <a:chOff x="2995478" y="3846821"/>
              <a:chExt cx="1960181" cy="1644869"/>
            </a:xfrm>
          </xdr:grpSpPr>
          <xdr:sp macro="" textlink="">
            <xdr:nvSpPr>
              <xdr:cNvPr id="24" name="Option Button 175" hidden="1">
                <a:extLst>
                  <a:ext uri="{63B3BB69-23CF-44E3-9099-C40C66FF867C}">
                    <a14:compatExt spid="_x0000_s158895"/>
                  </a:ext>
                  <a:ext uri="{FF2B5EF4-FFF2-40B4-BE49-F238E27FC236}">
                    <a16:creationId xmlns:a16="http://schemas.microsoft.com/office/drawing/2014/main" id="{00000000-0008-0000-1900-000018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896" name="Option Button 176" hidden="1">
                <a:extLst>
                  <a:ext uri="{63B3BB69-23CF-44E3-9099-C40C66FF867C}">
                    <a14:compatExt spid="_x0000_s158896"/>
                  </a:ext>
                  <a:ext uri="{FF2B5EF4-FFF2-40B4-BE49-F238E27FC236}">
                    <a16:creationId xmlns:a16="http://schemas.microsoft.com/office/drawing/2014/main" id="{00000000-0008-0000-1900-0000B0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897" name="Option Button 177" hidden="1">
                <a:extLst>
                  <a:ext uri="{63B3BB69-23CF-44E3-9099-C40C66FF867C}">
                    <a14:compatExt spid="_x0000_s158897"/>
                  </a:ext>
                  <a:ext uri="{FF2B5EF4-FFF2-40B4-BE49-F238E27FC236}">
                    <a16:creationId xmlns:a16="http://schemas.microsoft.com/office/drawing/2014/main" id="{00000000-0008-0000-1900-0000B1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898" name="Option Button 178" hidden="1">
                <a:extLst>
                  <a:ext uri="{63B3BB69-23CF-44E3-9099-C40C66FF867C}">
                    <a14:compatExt spid="_x0000_s158898"/>
                  </a:ext>
                  <a:ext uri="{FF2B5EF4-FFF2-40B4-BE49-F238E27FC236}">
                    <a16:creationId xmlns:a16="http://schemas.microsoft.com/office/drawing/2014/main" id="{00000000-0008-0000-1900-0000B26C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899" name="Group Box 179" hidden="1">
                <a:extLst>
                  <a:ext uri="{63B3BB69-23CF-44E3-9099-C40C66FF867C}">
                    <a14:compatExt spid="_x0000_s158899"/>
                  </a:ext>
                  <a:ext uri="{FF2B5EF4-FFF2-40B4-BE49-F238E27FC236}">
                    <a16:creationId xmlns:a16="http://schemas.microsoft.com/office/drawing/2014/main" id="{00000000-0008-0000-1900-0000B36C0200}"/>
                  </a:ext>
                </a:extLst>
              </xdr:cNvPr>
              <xdr:cNvSpPr/>
            </xdr:nvSpPr>
            <xdr:spPr bwMode="auto">
              <a:xfrm>
                <a:off x="2995478" y="384682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158916" name="Groupe 158915">
              <a:extLst>
                <a:ext uri="{FF2B5EF4-FFF2-40B4-BE49-F238E27FC236}">
                  <a16:creationId xmlns:a16="http://schemas.microsoft.com/office/drawing/2014/main" id="{00000000-0008-0000-1A00-0000C46C0200}"/>
                </a:ext>
              </a:extLst>
            </xdr:cNvPr>
            <xdr:cNvGrpSpPr/>
          </xdr:nvGrpSpPr>
          <xdr:grpSpPr>
            <a:xfrm>
              <a:off x="3696269" y="50428478"/>
              <a:ext cx="1956179" cy="1651159"/>
              <a:chOff x="2994712" y="2201914"/>
              <a:chExt cx="1960968" cy="1646922"/>
            </a:xfrm>
          </xdr:grpSpPr>
          <xdr:sp macro="" textlink="">
            <xdr:nvSpPr>
              <xdr:cNvPr id="158900" name="Option Button 180" descr="Case d'option 47" hidden="1">
                <a:extLst>
                  <a:ext uri="{63B3BB69-23CF-44E3-9099-C40C66FF867C}">
                    <a14:compatExt spid="_x0000_s158900"/>
                  </a:ext>
                  <a:ext uri="{FF2B5EF4-FFF2-40B4-BE49-F238E27FC236}">
                    <a16:creationId xmlns:a16="http://schemas.microsoft.com/office/drawing/2014/main" id="{00000000-0008-0000-1900-0000B4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901" name="Option Button 181" hidden="1">
                <a:extLst>
                  <a:ext uri="{63B3BB69-23CF-44E3-9099-C40C66FF867C}">
                    <a14:compatExt spid="_x0000_s158901"/>
                  </a:ext>
                  <a:ext uri="{FF2B5EF4-FFF2-40B4-BE49-F238E27FC236}">
                    <a16:creationId xmlns:a16="http://schemas.microsoft.com/office/drawing/2014/main" id="{00000000-0008-0000-1900-0000B5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902" name="Option Button 182" hidden="1">
                <a:extLst>
                  <a:ext uri="{63B3BB69-23CF-44E3-9099-C40C66FF867C}">
                    <a14:compatExt spid="_x0000_s158902"/>
                  </a:ext>
                  <a:ext uri="{FF2B5EF4-FFF2-40B4-BE49-F238E27FC236}">
                    <a16:creationId xmlns:a16="http://schemas.microsoft.com/office/drawing/2014/main" id="{00000000-0008-0000-1900-0000B6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903" name="Option Button 183" hidden="1">
                <a:extLst>
                  <a:ext uri="{63B3BB69-23CF-44E3-9099-C40C66FF867C}">
                    <a14:compatExt spid="_x0000_s158903"/>
                  </a:ext>
                  <a:ext uri="{FF2B5EF4-FFF2-40B4-BE49-F238E27FC236}">
                    <a16:creationId xmlns:a16="http://schemas.microsoft.com/office/drawing/2014/main" id="{00000000-0008-0000-1900-0000B7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904" name="Group Box 184" hidden="1">
                <a:extLst>
                  <a:ext uri="{63B3BB69-23CF-44E3-9099-C40C66FF867C}">
                    <a14:compatExt spid="_x0000_s158904"/>
                  </a:ext>
                  <a:ext uri="{FF2B5EF4-FFF2-40B4-BE49-F238E27FC236}">
                    <a16:creationId xmlns:a16="http://schemas.microsoft.com/office/drawing/2014/main" id="{00000000-0008-0000-1900-0000B86C0200}"/>
                  </a:ext>
                </a:extLst>
              </xdr:cNvPr>
              <xdr:cNvSpPr/>
            </xdr:nvSpPr>
            <xdr:spPr bwMode="auto">
              <a:xfrm>
                <a:off x="2994712"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158922" name="ZoneTexte 1">
          <a:extLst>
            <a:ext uri="{FF2B5EF4-FFF2-40B4-BE49-F238E27FC236}">
              <a16:creationId xmlns:a16="http://schemas.microsoft.com/office/drawing/2014/main" id="{00000000-0008-0000-1A00-0000CA6C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22859</xdr:rowOff>
    </xdr:from>
    <xdr:to>
      <xdr:col>9</xdr:col>
      <xdr:colOff>4532586</xdr:colOff>
      <xdr:row>96</xdr:row>
      <xdr:rowOff>1588576</xdr:rowOff>
    </xdr:to>
    <xdr:sp macro="" textlink="" fLocksText="0">
      <xdr:nvSpPr>
        <xdr:cNvPr id="158923" name="ZoneTexte 1">
          <a:extLst>
            <a:ext uri="{FF2B5EF4-FFF2-40B4-BE49-F238E27FC236}">
              <a16:creationId xmlns:a16="http://schemas.microsoft.com/office/drawing/2014/main" id="{00000000-0008-0000-1A00-0000CB6C0200}"/>
            </a:ext>
          </a:extLst>
        </xdr:cNvPr>
        <xdr:cNvSpPr txBox="1">
          <a:spLocks noChangeArrowheads="1"/>
        </xdr:cNvSpPr>
      </xdr:nvSpPr>
      <xdr:spPr bwMode="auto">
        <a:xfrm>
          <a:off x="6881551" y="55209740"/>
          <a:ext cx="4521950" cy="1565717"/>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58924" name="ZoneTexte 1">
          <a:extLst>
            <a:ext uri="{FF2B5EF4-FFF2-40B4-BE49-F238E27FC236}">
              <a16:creationId xmlns:a16="http://schemas.microsoft.com/office/drawing/2014/main" id="{00000000-0008-0000-1A00-0000CC6C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97</xdr:row>
          <xdr:rowOff>3</xdr:rowOff>
        </xdr:from>
        <xdr:to>
          <xdr:col>8</xdr:col>
          <xdr:colOff>0</xdr:colOff>
          <xdr:row>98</xdr:row>
          <xdr:rowOff>3</xdr:rowOff>
        </xdr:to>
        <xdr:grpSp>
          <xdr:nvGrpSpPr>
            <xdr:cNvPr id="158925" name="Groupe 158924">
              <a:extLst>
                <a:ext uri="{FF2B5EF4-FFF2-40B4-BE49-F238E27FC236}">
                  <a16:creationId xmlns:a16="http://schemas.microsoft.com/office/drawing/2014/main" id="{00000000-0008-0000-1A00-0000CD6C0200}"/>
                </a:ext>
              </a:extLst>
            </xdr:cNvPr>
            <xdr:cNvGrpSpPr/>
          </xdr:nvGrpSpPr>
          <xdr:grpSpPr>
            <a:xfrm>
              <a:off x="3696269" y="57024899"/>
              <a:ext cx="1956179" cy="1649104"/>
              <a:chOff x="2995478" y="3846790"/>
              <a:chExt cx="1960181" cy="1644870"/>
            </a:xfrm>
          </xdr:grpSpPr>
          <xdr:sp macro="" textlink="">
            <xdr:nvSpPr>
              <xdr:cNvPr id="158905" name="Option Button 185" hidden="1">
                <a:extLst>
                  <a:ext uri="{63B3BB69-23CF-44E3-9099-C40C66FF867C}">
                    <a14:compatExt spid="_x0000_s158905"/>
                  </a:ext>
                  <a:ext uri="{FF2B5EF4-FFF2-40B4-BE49-F238E27FC236}">
                    <a16:creationId xmlns:a16="http://schemas.microsoft.com/office/drawing/2014/main" id="{00000000-0008-0000-1900-0000B96C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906" name="Option Button 186" hidden="1">
                <a:extLst>
                  <a:ext uri="{63B3BB69-23CF-44E3-9099-C40C66FF867C}">
                    <a14:compatExt spid="_x0000_s158906"/>
                  </a:ext>
                  <a:ext uri="{FF2B5EF4-FFF2-40B4-BE49-F238E27FC236}">
                    <a16:creationId xmlns:a16="http://schemas.microsoft.com/office/drawing/2014/main" id="{00000000-0008-0000-1900-0000BA6C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907" name="Option Button 187" hidden="1">
                <a:extLst>
                  <a:ext uri="{63B3BB69-23CF-44E3-9099-C40C66FF867C}">
                    <a14:compatExt spid="_x0000_s158907"/>
                  </a:ext>
                  <a:ext uri="{FF2B5EF4-FFF2-40B4-BE49-F238E27FC236}">
                    <a16:creationId xmlns:a16="http://schemas.microsoft.com/office/drawing/2014/main" id="{00000000-0008-0000-1900-0000BB6C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5" name="Option Button 188" hidden="1">
                <a:extLst>
                  <a:ext uri="{63B3BB69-23CF-44E3-9099-C40C66FF867C}">
                    <a14:compatExt spid="_x0000_s158908"/>
                  </a:ext>
                  <a:ext uri="{FF2B5EF4-FFF2-40B4-BE49-F238E27FC236}">
                    <a16:creationId xmlns:a16="http://schemas.microsoft.com/office/drawing/2014/main" id="{00000000-0008-0000-1900-0000190000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6" name="Group Box 189" hidden="1">
                <a:extLst>
                  <a:ext uri="{63B3BB69-23CF-44E3-9099-C40C66FF867C}">
                    <a14:compatExt spid="_x0000_s158909"/>
                  </a:ext>
                  <a:ext uri="{FF2B5EF4-FFF2-40B4-BE49-F238E27FC236}">
                    <a16:creationId xmlns:a16="http://schemas.microsoft.com/office/drawing/2014/main" id="{00000000-0008-0000-1900-00001A000000}"/>
                  </a:ext>
                </a:extLst>
              </xdr:cNvPr>
              <xdr:cNvSpPr/>
            </xdr:nvSpPr>
            <xdr:spPr bwMode="auto">
              <a:xfrm>
                <a:off x="2995478" y="3846790"/>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158931" name="Groupe 158930">
              <a:extLst>
                <a:ext uri="{FF2B5EF4-FFF2-40B4-BE49-F238E27FC236}">
                  <a16:creationId xmlns:a16="http://schemas.microsoft.com/office/drawing/2014/main" id="{00000000-0008-0000-1A00-0000D36C0200}"/>
                </a:ext>
              </a:extLst>
            </xdr:cNvPr>
            <xdr:cNvGrpSpPr/>
          </xdr:nvGrpSpPr>
          <xdr:grpSpPr>
            <a:xfrm>
              <a:off x="3699437" y="55375791"/>
              <a:ext cx="1953011" cy="1651163"/>
              <a:chOff x="2994662" y="2201912"/>
              <a:chExt cx="1960968" cy="1646925"/>
            </a:xfrm>
          </xdr:grpSpPr>
          <xdr:sp macro="" textlink="">
            <xdr:nvSpPr>
              <xdr:cNvPr id="27" name="Option Button 190" descr="Case d'option 47" hidden="1">
                <a:extLst>
                  <a:ext uri="{63B3BB69-23CF-44E3-9099-C40C66FF867C}">
                    <a14:compatExt spid="_x0000_s158910"/>
                  </a:ext>
                  <a:ext uri="{FF2B5EF4-FFF2-40B4-BE49-F238E27FC236}">
                    <a16:creationId xmlns:a16="http://schemas.microsoft.com/office/drawing/2014/main" id="{00000000-0008-0000-1900-00001B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911" name="Option Button 191" hidden="1">
                <a:extLst>
                  <a:ext uri="{63B3BB69-23CF-44E3-9099-C40C66FF867C}">
                    <a14:compatExt spid="_x0000_s158911"/>
                  </a:ext>
                  <a:ext uri="{FF2B5EF4-FFF2-40B4-BE49-F238E27FC236}">
                    <a16:creationId xmlns:a16="http://schemas.microsoft.com/office/drawing/2014/main" id="{00000000-0008-0000-1900-0000BF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912" name="Option Button 192" hidden="1">
                <a:extLst>
                  <a:ext uri="{63B3BB69-23CF-44E3-9099-C40C66FF867C}">
                    <a14:compatExt spid="_x0000_s158912"/>
                  </a:ext>
                  <a:ext uri="{FF2B5EF4-FFF2-40B4-BE49-F238E27FC236}">
                    <a16:creationId xmlns:a16="http://schemas.microsoft.com/office/drawing/2014/main" id="{00000000-0008-0000-1900-0000C0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913" name="Option Button 193" hidden="1">
                <a:extLst>
                  <a:ext uri="{63B3BB69-23CF-44E3-9099-C40C66FF867C}">
                    <a14:compatExt spid="_x0000_s158913"/>
                  </a:ext>
                  <a:ext uri="{FF2B5EF4-FFF2-40B4-BE49-F238E27FC236}">
                    <a16:creationId xmlns:a16="http://schemas.microsoft.com/office/drawing/2014/main" id="{00000000-0008-0000-1900-0000C1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914" name="Group Box 194" hidden="1">
                <a:extLst>
                  <a:ext uri="{63B3BB69-23CF-44E3-9099-C40C66FF867C}">
                    <a14:compatExt spid="_x0000_s158914"/>
                  </a:ext>
                  <a:ext uri="{FF2B5EF4-FFF2-40B4-BE49-F238E27FC236}">
                    <a16:creationId xmlns:a16="http://schemas.microsoft.com/office/drawing/2014/main" id="{00000000-0008-0000-1900-0000C26C0200}"/>
                  </a:ext>
                </a:extLst>
              </xdr:cNvPr>
              <xdr:cNvSpPr/>
            </xdr:nvSpPr>
            <xdr:spPr bwMode="auto">
              <a:xfrm>
                <a:off x="2994662"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158937" name="Groupe 158936">
              <a:extLst>
                <a:ext uri="{FF2B5EF4-FFF2-40B4-BE49-F238E27FC236}">
                  <a16:creationId xmlns:a16="http://schemas.microsoft.com/office/drawing/2014/main" id="{00000000-0008-0000-1A00-0000D96C0200}"/>
                </a:ext>
              </a:extLst>
            </xdr:cNvPr>
            <xdr:cNvGrpSpPr/>
          </xdr:nvGrpSpPr>
          <xdr:grpSpPr>
            <a:xfrm>
              <a:off x="3696269" y="53726687"/>
              <a:ext cx="1956179" cy="1649104"/>
              <a:chOff x="2994708" y="2201917"/>
              <a:chExt cx="1960968" cy="1646929"/>
            </a:xfrm>
          </xdr:grpSpPr>
          <xdr:sp macro="" textlink="">
            <xdr:nvSpPr>
              <xdr:cNvPr id="158915" name="Option Button 195" descr="Case d'option 47" hidden="1">
                <a:extLst>
                  <a:ext uri="{63B3BB69-23CF-44E3-9099-C40C66FF867C}">
                    <a14:compatExt spid="_x0000_s158915"/>
                  </a:ext>
                  <a:ext uri="{FF2B5EF4-FFF2-40B4-BE49-F238E27FC236}">
                    <a16:creationId xmlns:a16="http://schemas.microsoft.com/office/drawing/2014/main" id="{00000000-0008-0000-1900-0000C36C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36" name="Option Button 196" hidden="1">
                <a:extLst>
                  <a:ext uri="{63B3BB69-23CF-44E3-9099-C40C66FF867C}">
                    <a14:compatExt spid="_x0000_s158916"/>
                  </a:ext>
                  <a:ext uri="{FF2B5EF4-FFF2-40B4-BE49-F238E27FC236}">
                    <a16:creationId xmlns:a16="http://schemas.microsoft.com/office/drawing/2014/main" id="{00000000-0008-0000-1900-0000240000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917" name="Option Button 197" hidden="1">
                <a:extLst>
                  <a:ext uri="{63B3BB69-23CF-44E3-9099-C40C66FF867C}">
                    <a14:compatExt spid="_x0000_s158917"/>
                  </a:ext>
                  <a:ext uri="{FF2B5EF4-FFF2-40B4-BE49-F238E27FC236}">
                    <a16:creationId xmlns:a16="http://schemas.microsoft.com/office/drawing/2014/main" id="{00000000-0008-0000-1900-0000C5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918" name="Option Button 198" hidden="1">
                <a:extLst>
                  <a:ext uri="{63B3BB69-23CF-44E3-9099-C40C66FF867C}">
                    <a14:compatExt spid="_x0000_s158918"/>
                  </a:ext>
                  <a:ext uri="{FF2B5EF4-FFF2-40B4-BE49-F238E27FC236}">
                    <a16:creationId xmlns:a16="http://schemas.microsoft.com/office/drawing/2014/main" id="{00000000-0008-0000-1900-0000C6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919" name="Group Box 199" hidden="1">
                <a:extLst>
                  <a:ext uri="{63B3BB69-23CF-44E3-9099-C40C66FF867C}">
                    <a14:compatExt spid="_x0000_s158919"/>
                  </a:ext>
                  <a:ext uri="{FF2B5EF4-FFF2-40B4-BE49-F238E27FC236}">
                    <a16:creationId xmlns:a16="http://schemas.microsoft.com/office/drawing/2014/main" id="{00000000-0008-0000-1900-0000C76C0200}"/>
                  </a:ext>
                </a:extLst>
              </xdr:cNvPr>
              <xdr:cNvSpPr/>
            </xdr:nvSpPr>
            <xdr:spPr bwMode="auto">
              <a:xfrm>
                <a:off x="2994708" y="2201917"/>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158943" name="Ellipse 158942">
          <a:extLst>
            <a:ext uri="{FF2B5EF4-FFF2-40B4-BE49-F238E27FC236}">
              <a16:creationId xmlns:a16="http://schemas.microsoft.com/office/drawing/2014/main" id="{00000000-0008-0000-1A00-0000DF6C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1588576</xdr:rowOff>
    </xdr:to>
    <xdr:sp macro="" textlink="" fLocksText="0">
      <xdr:nvSpPr>
        <xdr:cNvPr id="158944" name="ZoneTexte 1">
          <a:extLst>
            <a:ext uri="{FF2B5EF4-FFF2-40B4-BE49-F238E27FC236}">
              <a16:creationId xmlns:a16="http://schemas.microsoft.com/office/drawing/2014/main" id="{00000000-0008-0000-1A00-0000E06C0200}"/>
            </a:ext>
          </a:extLst>
        </xdr:cNvPr>
        <xdr:cNvSpPr txBox="1">
          <a:spLocks noChangeArrowheads="1"/>
        </xdr:cNvSpPr>
      </xdr:nvSpPr>
      <xdr:spPr bwMode="auto">
        <a:xfrm>
          <a:off x="6881551" y="58490216"/>
          <a:ext cx="4521950" cy="1565716"/>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58945" name="ZoneTexte 1">
          <a:extLst>
            <a:ext uri="{FF2B5EF4-FFF2-40B4-BE49-F238E27FC236}">
              <a16:creationId xmlns:a16="http://schemas.microsoft.com/office/drawing/2014/main" id="{00000000-0008-0000-1A00-0000E16C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98</xdr:row>
          <xdr:rowOff>0</xdr:rowOff>
        </xdr:from>
        <xdr:to>
          <xdr:col>8</xdr:col>
          <xdr:colOff>0</xdr:colOff>
          <xdr:row>99</xdr:row>
          <xdr:rowOff>2058</xdr:rowOff>
        </xdr:to>
        <xdr:grpSp>
          <xdr:nvGrpSpPr>
            <xdr:cNvPr id="158952" name="Groupe 158951">
              <a:extLst>
                <a:ext uri="{FF2B5EF4-FFF2-40B4-BE49-F238E27FC236}">
                  <a16:creationId xmlns:a16="http://schemas.microsoft.com/office/drawing/2014/main" id="{00000000-0008-0000-1A00-0000E86C0200}"/>
                </a:ext>
              </a:extLst>
            </xdr:cNvPr>
            <xdr:cNvGrpSpPr/>
          </xdr:nvGrpSpPr>
          <xdr:grpSpPr>
            <a:xfrm>
              <a:off x="3699437" y="58674000"/>
              <a:ext cx="1953011" cy="1649104"/>
              <a:chOff x="2994662" y="2201944"/>
              <a:chExt cx="1960968" cy="1646923"/>
            </a:xfrm>
          </xdr:grpSpPr>
          <xdr:sp macro="" textlink="">
            <xdr:nvSpPr>
              <xdr:cNvPr id="57" name="Option Button 205" descr="Case d'option 47" hidden="1">
                <a:extLst>
                  <a:ext uri="{63B3BB69-23CF-44E3-9099-C40C66FF867C}">
                    <a14:compatExt spid="_x0000_s158925"/>
                  </a:ext>
                  <a:ext uri="{FF2B5EF4-FFF2-40B4-BE49-F238E27FC236}">
                    <a16:creationId xmlns:a16="http://schemas.microsoft.com/office/drawing/2014/main" id="{00000000-0008-0000-1900-000039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8926" name="Option Button 206" hidden="1">
                <a:extLst>
                  <a:ext uri="{63B3BB69-23CF-44E3-9099-C40C66FF867C}">
                    <a14:compatExt spid="_x0000_s158926"/>
                  </a:ext>
                  <a:ext uri="{FF2B5EF4-FFF2-40B4-BE49-F238E27FC236}">
                    <a16:creationId xmlns:a16="http://schemas.microsoft.com/office/drawing/2014/main" id="{00000000-0008-0000-1900-0000CE6C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8927" name="Option Button 207" hidden="1">
                <a:extLst>
                  <a:ext uri="{63B3BB69-23CF-44E3-9099-C40C66FF867C}">
                    <a14:compatExt spid="_x0000_s158927"/>
                  </a:ext>
                  <a:ext uri="{FF2B5EF4-FFF2-40B4-BE49-F238E27FC236}">
                    <a16:creationId xmlns:a16="http://schemas.microsoft.com/office/drawing/2014/main" id="{00000000-0008-0000-1900-0000CF6C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8928" name="Option Button 208" hidden="1">
                <a:extLst>
                  <a:ext uri="{63B3BB69-23CF-44E3-9099-C40C66FF867C}">
                    <a14:compatExt spid="_x0000_s158928"/>
                  </a:ext>
                  <a:ext uri="{FF2B5EF4-FFF2-40B4-BE49-F238E27FC236}">
                    <a16:creationId xmlns:a16="http://schemas.microsoft.com/office/drawing/2014/main" id="{00000000-0008-0000-1900-0000D06C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8929" name="Group Box 209" hidden="1">
                <a:extLst>
                  <a:ext uri="{63B3BB69-23CF-44E3-9099-C40C66FF867C}">
                    <a14:compatExt spid="_x0000_s158929"/>
                  </a:ext>
                  <a:ext uri="{FF2B5EF4-FFF2-40B4-BE49-F238E27FC236}">
                    <a16:creationId xmlns:a16="http://schemas.microsoft.com/office/drawing/2014/main" id="{00000000-0008-0000-1900-0000D16C0200}"/>
                  </a:ext>
                </a:extLst>
              </xdr:cNvPr>
              <xdr:cNvSpPr/>
            </xdr:nvSpPr>
            <xdr:spPr bwMode="auto">
              <a:xfrm>
                <a:off x="2994662" y="2201944"/>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109</xdr:row>
      <xdr:rowOff>22860</xdr:rowOff>
    </xdr:from>
    <xdr:to>
      <xdr:col>9</xdr:col>
      <xdr:colOff>4503756</xdr:colOff>
      <xdr:row>110</xdr:row>
      <xdr:rowOff>0</xdr:rowOff>
    </xdr:to>
    <xdr:sp macro="" textlink="" fLocksText="0">
      <xdr:nvSpPr>
        <xdr:cNvPr id="158958" name="ZoneTexte 1">
          <a:extLst>
            <a:ext uri="{FF2B5EF4-FFF2-40B4-BE49-F238E27FC236}">
              <a16:creationId xmlns:a16="http://schemas.microsoft.com/office/drawing/2014/main" id="{00000000-0008-0000-1A00-0000EE6C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158959" name="ZoneTexte 1">
          <a:extLst>
            <a:ext uri="{FF2B5EF4-FFF2-40B4-BE49-F238E27FC236}">
              <a16:creationId xmlns:a16="http://schemas.microsoft.com/office/drawing/2014/main" id="{00000000-0008-0000-1A00-0000EF6C02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158972" name="ZoneTexte 1">
          <a:extLst>
            <a:ext uri="{FF2B5EF4-FFF2-40B4-BE49-F238E27FC236}">
              <a16:creationId xmlns:a16="http://schemas.microsoft.com/office/drawing/2014/main" id="{00000000-0008-0000-1A00-0000FC6C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158973" name="ZoneTexte 1">
          <a:extLst>
            <a:ext uri="{FF2B5EF4-FFF2-40B4-BE49-F238E27FC236}">
              <a16:creationId xmlns:a16="http://schemas.microsoft.com/office/drawing/2014/main" id="{00000000-0008-0000-1A00-0000FD6C02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58974" name="ZoneTexte 1">
          <a:extLst>
            <a:ext uri="{FF2B5EF4-FFF2-40B4-BE49-F238E27FC236}">
              <a16:creationId xmlns:a16="http://schemas.microsoft.com/office/drawing/2014/main" id="{00000000-0008-0000-1A00-0000FE6C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158993" name="Ellipse 158992">
          <a:extLst>
            <a:ext uri="{FF2B5EF4-FFF2-40B4-BE49-F238E27FC236}">
              <a16:creationId xmlns:a16="http://schemas.microsoft.com/office/drawing/2014/main" id="{00000000-0008-0000-1A00-0000116D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58994" name="ZoneTexte 1">
          <a:extLst>
            <a:ext uri="{FF2B5EF4-FFF2-40B4-BE49-F238E27FC236}">
              <a16:creationId xmlns:a16="http://schemas.microsoft.com/office/drawing/2014/main" id="{00000000-0008-0000-1A00-0000126D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58995" name="ZoneTexte 1">
          <a:extLst>
            <a:ext uri="{FF2B5EF4-FFF2-40B4-BE49-F238E27FC236}">
              <a16:creationId xmlns:a16="http://schemas.microsoft.com/office/drawing/2014/main" id="{00000000-0008-0000-1A00-0000136D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12</xdr:row>
      <xdr:rowOff>22746</xdr:rowOff>
    </xdr:from>
    <xdr:to>
      <xdr:col>9</xdr:col>
      <xdr:colOff>4571656</xdr:colOff>
      <xdr:row>12</xdr:row>
      <xdr:rowOff>1627565</xdr:rowOff>
    </xdr:to>
    <xdr:sp macro="" textlink="" fLocksText="0">
      <xdr:nvSpPr>
        <xdr:cNvPr id="58" name="ZoneTexte 57">
          <a:extLst>
            <a:ext uri="{FF2B5EF4-FFF2-40B4-BE49-F238E27FC236}">
              <a16:creationId xmlns:a16="http://schemas.microsoft.com/office/drawing/2014/main" id="{13BB2CA2-BE25-4A23-8EE2-8782E113E5E8}"/>
            </a:ext>
          </a:extLst>
        </xdr:cNvPr>
        <xdr:cNvSpPr txBox="1">
          <a:spLocks noChangeArrowheads="1"/>
        </xdr:cNvSpPr>
      </xdr:nvSpPr>
      <xdr:spPr bwMode="auto">
        <a:xfrm>
          <a:off x="6892119" y="5106537"/>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158732" name="ZoneTexte 158731">
          <a:extLst>
            <a:ext uri="{FF2B5EF4-FFF2-40B4-BE49-F238E27FC236}">
              <a16:creationId xmlns:a16="http://schemas.microsoft.com/office/drawing/2014/main" id="{30D9B0D1-F893-49B0-B765-1A0CD6FE84F5}"/>
            </a:ext>
          </a:extLst>
        </xdr:cNvPr>
        <xdr:cNvSpPr txBox="1">
          <a:spLocks noChangeArrowheads="1"/>
        </xdr:cNvSpPr>
      </xdr:nvSpPr>
      <xdr:spPr bwMode="auto">
        <a:xfrm>
          <a:off x="6892119" y="17218925"/>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1887940</xdr:rowOff>
    </xdr:to>
    <xdr:sp macro="" textlink="" fLocksText="0">
      <xdr:nvSpPr>
        <xdr:cNvPr id="158735" name="ZoneTexte 158734">
          <a:extLst>
            <a:ext uri="{FF2B5EF4-FFF2-40B4-BE49-F238E27FC236}">
              <a16:creationId xmlns:a16="http://schemas.microsoft.com/office/drawing/2014/main" id="{F1073B29-791F-47FA-A7D3-71A5D6B5465E}"/>
            </a:ext>
          </a:extLst>
        </xdr:cNvPr>
        <xdr:cNvSpPr txBox="1">
          <a:spLocks noChangeArrowheads="1"/>
        </xdr:cNvSpPr>
      </xdr:nvSpPr>
      <xdr:spPr bwMode="auto">
        <a:xfrm>
          <a:off x="6892119" y="24384000"/>
          <a:ext cx="4548910" cy="1865194"/>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158736" name="ZoneTexte 158735">
          <a:extLst>
            <a:ext uri="{FF2B5EF4-FFF2-40B4-BE49-F238E27FC236}">
              <a16:creationId xmlns:a16="http://schemas.microsoft.com/office/drawing/2014/main" id="{B606EB3B-4964-4D61-9022-1C551E960186}"/>
            </a:ext>
          </a:extLst>
        </xdr:cNvPr>
        <xdr:cNvSpPr txBox="1">
          <a:spLocks noChangeArrowheads="1"/>
        </xdr:cNvSpPr>
      </xdr:nvSpPr>
      <xdr:spPr bwMode="auto">
        <a:xfrm>
          <a:off x="6892119" y="31810656"/>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78</xdr:row>
      <xdr:rowOff>22746</xdr:rowOff>
    </xdr:from>
    <xdr:to>
      <xdr:col>9</xdr:col>
      <xdr:colOff>4571656</xdr:colOff>
      <xdr:row>78</xdr:row>
      <xdr:rowOff>1627565</xdr:rowOff>
    </xdr:to>
    <xdr:sp macro="" textlink="" fLocksText="0">
      <xdr:nvSpPr>
        <xdr:cNvPr id="158762" name="ZoneTexte 158761">
          <a:extLst>
            <a:ext uri="{FF2B5EF4-FFF2-40B4-BE49-F238E27FC236}">
              <a16:creationId xmlns:a16="http://schemas.microsoft.com/office/drawing/2014/main" id="{527C1C2E-5AB3-4802-A753-A22D3995CE72}"/>
            </a:ext>
          </a:extLst>
        </xdr:cNvPr>
        <xdr:cNvSpPr txBox="1">
          <a:spLocks noChangeArrowheads="1"/>
        </xdr:cNvSpPr>
      </xdr:nvSpPr>
      <xdr:spPr bwMode="auto">
        <a:xfrm>
          <a:off x="6892119" y="44980746"/>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94</xdr:row>
      <xdr:rowOff>22746</xdr:rowOff>
    </xdr:from>
    <xdr:to>
      <xdr:col>9</xdr:col>
      <xdr:colOff>4571656</xdr:colOff>
      <xdr:row>94</xdr:row>
      <xdr:rowOff>1627565</xdr:rowOff>
    </xdr:to>
    <xdr:sp macro="" textlink="" fLocksText="0">
      <xdr:nvSpPr>
        <xdr:cNvPr id="158763" name="ZoneTexte 158762">
          <a:extLst>
            <a:ext uri="{FF2B5EF4-FFF2-40B4-BE49-F238E27FC236}">
              <a16:creationId xmlns:a16="http://schemas.microsoft.com/office/drawing/2014/main" id="{51BB023D-6B56-483C-9D7A-5B9E72882731}"/>
            </a:ext>
          </a:extLst>
        </xdr:cNvPr>
        <xdr:cNvSpPr txBox="1">
          <a:spLocks noChangeArrowheads="1"/>
        </xdr:cNvSpPr>
      </xdr:nvSpPr>
      <xdr:spPr bwMode="auto">
        <a:xfrm>
          <a:off x="6892119" y="5210032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997531</xdr:colOff>
      <xdr:row>21</xdr:row>
      <xdr:rowOff>96982</xdr:rowOff>
    </xdr:from>
    <xdr:to>
      <xdr:col>6</xdr:col>
      <xdr:colOff>4061406</xdr:colOff>
      <xdr:row>22</xdr:row>
      <xdr:rowOff>132195</xdr:rowOff>
    </xdr:to>
    <xdr:sp macro="[0]!CalculMaturiteVF" textlink="">
      <xdr:nvSpPr>
        <xdr:cNvPr id="2" name="Rectangle : coins arrondis 1">
          <a:extLst>
            <a:ext uri="{FF2B5EF4-FFF2-40B4-BE49-F238E27FC236}">
              <a16:creationId xmlns:a16="http://schemas.microsoft.com/office/drawing/2014/main" id="{00000000-0008-0000-1B00-000002000000}"/>
            </a:ext>
          </a:extLst>
        </xdr:cNvPr>
        <xdr:cNvSpPr/>
      </xdr:nvSpPr>
      <xdr:spPr>
        <a:xfrm>
          <a:off x="3560622" y="9199418"/>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C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C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C00-000005000000}"/>
                </a:ext>
              </a:extLst>
            </xdr:cNvPr>
            <xdr:cNvGrpSpPr/>
          </xdr:nvGrpSpPr>
          <xdr:grpSpPr>
            <a:xfrm>
              <a:off x="3696269" y="5015552"/>
              <a:ext cx="1956179" cy="1649105"/>
              <a:chOff x="2995465" y="3846820"/>
              <a:chExt cx="1960181" cy="1644869"/>
            </a:xfrm>
          </xdr:grpSpPr>
          <xdr:sp macro="" textlink="">
            <xdr:nvSpPr>
              <xdr:cNvPr id="159745" name="Option Button 1" hidden="1">
                <a:extLst>
                  <a:ext uri="{63B3BB69-23CF-44E3-9099-C40C66FF867C}">
                    <a14:compatExt spid="_x0000_s159745"/>
                  </a:ext>
                  <a:ext uri="{FF2B5EF4-FFF2-40B4-BE49-F238E27FC236}">
                    <a16:creationId xmlns:a16="http://schemas.microsoft.com/office/drawing/2014/main" id="{00000000-0008-0000-1B00-000001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746" name="Option Button 2" hidden="1">
                <a:extLst>
                  <a:ext uri="{63B3BB69-23CF-44E3-9099-C40C66FF867C}">
                    <a14:compatExt spid="_x0000_s159746"/>
                  </a:ext>
                  <a:ext uri="{FF2B5EF4-FFF2-40B4-BE49-F238E27FC236}">
                    <a16:creationId xmlns:a16="http://schemas.microsoft.com/office/drawing/2014/main" id="{00000000-0008-0000-1B00-000002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747" name="Option Button 3" hidden="1">
                <a:extLst>
                  <a:ext uri="{63B3BB69-23CF-44E3-9099-C40C66FF867C}">
                    <a14:compatExt spid="_x0000_s159747"/>
                  </a:ext>
                  <a:ext uri="{FF2B5EF4-FFF2-40B4-BE49-F238E27FC236}">
                    <a16:creationId xmlns:a16="http://schemas.microsoft.com/office/drawing/2014/main" id="{00000000-0008-0000-1B00-000003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748" name="Option Button 4" hidden="1">
                <a:extLst>
                  <a:ext uri="{63B3BB69-23CF-44E3-9099-C40C66FF867C}">
                    <a14:compatExt spid="_x0000_s159748"/>
                  </a:ext>
                  <a:ext uri="{FF2B5EF4-FFF2-40B4-BE49-F238E27FC236}">
                    <a16:creationId xmlns:a16="http://schemas.microsoft.com/office/drawing/2014/main" id="{00000000-0008-0000-1B00-000004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749" name="Group Box 5" hidden="1">
                <a:extLst>
                  <a:ext uri="{63B3BB69-23CF-44E3-9099-C40C66FF867C}">
                    <a14:compatExt spid="_x0000_s159749"/>
                  </a:ext>
                  <a:ext uri="{FF2B5EF4-FFF2-40B4-BE49-F238E27FC236}">
                    <a16:creationId xmlns:a16="http://schemas.microsoft.com/office/drawing/2014/main" id="{00000000-0008-0000-1B00-000005700200}"/>
                  </a:ext>
                </a:extLst>
              </xdr:cNvPr>
              <xdr:cNvSpPr/>
            </xdr:nvSpPr>
            <xdr:spPr bwMode="auto">
              <a:xfrm>
                <a:off x="2995465" y="3846820"/>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C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C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C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C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C00-00000A000000}"/>
                </a:ext>
              </a:extLst>
            </xdr:cNvPr>
            <xdr:cNvGrpSpPr/>
          </xdr:nvGrpSpPr>
          <xdr:grpSpPr>
            <a:xfrm>
              <a:off x="3696269" y="3366450"/>
              <a:ext cx="1957768" cy="1651160"/>
              <a:chOff x="3693195" y="3303808"/>
              <a:chExt cx="1959430" cy="1648421"/>
            </a:xfrm>
          </xdr:grpSpPr>
          <xdr:sp macro="" textlink="">
            <xdr:nvSpPr>
              <xdr:cNvPr id="159751" name="Group Box 7" hidden="1">
                <a:extLst>
                  <a:ext uri="{63B3BB69-23CF-44E3-9099-C40C66FF867C}">
                    <a14:compatExt spid="_x0000_s159751"/>
                  </a:ext>
                  <a:ext uri="{FF2B5EF4-FFF2-40B4-BE49-F238E27FC236}">
                    <a16:creationId xmlns:a16="http://schemas.microsoft.com/office/drawing/2014/main" id="{00000000-0008-0000-1B00-000007700200}"/>
                  </a:ext>
                </a:extLst>
              </xdr:cNvPr>
              <xdr:cNvSpPr/>
            </xdr:nvSpPr>
            <xdr:spPr bwMode="auto">
              <a:xfrm>
                <a:off x="3693195" y="3303808"/>
                <a:ext cx="1959426" cy="1648421"/>
              </a:xfrm>
              <a:prstGeom prst="rect">
                <a:avLst/>
              </a:prstGeom>
              <a:noFill/>
              <a:ln w="9525">
                <a:miter lim="800000"/>
                <a:headEnd/>
                <a:tailEnd/>
              </a:ln>
              <a:extLst>
                <a:ext uri="{909E8E84-426E-40DD-AFC4-6F175D3DCCD1}">
                  <a14:hiddenFill>
                    <a:noFill/>
                  </a14:hiddenFill>
                </a:ext>
              </a:extLst>
            </xdr:spPr>
          </xdr:sp>
          <xdr:sp macro="" textlink="">
            <xdr:nvSpPr>
              <xdr:cNvPr id="159752" name="Option Button 8" descr="Case d'option 47" hidden="1">
                <a:extLst>
                  <a:ext uri="{63B3BB69-23CF-44E3-9099-C40C66FF867C}">
                    <a14:compatExt spid="_x0000_s159752"/>
                  </a:ext>
                  <a:ext uri="{FF2B5EF4-FFF2-40B4-BE49-F238E27FC236}">
                    <a16:creationId xmlns:a16="http://schemas.microsoft.com/office/drawing/2014/main" id="{00000000-0008-0000-1B00-00000870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753" name="Option Button 9" hidden="1">
                <a:extLst>
                  <a:ext uri="{63B3BB69-23CF-44E3-9099-C40C66FF867C}">
                    <a14:compatExt spid="_x0000_s159753"/>
                  </a:ext>
                  <a:ext uri="{FF2B5EF4-FFF2-40B4-BE49-F238E27FC236}">
                    <a16:creationId xmlns:a16="http://schemas.microsoft.com/office/drawing/2014/main" id="{00000000-0008-0000-1B00-0000097002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754" name="Option Button 10" hidden="1">
                <a:extLst>
                  <a:ext uri="{63B3BB69-23CF-44E3-9099-C40C66FF867C}">
                    <a14:compatExt spid="_x0000_s159754"/>
                  </a:ext>
                  <a:ext uri="{FF2B5EF4-FFF2-40B4-BE49-F238E27FC236}">
                    <a16:creationId xmlns:a16="http://schemas.microsoft.com/office/drawing/2014/main" id="{00000000-0008-0000-1B00-00000A7002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755" name="Option Button 11" hidden="1">
                <a:extLst>
                  <a:ext uri="{63B3BB69-23CF-44E3-9099-C40C66FF867C}">
                    <a14:compatExt spid="_x0000_s159755"/>
                  </a:ext>
                  <a:ext uri="{FF2B5EF4-FFF2-40B4-BE49-F238E27FC236}">
                    <a16:creationId xmlns:a16="http://schemas.microsoft.com/office/drawing/2014/main" id="{00000000-0008-0000-1B00-00000B7002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C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C00-000012000000}"/>
                </a:ext>
              </a:extLst>
            </xdr:cNvPr>
            <xdr:cNvGrpSpPr/>
          </xdr:nvGrpSpPr>
          <xdr:grpSpPr>
            <a:xfrm>
              <a:off x="3696269" y="10531522"/>
              <a:ext cx="1956179" cy="1649105"/>
              <a:chOff x="2995465" y="3846817"/>
              <a:chExt cx="1960181" cy="1644869"/>
            </a:xfrm>
          </xdr:grpSpPr>
          <xdr:sp macro="" textlink="">
            <xdr:nvSpPr>
              <xdr:cNvPr id="159781" name="Option Button 37" hidden="1">
                <a:extLst>
                  <a:ext uri="{63B3BB69-23CF-44E3-9099-C40C66FF867C}">
                    <a14:compatExt spid="_x0000_s159781"/>
                  </a:ext>
                  <a:ext uri="{FF2B5EF4-FFF2-40B4-BE49-F238E27FC236}">
                    <a16:creationId xmlns:a16="http://schemas.microsoft.com/office/drawing/2014/main" id="{00000000-0008-0000-1B00-000025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782" name="Option Button 38" hidden="1">
                <a:extLst>
                  <a:ext uri="{63B3BB69-23CF-44E3-9099-C40C66FF867C}">
                    <a14:compatExt spid="_x0000_s159782"/>
                  </a:ext>
                  <a:ext uri="{FF2B5EF4-FFF2-40B4-BE49-F238E27FC236}">
                    <a16:creationId xmlns:a16="http://schemas.microsoft.com/office/drawing/2014/main" id="{00000000-0008-0000-1B00-000026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783" name="Option Button 39" hidden="1">
                <a:extLst>
                  <a:ext uri="{63B3BB69-23CF-44E3-9099-C40C66FF867C}">
                    <a14:compatExt spid="_x0000_s159783"/>
                  </a:ext>
                  <a:ext uri="{FF2B5EF4-FFF2-40B4-BE49-F238E27FC236}">
                    <a16:creationId xmlns:a16="http://schemas.microsoft.com/office/drawing/2014/main" id="{00000000-0008-0000-1B00-000027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784" name="Option Button 40" hidden="1">
                <a:extLst>
                  <a:ext uri="{63B3BB69-23CF-44E3-9099-C40C66FF867C}">
                    <a14:compatExt spid="_x0000_s159784"/>
                  </a:ext>
                  <a:ext uri="{FF2B5EF4-FFF2-40B4-BE49-F238E27FC236}">
                    <a16:creationId xmlns:a16="http://schemas.microsoft.com/office/drawing/2014/main" id="{00000000-0008-0000-1B00-000028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785" name="Group Box 41" hidden="1">
                <a:extLst>
                  <a:ext uri="{63B3BB69-23CF-44E3-9099-C40C66FF867C}">
                    <a14:compatExt spid="_x0000_s159785"/>
                  </a:ext>
                  <a:ext uri="{FF2B5EF4-FFF2-40B4-BE49-F238E27FC236}">
                    <a16:creationId xmlns:a16="http://schemas.microsoft.com/office/drawing/2014/main" id="{00000000-0008-0000-1B00-000029700200}"/>
                  </a:ext>
                </a:extLst>
              </xdr:cNvPr>
              <xdr:cNvSpPr/>
            </xdr:nvSpPr>
            <xdr:spPr bwMode="auto">
              <a:xfrm>
                <a:off x="2995465" y="3846817"/>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C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C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C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C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C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1C00-000019000000}"/>
                </a:ext>
              </a:extLst>
            </xdr:cNvPr>
            <xdr:cNvGrpSpPr/>
          </xdr:nvGrpSpPr>
          <xdr:grpSpPr>
            <a:xfrm>
              <a:off x="3697726" y="17127940"/>
              <a:ext cx="1955323" cy="1649105"/>
              <a:chOff x="2994669" y="2201908"/>
              <a:chExt cx="1960965" cy="1646923"/>
            </a:xfrm>
          </xdr:grpSpPr>
          <xdr:sp macro="" textlink="">
            <xdr:nvSpPr>
              <xdr:cNvPr id="159792" name="Option Button 48" descr="Case d'option 47" hidden="1">
                <a:extLst>
                  <a:ext uri="{63B3BB69-23CF-44E3-9099-C40C66FF867C}">
                    <a14:compatExt spid="_x0000_s159792"/>
                  </a:ext>
                  <a:ext uri="{FF2B5EF4-FFF2-40B4-BE49-F238E27FC236}">
                    <a16:creationId xmlns:a16="http://schemas.microsoft.com/office/drawing/2014/main" id="{00000000-0008-0000-1B00-000030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793" name="Option Button 49" hidden="1">
                <a:extLst>
                  <a:ext uri="{63B3BB69-23CF-44E3-9099-C40C66FF867C}">
                    <a14:compatExt spid="_x0000_s159793"/>
                  </a:ext>
                  <a:ext uri="{FF2B5EF4-FFF2-40B4-BE49-F238E27FC236}">
                    <a16:creationId xmlns:a16="http://schemas.microsoft.com/office/drawing/2014/main" id="{00000000-0008-0000-1B00-000031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794" name="Option Button 50" hidden="1">
                <a:extLst>
                  <a:ext uri="{63B3BB69-23CF-44E3-9099-C40C66FF867C}">
                    <a14:compatExt spid="_x0000_s159794"/>
                  </a:ext>
                  <a:ext uri="{FF2B5EF4-FFF2-40B4-BE49-F238E27FC236}">
                    <a16:creationId xmlns:a16="http://schemas.microsoft.com/office/drawing/2014/main" id="{00000000-0008-0000-1B00-000032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795" name="Option Button 51" hidden="1">
                <a:extLst>
                  <a:ext uri="{63B3BB69-23CF-44E3-9099-C40C66FF867C}">
                    <a14:compatExt spid="_x0000_s159795"/>
                  </a:ext>
                  <a:ext uri="{FF2B5EF4-FFF2-40B4-BE49-F238E27FC236}">
                    <a16:creationId xmlns:a16="http://schemas.microsoft.com/office/drawing/2014/main" id="{00000000-0008-0000-1B00-000033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796" name="Group Box 52" hidden="1">
                <a:extLst>
                  <a:ext uri="{63B3BB69-23CF-44E3-9099-C40C66FF867C}">
                    <a14:compatExt spid="_x0000_s159796"/>
                  </a:ext>
                  <a:ext uri="{FF2B5EF4-FFF2-40B4-BE49-F238E27FC236}">
                    <a16:creationId xmlns:a16="http://schemas.microsoft.com/office/drawing/2014/main" id="{00000000-0008-0000-1B00-000034700200}"/>
                  </a:ext>
                </a:extLst>
              </xdr:cNvPr>
              <xdr:cNvSpPr/>
            </xdr:nvSpPr>
            <xdr:spPr bwMode="auto">
              <a:xfrm>
                <a:off x="2994669" y="2201908"/>
                <a:ext cx="1960965"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1C00-00001A000000}"/>
                </a:ext>
              </a:extLst>
            </xdr:cNvPr>
            <xdr:cNvGrpSpPr/>
          </xdr:nvGrpSpPr>
          <xdr:grpSpPr>
            <a:xfrm>
              <a:off x="3696269" y="15478839"/>
              <a:ext cx="1956179" cy="1649104"/>
              <a:chOff x="2995465" y="3846766"/>
              <a:chExt cx="1960181" cy="1644867"/>
            </a:xfrm>
          </xdr:grpSpPr>
          <xdr:sp macro="" textlink="">
            <xdr:nvSpPr>
              <xdr:cNvPr id="159797" name="Option Button 53" hidden="1">
                <a:extLst>
                  <a:ext uri="{63B3BB69-23CF-44E3-9099-C40C66FF867C}">
                    <a14:compatExt spid="_x0000_s159797"/>
                  </a:ext>
                  <a:ext uri="{FF2B5EF4-FFF2-40B4-BE49-F238E27FC236}">
                    <a16:creationId xmlns:a16="http://schemas.microsoft.com/office/drawing/2014/main" id="{00000000-0008-0000-1B00-000035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798" name="Option Button 54" hidden="1">
                <a:extLst>
                  <a:ext uri="{63B3BB69-23CF-44E3-9099-C40C66FF867C}">
                    <a14:compatExt spid="_x0000_s159798"/>
                  </a:ext>
                  <a:ext uri="{FF2B5EF4-FFF2-40B4-BE49-F238E27FC236}">
                    <a16:creationId xmlns:a16="http://schemas.microsoft.com/office/drawing/2014/main" id="{00000000-0008-0000-1B00-000036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799" name="Option Button 55" hidden="1">
                <a:extLst>
                  <a:ext uri="{63B3BB69-23CF-44E3-9099-C40C66FF867C}">
                    <a14:compatExt spid="_x0000_s159799"/>
                  </a:ext>
                  <a:ext uri="{FF2B5EF4-FFF2-40B4-BE49-F238E27FC236}">
                    <a16:creationId xmlns:a16="http://schemas.microsoft.com/office/drawing/2014/main" id="{00000000-0008-0000-1B00-000037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00" name="Option Button 56" hidden="1">
                <a:extLst>
                  <a:ext uri="{63B3BB69-23CF-44E3-9099-C40C66FF867C}">
                    <a14:compatExt spid="_x0000_s159800"/>
                  </a:ext>
                  <a:ext uri="{FF2B5EF4-FFF2-40B4-BE49-F238E27FC236}">
                    <a16:creationId xmlns:a16="http://schemas.microsoft.com/office/drawing/2014/main" id="{00000000-0008-0000-1B00-000038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01" name="Group Box 57" hidden="1">
                <a:extLst>
                  <a:ext uri="{63B3BB69-23CF-44E3-9099-C40C66FF867C}">
                    <a14:compatExt spid="_x0000_s159801"/>
                  </a:ext>
                  <a:ext uri="{FF2B5EF4-FFF2-40B4-BE49-F238E27FC236}">
                    <a16:creationId xmlns:a16="http://schemas.microsoft.com/office/drawing/2014/main" id="{00000000-0008-0000-1B00-000039700200}"/>
                  </a:ext>
                </a:extLst>
              </xdr:cNvPr>
              <xdr:cNvSpPr/>
            </xdr:nvSpPr>
            <xdr:spPr bwMode="auto">
              <a:xfrm>
                <a:off x="2995465" y="3846766"/>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1C00-00001B000000}"/>
                </a:ext>
              </a:extLst>
            </xdr:cNvPr>
            <xdr:cNvGrpSpPr/>
          </xdr:nvGrpSpPr>
          <xdr:grpSpPr>
            <a:xfrm>
              <a:off x="3696829" y="13830038"/>
              <a:ext cx="1954893" cy="1650856"/>
              <a:chOff x="2994659" y="2201918"/>
              <a:chExt cx="1960969" cy="1646922"/>
            </a:xfrm>
          </xdr:grpSpPr>
          <xdr:sp macro="" textlink="">
            <xdr:nvSpPr>
              <xdr:cNvPr id="159802" name="Option Button 58" descr="Case d'option 47" hidden="1">
                <a:extLst>
                  <a:ext uri="{63B3BB69-23CF-44E3-9099-C40C66FF867C}">
                    <a14:compatExt spid="_x0000_s159802"/>
                  </a:ext>
                  <a:ext uri="{FF2B5EF4-FFF2-40B4-BE49-F238E27FC236}">
                    <a16:creationId xmlns:a16="http://schemas.microsoft.com/office/drawing/2014/main" id="{00000000-0008-0000-1B00-00003A7002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03" name="Option Button 59" hidden="1">
                <a:extLst>
                  <a:ext uri="{63B3BB69-23CF-44E3-9099-C40C66FF867C}">
                    <a14:compatExt spid="_x0000_s159803"/>
                  </a:ext>
                  <a:ext uri="{FF2B5EF4-FFF2-40B4-BE49-F238E27FC236}">
                    <a16:creationId xmlns:a16="http://schemas.microsoft.com/office/drawing/2014/main" id="{00000000-0008-0000-1B00-00003B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04" name="Option Button 60" hidden="1">
                <a:extLst>
                  <a:ext uri="{63B3BB69-23CF-44E3-9099-C40C66FF867C}">
                    <a14:compatExt spid="_x0000_s159804"/>
                  </a:ext>
                  <a:ext uri="{FF2B5EF4-FFF2-40B4-BE49-F238E27FC236}">
                    <a16:creationId xmlns:a16="http://schemas.microsoft.com/office/drawing/2014/main" id="{00000000-0008-0000-1B00-00003C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05" name="Option Button 61" hidden="1">
                <a:extLst>
                  <a:ext uri="{63B3BB69-23CF-44E3-9099-C40C66FF867C}">
                    <a14:compatExt spid="_x0000_s159805"/>
                  </a:ext>
                  <a:ext uri="{FF2B5EF4-FFF2-40B4-BE49-F238E27FC236}">
                    <a16:creationId xmlns:a16="http://schemas.microsoft.com/office/drawing/2014/main" id="{00000000-0008-0000-1B00-00003D7002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06" name="Group Box 62" hidden="1">
                <a:extLst>
                  <a:ext uri="{63B3BB69-23CF-44E3-9099-C40C66FF867C}">
                    <a14:compatExt spid="_x0000_s159806"/>
                  </a:ext>
                  <a:ext uri="{FF2B5EF4-FFF2-40B4-BE49-F238E27FC236}">
                    <a16:creationId xmlns:a16="http://schemas.microsoft.com/office/drawing/2014/main" id="{00000000-0008-0000-1B00-00003E700200}"/>
                  </a:ext>
                </a:extLst>
              </xdr:cNvPr>
              <xdr:cNvSpPr/>
            </xdr:nvSpPr>
            <xdr:spPr bwMode="auto">
              <a:xfrm>
                <a:off x="2994659" y="2201918"/>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C00-00001C000000}"/>
                </a:ext>
              </a:extLst>
            </xdr:cNvPr>
            <xdr:cNvGrpSpPr/>
          </xdr:nvGrpSpPr>
          <xdr:grpSpPr>
            <a:xfrm>
              <a:off x="3696269" y="12180627"/>
              <a:ext cx="1956179" cy="1649104"/>
              <a:chOff x="2994704" y="2201909"/>
              <a:chExt cx="1960968" cy="1646922"/>
            </a:xfrm>
          </xdr:grpSpPr>
          <xdr:sp macro="" textlink="">
            <xdr:nvSpPr>
              <xdr:cNvPr id="159807" name="Option Button 63" descr="Case d'option 47" hidden="1">
                <a:extLst>
                  <a:ext uri="{63B3BB69-23CF-44E3-9099-C40C66FF867C}">
                    <a14:compatExt spid="_x0000_s159807"/>
                  </a:ext>
                  <a:ext uri="{FF2B5EF4-FFF2-40B4-BE49-F238E27FC236}">
                    <a16:creationId xmlns:a16="http://schemas.microsoft.com/office/drawing/2014/main" id="{00000000-0008-0000-1B00-00003F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08" name="Option Button 64" hidden="1">
                <a:extLst>
                  <a:ext uri="{63B3BB69-23CF-44E3-9099-C40C66FF867C}">
                    <a14:compatExt spid="_x0000_s159808"/>
                  </a:ext>
                  <a:ext uri="{FF2B5EF4-FFF2-40B4-BE49-F238E27FC236}">
                    <a16:creationId xmlns:a16="http://schemas.microsoft.com/office/drawing/2014/main" id="{00000000-0008-0000-1B00-000040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09" name="Option Button 65" hidden="1">
                <a:extLst>
                  <a:ext uri="{63B3BB69-23CF-44E3-9099-C40C66FF867C}">
                    <a14:compatExt spid="_x0000_s159809"/>
                  </a:ext>
                  <a:ext uri="{FF2B5EF4-FFF2-40B4-BE49-F238E27FC236}">
                    <a16:creationId xmlns:a16="http://schemas.microsoft.com/office/drawing/2014/main" id="{00000000-0008-0000-1B00-000041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10" name="Option Button 66" hidden="1">
                <a:extLst>
                  <a:ext uri="{63B3BB69-23CF-44E3-9099-C40C66FF867C}">
                    <a14:compatExt spid="_x0000_s159810"/>
                  </a:ext>
                  <a:ext uri="{FF2B5EF4-FFF2-40B4-BE49-F238E27FC236}">
                    <a16:creationId xmlns:a16="http://schemas.microsoft.com/office/drawing/2014/main" id="{00000000-0008-0000-1B00-000042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11" name="Group Box 67" hidden="1">
                <a:extLst>
                  <a:ext uri="{63B3BB69-23CF-44E3-9099-C40C66FF867C}">
                    <a14:compatExt spid="_x0000_s159811"/>
                  </a:ext>
                  <a:ext uri="{FF2B5EF4-FFF2-40B4-BE49-F238E27FC236}">
                    <a16:creationId xmlns:a16="http://schemas.microsoft.com/office/drawing/2014/main" id="{00000000-0008-0000-1B00-000043700200}"/>
                  </a:ext>
                </a:extLst>
              </xdr:cNvPr>
              <xdr:cNvSpPr/>
            </xdr:nvSpPr>
            <xdr:spPr bwMode="auto">
              <a:xfrm>
                <a:off x="2994704" y="2201909"/>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C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C00-00001E000000}"/>
                </a:ext>
              </a:extLst>
            </xdr:cNvPr>
            <xdr:cNvGrpSpPr/>
          </xdr:nvGrpSpPr>
          <xdr:grpSpPr>
            <a:xfrm>
              <a:off x="3696269" y="20994806"/>
              <a:ext cx="1956179" cy="1651159"/>
              <a:chOff x="2994708" y="2201921"/>
              <a:chExt cx="1960968" cy="1646922"/>
            </a:xfrm>
          </xdr:grpSpPr>
          <xdr:sp macro="" textlink="">
            <xdr:nvSpPr>
              <xdr:cNvPr id="159812" name="Option Button 68" descr="Case d'option 47" hidden="1">
                <a:extLst>
                  <a:ext uri="{63B3BB69-23CF-44E3-9099-C40C66FF867C}">
                    <a14:compatExt spid="_x0000_s159812"/>
                  </a:ext>
                  <a:ext uri="{FF2B5EF4-FFF2-40B4-BE49-F238E27FC236}">
                    <a16:creationId xmlns:a16="http://schemas.microsoft.com/office/drawing/2014/main" id="{00000000-0008-0000-1B00-000044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13" name="Option Button 69" hidden="1">
                <a:extLst>
                  <a:ext uri="{63B3BB69-23CF-44E3-9099-C40C66FF867C}">
                    <a14:compatExt spid="_x0000_s159813"/>
                  </a:ext>
                  <a:ext uri="{FF2B5EF4-FFF2-40B4-BE49-F238E27FC236}">
                    <a16:creationId xmlns:a16="http://schemas.microsoft.com/office/drawing/2014/main" id="{00000000-0008-0000-1B00-000045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14" name="Option Button 70" hidden="1">
                <a:extLst>
                  <a:ext uri="{63B3BB69-23CF-44E3-9099-C40C66FF867C}">
                    <a14:compatExt spid="_x0000_s159814"/>
                  </a:ext>
                  <a:ext uri="{FF2B5EF4-FFF2-40B4-BE49-F238E27FC236}">
                    <a16:creationId xmlns:a16="http://schemas.microsoft.com/office/drawing/2014/main" id="{00000000-0008-0000-1B00-000046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15" name="Option Button 71" hidden="1">
                <a:extLst>
                  <a:ext uri="{63B3BB69-23CF-44E3-9099-C40C66FF867C}">
                    <a14:compatExt spid="_x0000_s159815"/>
                  </a:ext>
                  <a:ext uri="{FF2B5EF4-FFF2-40B4-BE49-F238E27FC236}">
                    <a16:creationId xmlns:a16="http://schemas.microsoft.com/office/drawing/2014/main" id="{00000000-0008-0000-1B00-000047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16" name="Group Box 72" hidden="1">
                <a:extLst>
                  <a:ext uri="{63B3BB69-23CF-44E3-9099-C40C66FF867C}">
                    <a14:compatExt spid="_x0000_s159816"/>
                  </a:ext>
                  <a:ext uri="{FF2B5EF4-FFF2-40B4-BE49-F238E27FC236}">
                    <a16:creationId xmlns:a16="http://schemas.microsoft.com/office/drawing/2014/main" id="{00000000-0008-0000-1B00-000048700200}"/>
                  </a:ext>
                </a:extLst>
              </xdr:cNvPr>
              <xdr:cNvSpPr/>
            </xdr:nvSpPr>
            <xdr:spPr bwMode="auto">
              <a:xfrm>
                <a:off x="2994708" y="2201921"/>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C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C00-000021000000}"/>
                </a:ext>
              </a:extLst>
            </xdr:cNvPr>
            <xdr:cNvGrpSpPr/>
          </xdr:nvGrpSpPr>
          <xdr:grpSpPr>
            <a:xfrm>
              <a:off x="3696269" y="22643910"/>
              <a:ext cx="1956179" cy="1649105"/>
              <a:chOff x="2995465" y="3846756"/>
              <a:chExt cx="1960181" cy="1644868"/>
            </a:xfrm>
          </xdr:grpSpPr>
          <xdr:sp macro="" textlink="">
            <xdr:nvSpPr>
              <xdr:cNvPr id="159817" name="Option Button 73" hidden="1">
                <a:extLst>
                  <a:ext uri="{63B3BB69-23CF-44E3-9099-C40C66FF867C}">
                    <a14:compatExt spid="_x0000_s159817"/>
                  </a:ext>
                  <a:ext uri="{FF2B5EF4-FFF2-40B4-BE49-F238E27FC236}">
                    <a16:creationId xmlns:a16="http://schemas.microsoft.com/office/drawing/2014/main" id="{00000000-0008-0000-1B00-000049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18" name="Option Button 74" hidden="1">
                <a:extLst>
                  <a:ext uri="{63B3BB69-23CF-44E3-9099-C40C66FF867C}">
                    <a14:compatExt spid="_x0000_s159818"/>
                  </a:ext>
                  <a:ext uri="{FF2B5EF4-FFF2-40B4-BE49-F238E27FC236}">
                    <a16:creationId xmlns:a16="http://schemas.microsoft.com/office/drawing/2014/main" id="{00000000-0008-0000-1B00-00004A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19" name="Option Button 75" hidden="1">
                <a:extLst>
                  <a:ext uri="{63B3BB69-23CF-44E3-9099-C40C66FF867C}">
                    <a14:compatExt spid="_x0000_s159819"/>
                  </a:ext>
                  <a:ext uri="{FF2B5EF4-FFF2-40B4-BE49-F238E27FC236}">
                    <a16:creationId xmlns:a16="http://schemas.microsoft.com/office/drawing/2014/main" id="{00000000-0008-0000-1B00-00004B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20" name="Option Button 76" hidden="1">
                <a:extLst>
                  <a:ext uri="{63B3BB69-23CF-44E3-9099-C40C66FF867C}">
                    <a14:compatExt spid="_x0000_s159820"/>
                  </a:ext>
                  <a:ext uri="{FF2B5EF4-FFF2-40B4-BE49-F238E27FC236}">
                    <a16:creationId xmlns:a16="http://schemas.microsoft.com/office/drawing/2014/main" id="{00000000-0008-0000-1B00-00004C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21" name="Group Box 77" hidden="1">
                <a:extLst>
                  <a:ext uri="{63B3BB69-23CF-44E3-9099-C40C66FF867C}">
                    <a14:compatExt spid="_x0000_s159821"/>
                  </a:ext>
                  <a:ext uri="{FF2B5EF4-FFF2-40B4-BE49-F238E27FC236}">
                    <a16:creationId xmlns:a16="http://schemas.microsoft.com/office/drawing/2014/main" id="{00000000-0008-0000-1B00-00004D700200}"/>
                  </a:ext>
                </a:extLst>
              </xdr:cNvPr>
              <xdr:cNvSpPr/>
            </xdr:nvSpPr>
            <xdr:spPr bwMode="auto">
              <a:xfrm>
                <a:off x="2995465" y="3846756"/>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C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C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47</xdr:row>
          <xdr:rowOff>3000</xdr:rowOff>
        </xdr:to>
        <xdr:grpSp>
          <xdr:nvGrpSpPr>
            <xdr:cNvPr id="36" name="Groupe 35">
              <a:extLst>
                <a:ext uri="{FF2B5EF4-FFF2-40B4-BE49-F238E27FC236}">
                  <a16:creationId xmlns:a16="http://schemas.microsoft.com/office/drawing/2014/main" id="{00000000-0008-0000-1C00-000024000000}"/>
                </a:ext>
              </a:extLst>
            </xdr:cNvPr>
            <xdr:cNvGrpSpPr/>
          </xdr:nvGrpSpPr>
          <xdr:grpSpPr>
            <a:xfrm>
              <a:off x="3696506" y="25942119"/>
              <a:ext cx="1955942" cy="1913687"/>
              <a:chOff x="2994702" y="2201916"/>
              <a:chExt cx="1960968" cy="1646926"/>
            </a:xfrm>
          </xdr:grpSpPr>
          <xdr:sp macro="" textlink="">
            <xdr:nvSpPr>
              <xdr:cNvPr id="159822" name="Option Button 78" descr="Case d'option 47" hidden="1">
                <a:extLst>
                  <a:ext uri="{63B3BB69-23CF-44E3-9099-C40C66FF867C}">
                    <a14:compatExt spid="_x0000_s159822"/>
                  </a:ext>
                  <a:ext uri="{FF2B5EF4-FFF2-40B4-BE49-F238E27FC236}">
                    <a16:creationId xmlns:a16="http://schemas.microsoft.com/office/drawing/2014/main" id="{00000000-0008-0000-1B00-00004E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23" name="Option Button 79" hidden="1">
                <a:extLst>
                  <a:ext uri="{63B3BB69-23CF-44E3-9099-C40C66FF867C}">
                    <a14:compatExt spid="_x0000_s159823"/>
                  </a:ext>
                  <a:ext uri="{FF2B5EF4-FFF2-40B4-BE49-F238E27FC236}">
                    <a16:creationId xmlns:a16="http://schemas.microsoft.com/office/drawing/2014/main" id="{00000000-0008-0000-1B00-00004F700200}"/>
                  </a:ext>
                </a:extLst>
              </xdr:cNvPr>
              <xdr:cNvSpPr/>
            </xdr:nvSpPr>
            <xdr:spPr bwMode="auto">
              <a:xfrm>
                <a:off x="3102128" y="2507369"/>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24" name="Option Button 80" hidden="1">
                <a:extLst>
                  <a:ext uri="{63B3BB69-23CF-44E3-9099-C40C66FF867C}">
                    <a14:compatExt spid="_x0000_s159824"/>
                  </a:ext>
                  <a:ext uri="{FF2B5EF4-FFF2-40B4-BE49-F238E27FC236}">
                    <a16:creationId xmlns:a16="http://schemas.microsoft.com/office/drawing/2014/main" id="{00000000-0008-0000-1B00-000050700200}"/>
                  </a:ext>
                </a:extLst>
              </xdr:cNvPr>
              <xdr:cNvSpPr/>
            </xdr:nvSpPr>
            <xdr:spPr bwMode="auto">
              <a:xfrm>
                <a:off x="3102128" y="2751861"/>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25" name="Option Button 81" hidden="1">
                <a:extLst>
                  <a:ext uri="{63B3BB69-23CF-44E3-9099-C40C66FF867C}">
                    <a14:compatExt spid="_x0000_s159825"/>
                  </a:ext>
                  <a:ext uri="{FF2B5EF4-FFF2-40B4-BE49-F238E27FC236}">
                    <a16:creationId xmlns:a16="http://schemas.microsoft.com/office/drawing/2014/main" id="{00000000-0008-0000-1B00-000051700200}"/>
                  </a:ext>
                </a:extLst>
              </xdr:cNvPr>
              <xdr:cNvSpPr/>
            </xdr:nvSpPr>
            <xdr:spPr bwMode="auto">
              <a:xfrm>
                <a:off x="3102128" y="2973493"/>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26" name="Group Box 82" hidden="1">
                <a:extLst>
                  <a:ext uri="{63B3BB69-23CF-44E3-9099-C40C66FF867C}">
                    <a14:compatExt spid="_x0000_s159826"/>
                  </a:ext>
                  <a:ext uri="{FF2B5EF4-FFF2-40B4-BE49-F238E27FC236}">
                    <a16:creationId xmlns:a16="http://schemas.microsoft.com/office/drawing/2014/main" id="{00000000-0008-0000-1B00-000052700200}"/>
                  </a:ext>
                </a:extLst>
              </xdr:cNvPr>
              <xdr:cNvSpPr/>
            </xdr:nvSpPr>
            <xdr:spPr bwMode="auto">
              <a:xfrm>
                <a:off x="2994702" y="2201916"/>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C00-000025000000}"/>
                </a:ext>
              </a:extLst>
            </xdr:cNvPr>
            <xdr:cNvGrpSpPr/>
          </xdr:nvGrpSpPr>
          <xdr:grpSpPr>
            <a:xfrm>
              <a:off x="3696269" y="24293015"/>
              <a:ext cx="1956179" cy="1649104"/>
              <a:chOff x="2994704" y="2201890"/>
              <a:chExt cx="1960968" cy="1646922"/>
            </a:xfrm>
          </xdr:grpSpPr>
          <xdr:sp macro="" textlink="">
            <xdr:nvSpPr>
              <xdr:cNvPr id="159827" name="Option Button 83" descr="Case d'option 47" hidden="1">
                <a:extLst>
                  <a:ext uri="{63B3BB69-23CF-44E3-9099-C40C66FF867C}">
                    <a14:compatExt spid="_x0000_s159827"/>
                  </a:ext>
                  <a:ext uri="{FF2B5EF4-FFF2-40B4-BE49-F238E27FC236}">
                    <a16:creationId xmlns:a16="http://schemas.microsoft.com/office/drawing/2014/main" id="{00000000-0008-0000-1B00-000053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28" name="Option Button 84" hidden="1">
                <a:extLst>
                  <a:ext uri="{63B3BB69-23CF-44E3-9099-C40C66FF867C}">
                    <a14:compatExt spid="_x0000_s159828"/>
                  </a:ext>
                  <a:ext uri="{FF2B5EF4-FFF2-40B4-BE49-F238E27FC236}">
                    <a16:creationId xmlns:a16="http://schemas.microsoft.com/office/drawing/2014/main" id="{00000000-0008-0000-1B00-000054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29" name="Option Button 85" hidden="1">
                <a:extLst>
                  <a:ext uri="{63B3BB69-23CF-44E3-9099-C40C66FF867C}">
                    <a14:compatExt spid="_x0000_s159829"/>
                  </a:ext>
                  <a:ext uri="{FF2B5EF4-FFF2-40B4-BE49-F238E27FC236}">
                    <a16:creationId xmlns:a16="http://schemas.microsoft.com/office/drawing/2014/main" id="{00000000-0008-0000-1B00-000055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30" name="Option Button 86" hidden="1">
                <a:extLst>
                  <a:ext uri="{63B3BB69-23CF-44E3-9099-C40C66FF867C}">
                    <a14:compatExt spid="_x0000_s159830"/>
                  </a:ext>
                  <a:ext uri="{FF2B5EF4-FFF2-40B4-BE49-F238E27FC236}">
                    <a16:creationId xmlns:a16="http://schemas.microsoft.com/office/drawing/2014/main" id="{00000000-0008-0000-1B00-000056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31" name="Group Box 87" hidden="1">
                <a:extLst>
                  <a:ext uri="{63B3BB69-23CF-44E3-9099-C40C66FF867C}">
                    <a14:compatExt spid="_x0000_s159831"/>
                  </a:ext>
                  <a:ext uri="{FF2B5EF4-FFF2-40B4-BE49-F238E27FC236}">
                    <a16:creationId xmlns:a16="http://schemas.microsoft.com/office/drawing/2014/main" id="{00000000-0008-0000-1B00-000057700200}"/>
                  </a:ext>
                </a:extLst>
              </xdr:cNvPr>
              <xdr:cNvSpPr/>
            </xdr:nvSpPr>
            <xdr:spPr bwMode="auto">
              <a:xfrm>
                <a:off x="2994704" y="2201890"/>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C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C00-000028000000}"/>
                </a:ext>
              </a:extLst>
            </xdr:cNvPr>
            <xdr:cNvGrpSpPr/>
          </xdr:nvGrpSpPr>
          <xdr:grpSpPr>
            <a:xfrm>
              <a:off x="3696269" y="33368776"/>
              <a:ext cx="1956179" cy="1649105"/>
              <a:chOff x="2995465" y="3846823"/>
              <a:chExt cx="1960181" cy="1644869"/>
            </a:xfrm>
          </xdr:grpSpPr>
          <xdr:sp macro="" textlink="">
            <xdr:nvSpPr>
              <xdr:cNvPr id="159832" name="Option Button 88" hidden="1">
                <a:extLst>
                  <a:ext uri="{63B3BB69-23CF-44E3-9099-C40C66FF867C}">
                    <a14:compatExt spid="_x0000_s159832"/>
                  </a:ext>
                  <a:ext uri="{FF2B5EF4-FFF2-40B4-BE49-F238E27FC236}">
                    <a16:creationId xmlns:a16="http://schemas.microsoft.com/office/drawing/2014/main" id="{00000000-0008-0000-1B00-000058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33" name="Option Button 89" hidden="1">
                <a:extLst>
                  <a:ext uri="{63B3BB69-23CF-44E3-9099-C40C66FF867C}">
                    <a14:compatExt spid="_x0000_s159833"/>
                  </a:ext>
                  <a:ext uri="{FF2B5EF4-FFF2-40B4-BE49-F238E27FC236}">
                    <a16:creationId xmlns:a16="http://schemas.microsoft.com/office/drawing/2014/main" id="{00000000-0008-0000-1B00-000059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34" name="Option Button 90" hidden="1">
                <a:extLst>
                  <a:ext uri="{63B3BB69-23CF-44E3-9099-C40C66FF867C}">
                    <a14:compatExt spid="_x0000_s159834"/>
                  </a:ext>
                  <a:ext uri="{FF2B5EF4-FFF2-40B4-BE49-F238E27FC236}">
                    <a16:creationId xmlns:a16="http://schemas.microsoft.com/office/drawing/2014/main" id="{00000000-0008-0000-1B00-00005A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35" name="Option Button 91" hidden="1">
                <a:extLst>
                  <a:ext uri="{63B3BB69-23CF-44E3-9099-C40C66FF867C}">
                    <a14:compatExt spid="_x0000_s159835"/>
                  </a:ext>
                  <a:ext uri="{FF2B5EF4-FFF2-40B4-BE49-F238E27FC236}">
                    <a16:creationId xmlns:a16="http://schemas.microsoft.com/office/drawing/2014/main" id="{00000000-0008-0000-1B00-00005B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36" name="Group Box 92" hidden="1">
                <a:extLst>
                  <a:ext uri="{63B3BB69-23CF-44E3-9099-C40C66FF867C}">
                    <a14:compatExt spid="_x0000_s159836"/>
                  </a:ext>
                  <a:ext uri="{FF2B5EF4-FFF2-40B4-BE49-F238E27FC236}">
                    <a16:creationId xmlns:a16="http://schemas.microsoft.com/office/drawing/2014/main" id="{00000000-0008-0000-1B00-00005C700200}"/>
                  </a:ext>
                </a:extLst>
              </xdr:cNvPr>
              <xdr:cNvSpPr/>
            </xdr:nvSpPr>
            <xdr:spPr bwMode="auto">
              <a:xfrm>
                <a:off x="2995465" y="384682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C00-000029000000}"/>
                </a:ext>
              </a:extLst>
            </xdr:cNvPr>
            <xdr:cNvGrpSpPr/>
          </xdr:nvGrpSpPr>
          <xdr:grpSpPr>
            <a:xfrm>
              <a:off x="3696269" y="31719672"/>
              <a:ext cx="1956179" cy="1651159"/>
              <a:chOff x="2994708" y="2201917"/>
              <a:chExt cx="1960968" cy="1646922"/>
            </a:xfrm>
          </xdr:grpSpPr>
          <xdr:sp macro="" textlink="">
            <xdr:nvSpPr>
              <xdr:cNvPr id="159837" name="Option Button 93" descr="Case d'option 47" hidden="1">
                <a:extLst>
                  <a:ext uri="{63B3BB69-23CF-44E3-9099-C40C66FF867C}">
                    <a14:compatExt spid="_x0000_s159837"/>
                  </a:ext>
                  <a:ext uri="{FF2B5EF4-FFF2-40B4-BE49-F238E27FC236}">
                    <a16:creationId xmlns:a16="http://schemas.microsoft.com/office/drawing/2014/main" id="{00000000-0008-0000-1B00-00005D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38" name="Option Button 94" hidden="1">
                <a:extLst>
                  <a:ext uri="{63B3BB69-23CF-44E3-9099-C40C66FF867C}">
                    <a14:compatExt spid="_x0000_s159838"/>
                  </a:ext>
                  <a:ext uri="{FF2B5EF4-FFF2-40B4-BE49-F238E27FC236}">
                    <a16:creationId xmlns:a16="http://schemas.microsoft.com/office/drawing/2014/main" id="{00000000-0008-0000-1B00-00005E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39" name="Option Button 95" hidden="1">
                <a:extLst>
                  <a:ext uri="{63B3BB69-23CF-44E3-9099-C40C66FF867C}">
                    <a14:compatExt spid="_x0000_s159839"/>
                  </a:ext>
                  <a:ext uri="{FF2B5EF4-FFF2-40B4-BE49-F238E27FC236}">
                    <a16:creationId xmlns:a16="http://schemas.microsoft.com/office/drawing/2014/main" id="{00000000-0008-0000-1B00-00005F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40" name="Option Button 96" hidden="1">
                <a:extLst>
                  <a:ext uri="{63B3BB69-23CF-44E3-9099-C40C66FF867C}">
                    <a14:compatExt spid="_x0000_s159840"/>
                  </a:ext>
                  <a:ext uri="{FF2B5EF4-FFF2-40B4-BE49-F238E27FC236}">
                    <a16:creationId xmlns:a16="http://schemas.microsoft.com/office/drawing/2014/main" id="{00000000-0008-0000-1B00-000060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41" name="Group Box 97" hidden="1">
                <a:extLst>
                  <a:ext uri="{63B3BB69-23CF-44E3-9099-C40C66FF867C}">
                    <a14:compatExt spid="_x0000_s159841"/>
                  </a:ext>
                  <a:ext uri="{FF2B5EF4-FFF2-40B4-BE49-F238E27FC236}">
                    <a16:creationId xmlns:a16="http://schemas.microsoft.com/office/drawing/2014/main" id="{00000000-0008-0000-1B00-000061700200}"/>
                  </a:ext>
                </a:extLst>
              </xdr:cNvPr>
              <xdr:cNvSpPr/>
            </xdr:nvSpPr>
            <xdr:spPr bwMode="auto">
              <a:xfrm>
                <a:off x="2994708" y="220191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C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C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C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C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0</xdr:rowOff>
        </xdr:to>
        <xdr:grpSp>
          <xdr:nvGrpSpPr>
            <xdr:cNvPr id="46" name="Groupe 45">
              <a:extLst>
                <a:ext uri="{FF2B5EF4-FFF2-40B4-BE49-F238E27FC236}">
                  <a16:creationId xmlns:a16="http://schemas.microsoft.com/office/drawing/2014/main" id="{00000000-0008-0000-1C00-00002E000000}"/>
                </a:ext>
              </a:extLst>
            </xdr:cNvPr>
            <xdr:cNvGrpSpPr/>
          </xdr:nvGrpSpPr>
          <xdr:grpSpPr>
            <a:xfrm>
              <a:off x="3696269" y="38316093"/>
              <a:ext cx="1956179" cy="1774206"/>
              <a:chOff x="2995465" y="3846784"/>
              <a:chExt cx="1960181" cy="1644867"/>
            </a:xfrm>
          </xdr:grpSpPr>
          <xdr:sp macro="" textlink="">
            <xdr:nvSpPr>
              <xdr:cNvPr id="159843" name="Option Button 99" hidden="1">
                <a:extLst>
                  <a:ext uri="{63B3BB69-23CF-44E3-9099-C40C66FF867C}">
                    <a14:compatExt spid="_x0000_s159843"/>
                  </a:ext>
                  <a:ext uri="{FF2B5EF4-FFF2-40B4-BE49-F238E27FC236}">
                    <a16:creationId xmlns:a16="http://schemas.microsoft.com/office/drawing/2014/main" id="{00000000-0008-0000-1B00-000063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44" name="Option Button 100" hidden="1">
                <a:extLst>
                  <a:ext uri="{63B3BB69-23CF-44E3-9099-C40C66FF867C}">
                    <a14:compatExt spid="_x0000_s159844"/>
                  </a:ext>
                  <a:ext uri="{FF2B5EF4-FFF2-40B4-BE49-F238E27FC236}">
                    <a16:creationId xmlns:a16="http://schemas.microsoft.com/office/drawing/2014/main" id="{00000000-0008-0000-1B00-000064700200}"/>
                  </a:ext>
                </a:extLst>
              </xdr:cNvPr>
              <xdr:cNvSpPr/>
            </xdr:nvSpPr>
            <xdr:spPr bwMode="auto">
              <a:xfrm>
                <a:off x="3109748" y="4214728"/>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45" name="Option Button 101" hidden="1">
                <a:extLst>
                  <a:ext uri="{63B3BB69-23CF-44E3-9099-C40C66FF867C}">
                    <a14:compatExt spid="_x0000_s159845"/>
                  </a:ext>
                  <a:ext uri="{FF2B5EF4-FFF2-40B4-BE49-F238E27FC236}">
                    <a16:creationId xmlns:a16="http://schemas.microsoft.com/office/drawing/2014/main" id="{00000000-0008-0000-1B00-000065700200}"/>
                  </a:ext>
                </a:extLst>
              </xdr:cNvPr>
              <xdr:cNvSpPr/>
            </xdr:nvSpPr>
            <xdr:spPr bwMode="auto">
              <a:xfrm>
                <a:off x="3109748" y="4453130"/>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46" name="Option Button 102" hidden="1">
                <a:extLst>
                  <a:ext uri="{63B3BB69-23CF-44E3-9099-C40C66FF867C}">
                    <a14:compatExt spid="_x0000_s159846"/>
                  </a:ext>
                  <a:ext uri="{FF2B5EF4-FFF2-40B4-BE49-F238E27FC236}">
                    <a16:creationId xmlns:a16="http://schemas.microsoft.com/office/drawing/2014/main" id="{00000000-0008-0000-1B00-000066700200}"/>
                  </a:ext>
                </a:extLst>
              </xdr:cNvPr>
              <xdr:cNvSpPr/>
            </xdr:nvSpPr>
            <xdr:spPr bwMode="auto">
              <a:xfrm>
                <a:off x="3109748" y="4691533"/>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47" name="Group Box 103" hidden="1">
                <a:extLst>
                  <a:ext uri="{63B3BB69-23CF-44E3-9099-C40C66FF867C}">
                    <a14:compatExt spid="_x0000_s159847"/>
                  </a:ext>
                  <a:ext uri="{FF2B5EF4-FFF2-40B4-BE49-F238E27FC236}">
                    <a16:creationId xmlns:a16="http://schemas.microsoft.com/office/drawing/2014/main" id="{00000000-0008-0000-1B00-000067700200}"/>
                  </a:ext>
                </a:extLst>
              </xdr:cNvPr>
              <xdr:cNvSpPr/>
            </xdr:nvSpPr>
            <xdr:spPr bwMode="auto">
              <a:xfrm>
                <a:off x="2995465" y="3846784"/>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C00-00002F000000}"/>
                </a:ext>
              </a:extLst>
            </xdr:cNvPr>
            <xdr:cNvGrpSpPr/>
          </xdr:nvGrpSpPr>
          <xdr:grpSpPr>
            <a:xfrm>
              <a:off x="3699437" y="36666985"/>
              <a:ext cx="1953011" cy="1651163"/>
              <a:chOff x="2994667" y="2201912"/>
              <a:chExt cx="1960968" cy="1646925"/>
            </a:xfrm>
          </xdr:grpSpPr>
          <xdr:sp macro="" textlink="">
            <xdr:nvSpPr>
              <xdr:cNvPr id="159848" name="Option Button 104" descr="Case d'option 47" hidden="1">
                <a:extLst>
                  <a:ext uri="{63B3BB69-23CF-44E3-9099-C40C66FF867C}">
                    <a14:compatExt spid="_x0000_s159848"/>
                  </a:ext>
                  <a:ext uri="{FF2B5EF4-FFF2-40B4-BE49-F238E27FC236}">
                    <a16:creationId xmlns:a16="http://schemas.microsoft.com/office/drawing/2014/main" id="{00000000-0008-0000-1B00-000068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49" name="Option Button 105" hidden="1">
                <a:extLst>
                  <a:ext uri="{63B3BB69-23CF-44E3-9099-C40C66FF867C}">
                    <a14:compatExt spid="_x0000_s159849"/>
                  </a:ext>
                  <a:ext uri="{FF2B5EF4-FFF2-40B4-BE49-F238E27FC236}">
                    <a16:creationId xmlns:a16="http://schemas.microsoft.com/office/drawing/2014/main" id="{00000000-0008-0000-1B00-000069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50" name="Option Button 106" hidden="1">
                <a:extLst>
                  <a:ext uri="{63B3BB69-23CF-44E3-9099-C40C66FF867C}">
                    <a14:compatExt spid="_x0000_s159850"/>
                  </a:ext>
                  <a:ext uri="{FF2B5EF4-FFF2-40B4-BE49-F238E27FC236}">
                    <a16:creationId xmlns:a16="http://schemas.microsoft.com/office/drawing/2014/main" id="{00000000-0008-0000-1B00-00006A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51" name="Option Button 107" hidden="1">
                <a:extLst>
                  <a:ext uri="{63B3BB69-23CF-44E3-9099-C40C66FF867C}">
                    <a14:compatExt spid="_x0000_s159851"/>
                  </a:ext>
                  <a:ext uri="{FF2B5EF4-FFF2-40B4-BE49-F238E27FC236}">
                    <a16:creationId xmlns:a16="http://schemas.microsoft.com/office/drawing/2014/main" id="{00000000-0008-0000-1B00-00006B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52" name="Group Box 108" hidden="1">
                <a:extLst>
                  <a:ext uri="{63B3BB69-23CF-44E3-9099-C40C66FF867C}">
                    <a14:compatExt spid="_x0000_s159852"/>
                  </a:ext>
                  <a:ext uri="{FF2B5EF4-FFF2-40B4-BE49-F238E27FC236}">
                    <a16:creationId xmlns:a16="http://schemas.microsoft.com/office/drawing/2014/main" id="{00000000-0008-0000-1B00-00006C700200}"/>
                  </a:ext>
                </a:extLst>
              </xdr:cNvPr>
              <xdr:cNvSpPr/>
            </xdr:nvSpPr>
            <xdr:spPr bwMode="auto">
              <a:xfrm>
                <a:off x="2994667"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C00-000030000000}"/>
                </a:ext>
              </a:extLst>
            </xdr:cNvPr>
            <xdr:cNvGrpSpPr/>
          </xdr:nvGrpSpPr>
          <xdr:grpSpPr>
            <a:xfrm>
              <a:off x="3696269" y="35017881"/>
              <a:ext cx="1956179" cy="1649104"/>
              <a:chOff x="2994704" y="2201923"/>
              <a:chExt cx="1960968" cy="1646929"/>
            </a:xfrm>
          </xdr:grpSpPr>
          <xdr:sp macro="" textlink="">
            <xdr:nvSpPr>
              <xdr:cNvPr id="159853" name="Option Button 109" descr="Case d'option 47" hidden="1">
                <a:extLst>
                  <a:ext uri="{63B3BB69-23CF-44E3-9099-C40C66FF867C}">
                    <a14:compatExt spid="_x0000_s159853"/>
                  </a:ext>
                  <a:ext uri="{FF2B5EF4-FFF2-40B4-BE49-F238E27FC236}">
                    <a16:creationId xmlns:a16="http://schemas.microsoft.com/office/drawing/2014/main" id="{00000000-0008-0000-1B00-00006D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54" name="Option Button 110" hidden="1">
                <a:extLst>
                  <a:ext uri="{63B3BB69-23CF-44E3-9099-C40C66FF867C}">
                    <a14:compatExt spid="_x0000_s159854"/>
                  </a:ext>
                  <a:ext uri="{FF2B5EF4-FFF2-40B4-BE49-F238E27FC236}">
                    <a16:creationId xmlns:a16="http://schemas.microsoft.com/office/drawing/2014/main" id="{00000000-0008-0000-1B00-00006E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55" name="Option Button 111" hidden="1">
                <a:extLst>
                  <a:ext uri="{63B3BB69-23CF-44E3-9099-C40C66FF867C}">
                    <a14:compatExt spid="_x0000_s159855"/>
                  </a:ext>
                  <a:ext uri="{FF2B5EF4-FFF2-40B4-BE49-F238E27FC236}">
                    <a16:creationId xmlns:a16="http://schemas.microsoft.com/office/drawing/2014/main" id="{00000000-0008-0000-1B00-00006F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56" name="Option Button 112" hidden="1">
                <a:extLst>
                  <a:ext uri="{63B3BB69-23CF-44E3-9099-C40C66FF867C}">
                    <a14:compatExt spid="_x0000_s159856"/>
                  </a:ext>
                  <a:ext uri="{FF2B5EF4-FFF2-40B4-BE49-F238E27FC236}">
                    <a16:creationId xmlns:a16="http://schemas.microsoft.com/office/drawing/2014/main" id="{00000000-0008-0000-1B00-000070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57" name="Group Box 113" hidden="1">
                <a:extLst>
                  <a:ext uri="{63B3BB69-23CF-44E3-9099-C40C66FF867C}">
                    <a14:compatExt spid="_x0000_s159857"/>
                  </a:ext>
                  <a:ext uri="{FF2B5EF4-FFF2-40B4-BE49-F238E27FC236}">
                    <a16:creationId xmlns:a16="http://schemas.microsoft.com/office/drawing/2014/main" id="{00000000-0008-0000-1B00-000071700200}"/>
                  </a:ext>
                </a:extLst>
              </xdr:cNvPr>
              <xdr:cNvSpPr/>
            </xdr:nvSpPr>
            <xdr:spPr bwMode="auto">
              <a:xfrm>
                <a:off x="2994704" y="2201923"/>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C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C00-000034000000}"/>
                </a:ext>
              </a:extLst>
            </xdr:cNvPr>
            <xdr:cNvGrpSpPr/>
          </xdr:nvGrpSpPr>
          <xdr:grpSpPr>
            <a:xfrm>
              <a:off x="3696269" y="44275612"/>
              <a:ext cx="1956179" cy="2570328"/>
              <a:chOff x="2995465" y="3846791"/>
              <a:chExt cx="1960181" cy="1644869"/>
            </a:xfrm>
          </xdr:grpSpPr>
          <xdr:sp macro="" textlink="">
            <xdr:nvSpPr>
              <xdr:cNvPr id="159863" name="Option Button 119" hidden="1">
                <a:extLst>
                  <a:ext uri="{63B3BB69-23CF-44E3-9099-C40C66FF867C}">
                    <a14:compatExt spid="_x0000_s159863"/>
                  </a:ext>
                  <a:ext uri="{FF2B5EF4-FFF2-40B4-BE49-F238E27FC236}">
                    <a16:creationId xmlns:a16="http://schemas.microsoft.com/office/drawing/2014/main" id="{00000000-0008-0000-1B00-000077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64" name="Option Button 120" hidden="1">
                <a:extLst>
                  <a:ext uri="{63B3BB69-23CF-44E3-9099-C40C66FF867C}">
                    <a14:compatExt spid="_x0000_s159864"/>
                  </a:ext>
                  <a:ext uri="{FF2B5EF4-FFF2-40B4-BE49-F238E27FC236}">
                    <a16:creationId xmlns:a16="http://schemas.microsoft.com/office/drawing/2014/main" id="{00000000-0008-0000-1B00-000078700200}"/>
                  </a:ext>
                </a:extLst>
              </xdr:cNvPr>
              <xdr:cNvSpPr/>
            </xdr:nvSpPr>
            <xdr:spPr bwMode="auto">
              <a:xfrm>
                <a:off x="3109748" y="4159259"/>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65" name="Option Button 121" hidden="1">
                <a:extLst>
                  <a:ext uri="{63B3BB69-23CF-44E3-9099-C40C66FF867C}">
                    <a14:compatExt spid="_x0000_s159865"/>
                  </a:ext>
                  <a:ext uri="{FF2B5EF4-FFF2-40B4-BE49-F238E27FC236}">
                    <a16:creationId xmlns:a16="http://schemas.microsoft.com/office/drawing/2014/main" id="{00000000-0008-0000-1B00-000079700200}"/>
                  </a:ext>
                </a:extLst>
              </xdr:cNvPr>
              <xdr:cNvSpPr/>
            </xdr:nvSpPr>
            <xdr:spPr bwMode="auto">
              <a:xfrm>
                <a:off x="3109748" y="4342192"/>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66" name="Option Button 122" hidden="1">
                <a:extLst>
                  <a:ext uri="{63B3BB69-23CF-44E3-9099-C40C66FF867C}">
                    <a14:compatExt spid="_x0000_s159866"/>
                  </a:ext>
                  <a:ext uri="{FF2B5EF4-FFF2-40B4-BE49-F238E27FC236}">
                    <a16:creationId xmlns:a16="http://schemas.microsoft.com/office/drawing/2014/main" id="{00000000-0008-0000-1B00-00007A700200}"/>
                  </a:ext>
                </a:extLst>
              </xdr:cNvPr>
              <xdr:cNvSpPr/>
            </xdr:nvSpPr>
            <xdr:spPr bwMode="auto">
              <a:xfrm>
                <a:off x="3109748" y="4525125"/>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67" name="Group Box 123" hidden="1">
                <a:extLst>
                  <a:ext uri="{63B3BB69-23CF-44E3-9099-C40C66FF867C}">
                    <a14:compatExt spid="_x0000_s159867"/>
                  </a:ext>
                  <a:ext uri="{FF2B5EF4-FFF2-40B4-BE49-F238E27FC236}">
                    <a16:creationId xmlns:a16="http://schemas.microsoft.com/office/drawing/2014/main" id="{00000000-0008-0000-1B00-00007B700200}"/>
                  </a:ext>
                </a:extLst>
              </xdr:cNvPr>
              <xdr:cNvSpPr/>
            </xdr:nvSpPr>
            <xdr:spPr bwMode="auto">
              <a:xfrm>
                <a:off x="2995465" y="384679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C00-000035000000}"/>
                </a:ext>
              </a:extLst>
            </xdr:cNvPr>
            <xdr:cNvGrpSpPr/>
          </xdr:nvGrpSpPr>
          <xdr:grpSpPr>
            <a:xfrm>
              <a:off x="3696269" y="42626507"/>
              <a:ext cx="1956179" cy="1651160"/>
              <a:chOff x="2994708" y="2201918"/>
              <a:chExt cx="1960968" cy="1646923"/>
            </a:xfrm>
          </xdr:grpSpPr>
          <xdr:sp macro="" textlink="">
            <xdr:nvSpPr>
              <xdr:cNvPr id="159868" name="Option Button 124" descr="Case d'option 47" hidden="1">
                <a:extLst>
                  <a:ext uri="{63B3BB69-23CF-44E3-9099-C40C66FF867C}">
                    <a14:compatExt spid="_x0000_s159868"/>
                  </a:ext>
                  <a:ext uri="{FF2B5EF4-FFF2-40B4-BE49-F238E27FC236}">
                    <a16:creationId xmlns:a16="http://schemas.microsoft.com/office/drawing/2014/main" id="{00000000-0008-0000-1B00-00007C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69" name="Option Button 125" hidden="1">
                <a:extLst>
                  <a:ext uri="{63B3BB69-23CF-44E3-9099-C40C66FF867C}">
                    <a14:compatExt spid="_x0000_s159869"/>
                  </a:ext>
                  <a:ext uri="{FF2B5EF4-FFF2-40B4-BE49-F238E27FC236}">
                    <a16:creationId xmlns:a16="http://schemas.microsoft.com/office/drawing/2014/main" id="{00000000-0008-0000-1B00-00007D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70" name="Option Button 126" hidden="1">
                <a:extLst>
                  <a:ext uri="{63B3BB69-23CF-44E3-9099-C40C66FF867C}">
                    <a14:compatExt spid="_x0000_s159870"/>
                  </a:ext>
                  <a:ext uri="{FF2B5EF4-FFF2-40B4-BE49-F238E27FC236}">
                    <a16:creationId xmlns:a16="http://schemas.microsoft.com/office/drawing/2014/main" id="{00000000-0008-0000-1B00-00007E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71" name="Option Button 127" hidden="1">
                <a:extLst>
                  <a:ext uri="{63B3BB69-23CF-44E3-9099-C40C66FF867C}">
                    <a14:compatExt spid="_x0000_s159871"/>
                  </a:ext>
                  <a:ext uri="{FF2B5EF4-FFF2-40B4-BE49-F238E27FC236}">
                    <a16:creationId xmlns:a16="http://schemas.microsoft.com/office/drawing/2014/main" id="{00000000-0008-0000-1B00-00007F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72" name="Group Box 128" hidden="1">
                <a:extLst>
                  <a:ext uri="{63B3BB69-23CF-44E3-9099-C40C66FF867C}">
                    <a14:compatExt spid="_x0000_s159872"/>
                  </a:ext>
                  <a:ext uri="{FF2B5EF4-FFF2-40B4-BE49-F238E27FC236}">
                    <a16:creationId xmlns:a16="http://schemas.microsoft.com/office/drawing/2014/main" id="{00000000-0008-0000-1B00-000080700200}"/>
                  </a:ext>
                </a:extLst>
              </xdr:cNvPr>
              <xdr:cNvSpPr/>
            </xdr:nvSpPr>
            <xdr:spPr bwMode="auto">
              <a:xfrm>
                <a:off x="2994708" y="220191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C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C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C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1C00-000039000000}"/>
                </a:ext>
              </a:extLst>
            </xdr:cNvPr>
            <xdr:cNvGrpSpPr/>
          </xdr:nvGrpSpPr>
          <xdr:grpSpPr>
            <a:xfrm>
              <a:off x="3696269" y="50985764"/>
              <a:ext cx="1956179" cy="1649105"/>
              <a:chOff x="2995465" y="3846769"/>
              <a:chExt cx="1960181" cy="1644868"/>
            </a:xfrm>
          </xdr:grpSpPr>
          <xdr:sp macro="" textlink="">
            <xdr:nvSpPr>
              <xdr:cNvPr id="159873" name="Option Button 129" hidden="1">
                <a:extLst>
                  <a:ext uri="{63B3BB69-23CF-44E3-9099-C40C66FF867C}">
                    <a14:compatExt spid="_x0000_s159873"/>
                  </a:ext>
                  <a:ext uri="{FF2B5EF4-FFF2-40B4-BE49-F238E27FC236}">
                    <a16:creationId xmlns:a16="http://schemas.microsoft.com/office/drawing/2014/main" id="{00000000-0008-0000-1B00-000081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74" name="Option Button 130" hidden="1">
                <a:extLst>
                  <a:ext uri="{63B3BB69-23CF-44E3-9099-C40C66FF867C}">
                    <a14:compatExt spid="_x0000_s159874"/>
                  </a:ext>
                  <a:ext uri="{FF2B5EF4-FFF2-40B4-BE49-F238E27FC236}">
                    <a16:creationId xmlns:a16="http://schemas.microsoft.com/office/drawing/2014/main" id="{00000000-0008-0000-1B00-000082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75" name="Option Button 131" hidden="1">
                <a:extLst>
                  <a:ext uri="{63B3BB69-23CF-44E3-9099-C40C66FF867C}">
                    <a14:compatExt spid="_x0000_s159875"/>
                  </a:ext>
                  <a:ext uri="{FF2B5EF4-FFF2-40B4-BE49-F238E27FC236}">
                    <a16:creationId xmlns:a16="http://schemas.microsoft.com/office/drawing/2014/main" id="{00000000-0008-0000-1B00-000083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76" name="Option Button 132" hidden="1">
                <a:extLst>
                  <a:ext uri="{63B3BB69-23CF-44E3-9099-C40C66FF867C}">
                    <a14:compatExt spid="_x0000_s159876"/>
                  </a:ext>
                  <a:ext uri="{FF2B5EF4-FFF2-40B4-BE49-F238E27FC236}">
                    <a16:creationId xmlns:a16="http://schemas.microsoft.com/office/drawing/2014/main" id="{00000000-0008-0000-1B00-000084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77" name="Group Box 133" hidden="1">
                <a:extLst>
                  <a:ext uri="{63B3BB69-23CF-44E3-9099-C40C66FF867C}">
                    <a14:compatExt spid="_x0000_s159877"/>
                  </a:ext>
                  <a:ext uri="{FF2B5EF4-FFF2-40B4-BE49-F238E27FC236}">
                    <a16:creationId xmlns:a16="http://schemas.microsoft.com/office/drawing/2014/main" id="{00000000-0008-0000-1B00-000085700200}"/>
                  </a:ext>
                </a:extLst>
              </xdr:cNvPr>
              <xdr:cNvSpPr/>
            </xdr:nvSpPr>
            <xdr:spPr bwMode="auto">
              <a:xfrm>
                <a:off x="2995465" y="3846769"/>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C00-00003A000000}"/>
                </a:ext>
              </a:extLst>
            </xdr:cNvPr>
            <xdr:cNvGrpSpPr/>
          </xdr:nvGrpSpPr>
          <xdr:grpSpPr>
            <a:xfrm>
              <a:off x="3699437" y="49336657"/>
              <a:ext cx="1953011" cy="1651162"/>
              <a:chOff x="2994667" y="2201916"/>
              <a:chExt cx="1960968" cy="1646925"/>
            </a:xfrm>
          </xdr:grpSpPr>
          <xdr:sp macro="" textlink="">
            <xdr:nvSpPr>
              <xdr:cNvPr id="159878" name="Option Button 134" descr="Case d'option 47" hidden="1">
                <a:extLst>
                  <a:ext uri="{63B3BB69-23CF-44E3-9099-C40C66FF867C}">
                    <a14:compatExt spid="_x0000_s159878"/>
                  </a:ext>
                  <a:ext uri="{FF2B5EF4-FFF2-40B4-BE49-F238E27FC236}">
                    <a16:creationId xmlns:a16="http://schemas.microsoft.com/office/drawing/2014/main" id="{00000000-0008-0000-1B00-000086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79" name="Option Button 135" hidden="1">
                <a:extLst>
                  <a:ext uri="{63B3BB69-23CF-44E3-9099-C40C66FF867C}">
                    <a14:compatExt spid="_x0000_s159879"/>
                  </a:ext>
                  <a:ext uri="{FF2B5EF4-FFF2-40B4-BE49-F238E27FC236}">
                    <a16:creationId xmlns:a16="http://schemas.microsoft.com/office/drawing/2014/main" id="{00000000-0008-0000-1B00-000087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80" name="Option Button 136" hidden="1">
                <a:extLst>
                  <a:ext uri="{63B3BB69-23CF-44E3-9099-C40C66FF867C}">
                    <a14:compatExt spid="_x0000_s159880"/>
                  </a:ext>
                  <a:ext uri="{FF2B5EF4-FFF2-40B4-BE49-F238E27FC236}">
                    <a16:creationId xmlns:a16="http://schemas.microsoft.com/office/drawing/2014/main" id="{00000000-0008-0000-1B00-000088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81" name="Option Button 137" hidden="1">
                <a:extLst>
                  <a:ext uri="{63B3BB69-23CF-44E3-9099-C40C66FF867C}">
                    <a14:compatExt spid="_x0000_s159881"/>
                  </a:ext>
                  <a:ext uri="{FF2B5EF4-FFF2-40B4-BE49-F238E27FC236}">
                    <a16:creationId xmlns:a16="http://schemas.microsoft.com/office/drawing/2014/main" id="{00000000-0008-0000-1B00-000089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82" name="Group Box 138" hidden="1">
                <a:extLst>
                  <a:ext uri="{63B3BB69-23CF-44E3-9099-C40C66FF867C}">
                    <a14:compatExt spid="_x0000_s159882"/>
                  </a:ext>
                  <a:ext uri="{FF2B5EF4-FFF2-40B4-BE49-F238E27FC236}">
                    <a16:creationId xmlns:a16="http://schemas.microsoft.com/office/drawing/2014/main" id="{00000000-0008-0000-1B00-00008A700200}"/>
                  </a:ext>
                </a:extLst>
              </xdr:cNvPr>
              <xdr:cNvSpPr/>
            </xdr:nvSpPr>
            <xdr:spPr bwMode="auto">
              <a:xfrm>
                <a:off x="2994667" y="2201916"/>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C00-00003B000000}"/>
                </a:ext>
              </a:extLst>
            </xdr:cNvPr>
            <xdr:cNvGrpSpPr/>
          </xdr:nvGrpSpPr>
          <xdr:grpSpPr>
            <a:xfrm>
              <a:off x="3696269" y="46845940"/>
              <a:ext cx="1956179" cy="2490717"/>
              <a:chOff x="2994704" y="2201919"/>
              <a:chExt cx="1960968" cy="1646928"/>
            </a:xfrm>
          </xdr:grpSpPr>
          <xdr:sp macro="" textlink="">
            <xdr:nvSpPr>
              <xdr:cNvPr id="159883" name="Option Button 139" descr="Case d'option 47" hidden="1">
                <a:extLst>
                  <a:ext uri="{63B3BB69-23CF-44E3-9099-C40C66FF867C}">
                    <a14:compatExt spid="_x0000_s159883"/>
                  </a:ext>
                  <a:ext uri="{FF2B5EF4-FFF2-40B4-BE49-F238E27FC236}">
                    <a16:creationId xmlns:a16="http://schemas.microsoft.com/office/drawing/2014/main" id="{00000000-0008-0000-1B00-00008B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84" name="Option Button 140" hidden="1">
                <a:extLst>
                  <a:ext uri="{63B3BB69-23CF-44E3-9099-C40C66FF867C}">
                    <a14:compatExt spid="_x0000_s159884"/>
                  </a:ext>
                  <a:ext uri="{FF2B5EF4-FFF2-40B4-BE49-F238E27FC236}">
                    <a16:creationId xmlns:a16="http://schemas.microsoft.com/office/drawing/2014/main" id="{00000000-0008-0000-1B00-00008C700200}"/>
                  </a:ext>
                </a:extLst>
              </xdr:cNvPr>
              <xdr:cNvSpPr/>
            </xdr:nvSpPr>
            <xdr:spPr bwMode="auto">
              <a:xfrm>
                <a:off x="3102128" y="2457554"/>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85" name="Option Button 141" hidden="1">
                <a:extLst>
                  <a:ext uri="{63B3BB69-23CF-44E3-9099-C40C66FF867C}">
                    <a14:compatExt spid="_x0000_s159885"/>
                  </a:ext>
                  <a:ext uri="{FF2B5EF4-FFF2-40B4-BE49-F238E27FC236}">
                    <a16:creationId xmlns:a16="http://schemas.microsoft.com/office/drawing/2014/main" id="{00000000-0008-0000-1B00-00008D700200}"/>
                  </a:ext>
                </a:extLst>
              </xdr:cNvPr>
              <xdr:cNvSpPr/>
            </xdr:nvSpPr>
            <xdr:spPr bwMode="auto">
              <a:xfrm>
                <a:off x="3102128" y="2658134"/>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86" name="Option Button 142" hidden="1">
                <a:extLst>
                  <a:ext uri="{63B3BB69-23CF-44E3-9099-C40C66FF867C}">
                    <a14:compatExt spid="_x0000_s159886"/>
                  </a:ext>
                  <a:ext uri="{FF2B5EF4-FFF2-40B4-BE49-F238E27FC236}">
                    <a16:creationId xmlns:a16="http://schemas.microsoft.com/office/drawing/2014/main" id="{00000000-0008-0000-1B00-00008E700200}"/>
                  </a:ext>
                </a:extLst>
              </xdr:cNvPr>
              <xdr:cNvSpPr/>
            </xdr:nvSpPr>
            <xdr:spPr bwMode="auto">
              <a:xfrm>
                <a:off x="3102128" y="284461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87" name="Group Box 143" hidden="1">
                <a:extLst>
                  <a:ext uri="{63B3BB69-23CF-44E3-9099-C40C66FF867C}">
                    <a14:compatExt spid="_x0000_s159887"/>
                  </a:ext>
                  <a:ext uri="{FF2B5EF4-FFF2-40B4-BE49-F238E27FC236}">
                    <a16:creationId xmlns:a16="http://schemas.microsoft.com/office/drawing/2014/main" id="{00000000-0008-0000-1B00-00008F700200}"/>
                  </a:ext>
                </a:extLst>
              </xdr:cNvPr>
              <xdr:cNvSpPr/>
            </xdr:nvSpPr>
            <xdr:spPr bwMode="auto">
              <a:xfrm>
                <a:off x="2994704" y="2201919"/>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159888" name="Group Box 144" hidden="1">
              <a:extLst>
                <a:ext uri="{63B3BB69-23CF-44E3-9099-C40C66FF867C}">
                  <a14:compatExt spid="_x0000_s159888"/>
                </a:ext>
                <a:ext uri="{FF2B5EF4-FFF2-40B4-BE49-F238E27FC236}">
                  <a16:creationId xmlns:a16="http://schemas.microsoft.com/office/drawing/2014/main" id="{00000000-0008-0000-1B00-000090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C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C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C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C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59744" name="Ellipse 159743">
          <a:extLst>
            <a:ext uri="{FF2B5EF4-FFF2-40B4-BE49-F238E27FC236}">
              <a16:creationId xmlns:a16="http://schemas.microsoft.com/office/drawing/2014/main" id="{00000000-0008-0000-1C00-00000070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59889" name="Groupe 159888">
              <a:extLst>
                <a:ext uri="{FF2B5EF4-FFF2-40B4-BE49-F238E27FC236}">
                  <a16:creationId xmlns:a16="http://schemas.microsoft.com/office/drawing/2014/main" id="{00000000-0008-0000-1C00-000091700200}"/>
                </a:ext>
              </a:extLst>
            </xdr:cNvPr>
            <xdr:cNvGrpSpPr/>
          </xdr:nvGrpSpPr>
          <xdr:grpSpPr>
            <a:xfrm>
              <a:off x="3696269" y="8882418"/>
              <a:ext cx="1956179" cy="1649104"/>
              <a:chOff x="2995465" y="3846784"/>
              <a:chExt cx="1960181" cy="1644865"/>
            </a:xfrm>
          </xdr:grpSpPr>
          <xdr:sp macro="" textlink="">
            <xdr:nvSpPr>
              <xdr:cNvPr id="11" name="Option Button 145" hidden="1">
                <a:extLst>
                  <a:ext uri="{63B3BB69-23CF-44E3-9099-C40C66FF867C}">
                    <a14:compatExt spid="_x0000_s159889"/>
                  </a:ext>
                  <a:ext uri="{FF2B5EF4-FFF2-40B4-BE49-F238E27FC236}">
                    <a16:creationId xmlns:a16="http://schemas.microsoft.com/office/drawing/2014/main" id="{00000000-0008-0000-1B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890" name="Option Button 146" hidden="1">
                <a:extLst>
                  <a:ext uri="{63B3BB69-23CF-44E3-9099-C40C66FF867C}">
                    <a14:compatExt spid="_x0000_s159890"/>
                  </a:ext>
                  <a:ext uri="{FF2B5EF4-FFF2-40B4-BE49-F238E27FC236}">
                    <a16:creationId xmlns:a16="http://schemas.microsoft.com/office/drawing/2014/main" id="{00000000-0008-0000-1B00-000092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891" name="Option Button 147" hidden="1">
                <a:extLst>
                  <a:ext uri="{63B3BB69-23CF-44E3-9099-C40C66FF867C}">
                    <a14:compatExt spid="_x0000_s159891"/>
                  </a:ext>
                  <a:ext uri="{FF2B5EF4-FFF2-40B4-BE49-F238E27FC236}">
                    <a16:creationId xmlns:a16="http://schemas.microsoft.com/office/drawing/2014/main" id="{00000000-0008-0000-1B00-000093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892" name="Option Button 148" hidden="1">
                <a:extLst>
                  <a:ext uri="{63B3BB69-23CF-44E3-9099-C40C66FF867C}">
                    <a14:compatExt spid="_x0000_s159892"/>
                  </a:ext>
                  <a:ext uri="{FF2B5EF4-FFF2-40B4-BE49-F238E27FC236}">
                    <a16:creationId xmlns:a16="http://schemas.microsoft.com/office/drawing/2014/main" id="{00000000-0008-0000-1B00-000094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893" name="Group Box 149" hidden="1">
                <a:extLst>
                  <a:ext uri="{63B3BB69-23CF-44E3-9099-C40C66FF867C}">
                    <a14:compatExt spid="_x0000_s159893"/>
                  </a:ext>
                  <a:ext uri="{FF2B5EF4-FFF2-40B4-BE49-F238E27FC236}">
                    <a16:creationId xmlns:a16="http://schemas.microsoft.com/office/drawing/2014/main" id="{00000000-0008-0000-1B00-000095700200}"/>
                  </a:ext>
                </a:extLst>
              </xdr:cNvPr>
              <xdr:cNvSpPr/>
            </xdr:nvSpPr>
            <xdr:spPr bwMode="auto">
              <a:xfrm>
                <a:off x="2995465" y="3846784"/>
                <a:ext cx="1960181" cy="164486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59895" name="ZoneTexte 1">
          <a:extLst>
            <a:ext uri="{FF2B5EF4-FFF2-40B4-BE49-F238E27FC236}">
              <a16:creationId xmlns:a16="http://schemas.microsoft.com/office/drawing/2014/main" id="{00000000-0008-0000-1C00-00009770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59896" name="ZoneTexte 1">
          <a:extLst>
            <a:ext uri="{FF2B5EF4-FFF2-40B4-BE49-F238E27FC236}">
              <a16:creationId xmlns:a16="http://schemas.microsoft.com/office/drawing/2014/main" id="{00000000-0008-0000-1C00-00009870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59903" name="ZoneTexte 1">
          <a:extLst>
            <a:ext uri="{FF2B5EF4-FFF2-40B4-BE49-F238E27FC236}">
              <a16:creationId xmlns:a16="http://schemas.microsoft.com/office/drawing/2014/main" id="{00000000-0008-0000-1C00-00009F70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159904" name="Groupe 159903">
              <a:extLst>
                <a:ext uri="{FF2B5EF4-FFF2-40B4-BE49-F238E27FC236}">
                  <a16:creationId xmlns:a16="http://schemas.microsoft.com/office/drawing/2014/main" id="{00000000-0008-0000-1C00-0000A0700200}"/>
                </a:ext>
              </a:extLst>
            </xdr:cNvPr>
            <xdr:cNvGrpSpPr/>
          </xdr:nvGrpSpPr>
          <xdr:grpSpPr>
            <a:xfrm>
              <a:off x="3696269" y="27852806"/>
              <a:ext cx="1956179" cy="1649104"/>
              <a:chOff x="2994704" y="2201907"/>
              <a:chExt cx="1960968" cy="1646922"/>
            </a:xfrm>
          </xdr:grpSpPr>
          <xdr:sp macro="" textlink="">
            <xdr:nvSpPr>
              <xdr:cNvPr id="159899" name="Option Button 155" descr="Case d'option 47" hidden="1">
                <a:extLst>
                  <a:ext uri="{63B3BB69-23CF-44E3-9099-C40C66FF867C}">
                    <a14:compatExt spid="_x0000_s159899"/>
                  </a:ext>
                  <a:ext uri="{FF2B5EF4-FFF2-40B4-BE49-F238E27FC236}">
                    <a16:creationId xmlns:a16="http://schemas.microsoft.com/office/drawing/2014/main" id="{00000000-0008-0000-1B00-00009B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00" name="Option Button 156" hidden="1">
                <a:extLst>
                  <a:ext uri="{63B3BB69-23CF-44E3-9099-C40C66FF867C}">
                    <a14:compatExt spid="_x0000_s159900"/>
                  </a:ext>
                  <a:ext uri="{FF2B5EF4-FFF2-40B4-BE49-F238E27FC236}">
                    <a16:creationId xmlns:a16="http://schemas.microsoft.com/office/drawing/2014/main" id="{00000000-0008-0000-1B00-00009C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01" name="Option Button 157" hidden="1">
                <a:extLst>
                  <a:ext uri="{63B3BB69-23CF-44E3-9099-C40C66FF867C}">
                    <a14:compatExt spid="_x0000_s159901"/>
                  </a:ext>
                  <a:ext uri="{FF2B5EF4-FFF2-40B4-BE49-F238E27FC236}">
                    <a16:creationId xmlns:a16="http://schemas.microsoft.com/office/drawing/2014/main" id="{00000000-0008-0000-1B00-00009D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02" name="Option Button 158" hidden="1">
                <a:extLst>
                  <a:ext uri="{63B3BB69-23CF-44E3-9099-C40C66FF867C}">
                    <a14:compatExt spid="_x0000_s159902"/>
                  </a:ext>
                  <a:ext uri="{FF2B5EF4-FFF2-40B4-BE49-F238E27FC236}">
                    <a16:creationId xmlns:a16="http://schemas.microsoft.com/office/drawing/2014/main" id="{00000000-0008-0000-1B00-00009E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2" name="Group Box 159" hidden="1">
                <a:extLst>
                  <a:ext uri="{63B3BB69-23CF-44E3-9099-C40C66FF867C}">
                    <a14:compatExt spid="_x0000_s159903"/>
                  </a:ext>
                  <a:ext uri="{FF2B5EF4-FFF2-40B4-BE49-F238E27FC236}">
                    <a16:creationId xmlns:a16="http://schemas.microsoft.com/office/drawing/2014/main" id="{00000000-0008-0000-1B00-00000C000000}"/>
                  </a:ext>
                </a:extLst>
              </xdr:cNvPr>
              <xdr:cNvSpPr/>
            </xdr:nvSpPr>
            <xdr:spPr bwMode="auto">
              <a:xfrm>
                <a:off x="2994704" y="220190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159910" name="ZoneTexte 1">
          <a:extLst>
            <a:ext uri="{FF2B5EF4-FFF2-40B4-BE49-F238E27FC236}">
              <a16:creationId xmlns:a16="http://schemas.microsoft.com/office/drawing/2014/main" id="{00000000-0008-0000-1C00-0000A670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59911" name="ZoneTexte 1">
          <a:extLst>
            <a:ext uri="{FF2B5EF4-FFF2-40B4-BE49-F238E27FC236}">
              <a16:creationId xmlns:a16="http://schemas.microsoft.com/office/drawing/2014/main" id="{00000000-0008-0000-1C00-0000A770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159918" name="ZoneTexte 1">
          <a:extLst>
            <a:ext uri="{FF2B5EF4-FFF2-40B4-BE49-F238E27FC236}">
              <a16:creationId xmlns:a16="http://schemas.microsoft.com/office/drawing/2014/main" id="{00000000-0008-0000-1C00-0000AE70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59919" name="ZoneTexte 1">
          <a:extLst>
            <a:ext uri="{FF2B5EF4-FFF2-40B4-BE49-F238E27FC236}">
              <a16:creationId xmlns:a16="http://schemas.microsoft.com/office/drawing/2014/main" id="{00000000-0008-0000-1C00-0000AF70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83</xdr:row>
          <xdr:rowOff>3</xdr:rowOff>
        </xdr:from>
        <xdr:to>
          <xdr:col>8</xdr:col>
          <xdr:colOff>0</xdr:colOff>
          <xdr:row>84</xdr:row>
          <xdr:rowOff>3</xdr:rowOff>
        </xdr:to>
        <xdr:grpSp>
          <xdr:nvGrpSpPr>
            <xdr:cNvPr id="159920" name="Groupe 159919">
              <a:extLst>
                <a:ext uri="{FF2B5EF4-FFF2-40B4-BE49-F238E27FC236}">
                  <a16:creationId xmlns:a16="http://schemas.microsoft.com/office/drawing/2014/main" id="{00000000-0008-0000-1C00-0000B0700200}"/>
                </a:ext>
              </a:extLst>
            </xdr:cNvPr>
            <xdr:cNvGrpSpPr/>
          </xdr:nvGrpSpPr>
          <xdr:grpSpPr>
            <a:xfrm>
              <a:off x="3696269" y="54283973"/>
              <a:ext cx="1956179" cy="1649105"/>
              <a:chOff x="2995465" y="3846788"/>
              <a:chExt cx="1960181" cy="1644864"/>
            </a:xfrm>
          </xdr:grpSpPr>
          <xdr:sp macro="" textlink="">
            <xdr:nvSpPr>
              <xdr:cNvPr id="159909" name="Option Button 165" hidden="1">
                <a:extLst>
                  <a:ext uri="{63B3BB69-23CF-44E3-9099-C40C66FF867C}">
                    <a14:compatExt spid="_x0000_s159909"/>
                  </a:ext>
                  <a:ext uri="{FF2B5EF4-FFF2-40B4-BE49-F238E27FC236}">
                    <a16:creationId xmlns:a16="http://schemas.microsoft.com/office/drawing/2014/main" id="{00000000-0008-0000-1B00-0000A5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3" name="Option Button 166" hidden="1">
                <a:extLst>
                  <a:ext uri="{63B3BB69-23CF-44E3-9099-C40C66FF867C}">
                    <a14:compatExt spid="_x0000_s159910"/>
                  </a:ext>
                  <a:ext uri="{FF2B5EF4-FFF2-40B4-BE49-F238E27FC236}">
                    <a16:creationId xmlns:a16="http://schemas.microsoft.com/office/drawing/2014/main" id="{00000000-0008-0000-1B00-00000D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4" name="Option Button 167" hidden="1">
                <a:extLst>
                  <a:ext uri="{63B3BB69-23CF-44E3-9099-C40C66FF867C}">
                    <a14:compatExt spid="_x0000_s159911"/>
                  </a:ext>
                  <a:ext uri="{FF2B5EF4-FFF2-40B4-BE49-F238E27FC236}">
                    <a16:creationId xmlns:a16="http://schemas.microsoft.com/office/drawing/2014/main" id="{00000000-0008-0000-1B00-00000E0000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12" name="Option Button 168" hidden="1">
                <a:extLst>
                  <a:ext uri="{63B3BB69-23CF-44E3-9099-C40C66FF867C}">
                    <a14:compatExt spid="_x0000_s159912"/>
                  </a:ext>
                  <a:ext uri="{FF2B5EF4-FFF2-40B4-BE49-F238E27FC236}">
                    <a16:creationId xmlns:a16="http://schemas.microsoft.com/office/drawing/2014/main" id="{00000000-0008-0000-1B00-0000A8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13" name="Group Box 169" hidden="1">
                <a:extLst>
                  <a:ext uri="{63B3BB69-23CF-44E3-9099-C40C66FF867C}">
                    <a14:compatExt spid="_x0000_s159913"/>
                  </a:ext>
                  <a:ext uri="{FF2B5EF4-FFF2-40B4-BE49-F238E27FC236}">
                    <a16:creationId xmlns:a16="http://schemas.microsoft.com/office/drawing/2014/main" id="{00000000-0008-0000-1B00-0000A9700200}"/>
                  </a:ext>
                </a:extLst>
              </xdr:cNvPr>
              <xdr:cNvSpPr/>
            </xdr:nvSpPr>
            <xdr:spPr bwMode="auto">
              <a:xfrm>
                <a:off x="2995465" y="3846788"/>
                <a:ext cx="1960181" cy="164486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82</xdr:row>
          <xdr:rowOff>0</xdr:rowOff>
        </xdr:from>
        <xdr:to>
          <xdr:col>8</xdr:col>
          <xdr:colOff>0</xdr:colOff>
          <xdr:row>83</xdr:row>
          <xdr:rowOff>2058</xdr:rowOff>
        </xdr:to>
        <xdr:grpSp>
          <xdr:nvGrpSpPr>
            <xdr:cNvPr id="159926" name="Groupe 159925">
              <a:extLst>
                <a:ext uri="{FF2B5EF4-FFF2-40B4-BE49-F238E27FC236}">
                  <a16:creationId xmlns:a16="http://schemas.microsoft.com/office/drawing/2014/main" id="{00000000-0008-0000-1C00-0000B6700200}"/>
                </a:ext>
              </a:extLst>
            </xdr:cNvPr>
            <xdr:cNvGrpSpPr/>
          </xdr:nvGrpSpPr>
          <xdr:grpSpPr>
            <a:xfrm>
              <a:off x="3699437" y="52634866"/>
              <a:ext cx="1953011" cy="1651162"/>
              <a:chOff x="2994667" y="2201912"/>
              <a:chExt cx="1960968" cy="1646924"/>
            </a:xfrm>
          </xdr:grpSpPr>
          <xdr:sp macro="" textlink="">
            <xdr:nvSpPr>
              <xdr:cNvPr id="159914" name="Option Button 170" descr="Case d'option 47" hidden="1">
                <a:extLst>
                  <a:ext uri="{63B3BB69-23CF-44E3-9099-C40C66FF867C}">
                    <a14:compatExt spid="_x0000_s159914"/>
                  </a:ext>
                  <a:ext uri="{FF2B5EF4-FFF2-40B4-BE49-F238E27FC236}">
                    <a16:creationId xmlns:a16="http://schemas.microsoft.com/office/drawing/2014/main" id="{00000000-0008-0000-1B00-0000AA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15" name="Option Button 171" hidden="1">
                <a:extLst>
                  <a:ext uri="{63B3BB69-23CF-44E3-9099-C40C66FF867C}">
                    <a14:compatExt spid="_x0000_s159915"/>
                  </a:ext>
                  <a:ext uri="{FF2B5EF4-FFF2-40B4-BE49-F238E27FC236}">
                    <a16:creationId xmlns:a16="http://schemas.microsoft.com/office/drawing/2014/main" id="{00000000-0008-0000-1B00-0000AB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16" name="Option Button 172" hidden="1">
                <a:extLst>
                  <a:ext uri="{63B3BB69-23CF-44E3-9099-C40C66FF867C}">
                    <a14:compatExt spid="_x0000_s159916"/>
                  </a:ext>
                  <a:ext uri="{FF2B5EF4-FFF2-40B4-BE49-F238E27FC236}">
                    <a16:creationId xmlns:a16="http://schemas.microsoft.com/office/drawing/2014/main" id="{00000000-0008-0000-1B00-0000AC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17" name="Option Button 173" hidden="1">
                <a:extLst>
                  <a:ext uri="{63B3BB69-23CF-44E3-9099-C40C66FF867C}">
                    <a14:compatExt spid="_x0000_s159917"/>
                  </a:ext>
                  <a:ext uri="{FF2B5EF4-FFF2-40B4-BE49-F238E27FC236}">
                    <a16:creationId xmlns:a16="http://schemas.microsoft.com/office/drawing/2014/main" id="{00000000-0008-0000-1B00-0000AD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 name="Group Box 174" hidden="1">
                <a:extLst>
                  <a:ext uri="{63B3BB69-23CF-44E3-9099-C40C66FF867C}">
                    <a14:compatExt spid="_x0000_s159918"/>
                  </a:ext>
                  <a:ext uri="{FF2B5EF4-FFF2-40B4-BE49-F238E27FC236}">
                    <a16:creationId xmlns:a16="http://schemas.microsoft.com/office/drawing/2014/main" id="{00000000-0008-0000-1B00-00000F000000}"/>
                  </a:ext>
                </a:extLst>
              </xdr:cNvPr>
              <xdr:cNvSpPr/>
            </xdr:nvSpPr>
            <xdr:spPr bwMode="auto">
              <a:xfrm>
                <a:off x="2994667" y="2201912"/>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93</xdr:row>
      <xdr:rowOff>22860</xdr:rowOff>
    </xdr:from>
    <xdr:to>
      <xdr:col>9</xdr:col>
      <xdr:colOff>4503756</xdr:colOff>
      <xdr:row>94</xdr:row>
      <xdr:rowOff>0</xdr:rowOff>
    </xdr:to>
    <xdr:sp macro="" textlink="" fLocksText="0">
      <xdr:nvSpPr>
        <xdr:cNvPr id="159932" name="ZoneTexte 1">
          <a:extLst>
            <a:ext uri="{FF2B5EF4-FFF2-40B4-BE49-F238E27FC236}">
              <a16:creationId xmlns:a16="http://schemas.microsoft.com/office/drawing/2014/main" id="{00000000-0008-0000-1C00-0000BC70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159934" name="Groupe 159933">
              <a:extLst>
                <a:ext uri="{FF2B5EF4-FFF2-40B4-BE49-F238E27FC236}">
                  <a16:creationId xmlns:a16="http://schemas.microsoft.com/office/drawing/2014/main" id="{00000000-0008-0000-1C00-0000BE700200}"/>
                </a:ext>
              </a:extLst>
            </xdr:cNvPr>
            <xdr:cNvGrpSpPr/>
          </xdr:nvGrpSpPr>
          <xdr:grpSpPr>
            <a:xfrm>
              <a:off x="3696269" y="59754448"/>
              <a:ext cx="1956179" cy="1649104"/>
              <a:chOff x="2995465" y="3846765"/>
              <a:chExt cx="1960181" cy="1644867"/>
            </a:xfrm>
          </xdr:grpSpPr>
          <xdr:sp macro="" textlink="">
            <xdr:nvSpPr>
              <xdr:cNvPr id="24" name="Option Button 175" hidden="1">
                <a:extLst>
                  <a:ext uri="{63B3BB69-23CF-44E3-9099-C40C66FF867C}">
                    <a14:compatExt spid="_x0000_s159919"/>
                  </a:ext>
                  <a:ext uri="{FF2B5EF4-FFF2-40B4-BE49-F238E27FC236}">
                    <a16:creationId xmlns:a16="http://schemas.microsoft.com/office/drawing/2014/main" id="{00000000-0008-0000-1B00-000018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49" name="Option Button 176" hidden="1">
                <a:extLst>
                  <a:ext uri="{63B3BB69-23CF-44E3-9099-C40C66FF867C}">
                    <a14:compatExt spid="_x0000_s159920"/>
                  </a:ext>
                  <a:ext uri="{FF2B5EF4-FFF2-40B4-BE49-F238E27FC236}">
                    <a16:creationId xmlns:a16="http://schemas.microsoft.com/office/drawing/2014/main" id="{00000000-0008-0000-1B00-000031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21" name="Option Button 177" hidden="1">
                <a:extLst>
                  <a:ext uri="{63B3BB69-23CF-44E3-9099-C40C66FF867C}">
                    <a14:compatExt spid="_x0000_s159921"/>
                  </a:ext>
                  <a:ext uri="{FF2B5EF4-FFF2-40B4-BE49-F238E27FC236}">
                    <a16:creationId xmlns:a16="http://schemas.microsoft.com/office/drawing/2014/main" id="{00000000-0008-0000-1B00-0000B1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22" name="Option Button 178" hidden="1">
                <a:extLst>
                  <a:ext uri="{63B3BB69-23CF-44E3-9099-C40C66FF867C}">
                    <a14:compatExt spid="_x0000_s159922"/>
                  </a:ext>
                  <a:ext uri="{FF2B5EF4-FFF2-40B4-BE49-F238E27FC236}">
                    <a16:creationId xmlns:a16="http://schemas.microsoft.com/office/drawing/2014/main" id="{00000000-0008-0000-1B00-0000B2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23" name="Group Box 179" hidden="1">
                <a:extLst>
                  <a:ext uri="{63B3BB69-23CF-44E3-9099-C40C66FF867C}">
                    <a14:compatExt spid="_x0000_s159923"/>
                  </a:ext>
                  <a:ext uri="{FF2B5EF4-FFF2-40B4-BE49-F238E27FC236}">
                    <a16:creationId xmlns:a16="http://schemas.microsoft.com/office/drawing/2014/main" id="{00000000-0008-0000-1B00-0000B3700200}"/>
                  </a:ext>
                </a:extLst>
              </xdr:cNvPr>
              <xdr:cNvSpPr/>
            </xdr:nvSpPr>
            <xdr:spPr bwMode="auto">
              <a:xfrm>
                <a:off x="2995465" y="3846765"/>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159940" name="Groupe 159939">
              <a:extLst>
                <a:ext uri="{FF2B5EF4-FFF2-40B4-BE49-F238E27FC236}">
                  <a16:creationId xmlns:a16="http://schemas.microsoft.com/office/drawing/2014/main" id="{00000000-0008-0000-1C00-0000C4700200}"/>
                </a:ext>
              </a:extLst>
            </xdr:cNvPr>
            <xdr:cNvGrpSpPr/>
          </xdr:nvGrpSpPr>
          <xdr:grpSpPr>
            <a:xfrm>
              <a:off x="3696269" y="58105343"/>
              <a:ext cx="1956179" cy="1651160"/>
              <a:chOff x="2994708" y="2201918"/>
              <a:chExt cx="1960968" cy="1646923"/>
            </a:xfrm>
          </xdr:grpSpPr>
          <xdr:sp macro="" textlink="">
            <xdr:nvSpPr>
              <xdr:cNvPr id="159924" name="Option Button 180" descr="Case d'option 47" hidden="1">
                <a:extLst>
                  <a:ext uri="{63B3BB69-23CF-44E3-9099-C40C66FF867C}">
                    <a14:compatExt spid="_x0000_s159924"/>
                  </a:ext>
                  <a:ext uri="{FF2B5EF4-FFF2-40B4-BE49-F238E27FC236}">
                    <a16:creationId xmlns:a16="http://schemas.microsoft.com/office/drawing/2014/main" id="{00000000-0008-0000-1B00-0000B4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25" name="Option Button 181" hidden="1">
                <a:extLst>
                  <a:ext uri="{63B3BB69-23CF-44E3-9099-C40C66FF867C}">
                    <a14:compatExt spid="_x0000_s159925"/>
                  </a:ext>
                  <a:ext uri="{FF2B5EF4-FFF2-40B4-BE49-F238E27FC236}">
                    <a16:creationId xmlns:a16="http://schemas.microsoft.com/office/drawing/2014/main" id="{00000000-0008-0000-1B00-0000B5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44" name="Option Button 182" hidden="1">
                <a:extLst>
                  <a:ext uri="{63B3BB69-23CF-44E3-9099-C40C66FF867C}">
                    <a14:compatExt spid="_x0000_s159926"/>
                  </a:ext>
                  <a:ext uri="{FF2B5EF4-FFF2-40B4-BE49-F238E27FC236}">
                    <a16:creationId xmlns:a16="http://schemas.microsoft.com/office/drawing/2014/main" id="{00000000-0008-0000-1B00-0000C8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27" name="Option Button 183" hidden="1">
                <a:extLst>
                  <a:ext uri="{63B3BB69-23CF-44E3-9099-C40C66FF867C}">
                    <a14:compatExt spid="_x0000_s159927"/>
                  </a:ext>
                  <a:ext uri="{FF2B5EF4-FFF2-40B4-BE49-F238E27FC236}">
                    <a16:creationId xmlns:a16="http://schemas.microsoft.com/office/drawing/2014/main" id="{00000000-0008-0000-1B00-0000B7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28" name="Group Box 184" hidden="1">
                <a:extLst>
                  <a:ext uri="{63B3BB69-23CF-44E3-9099-C40C66FF867C}">
                    <a14:compatExt spid="_x0000_s159928"/>
                  </a:ext>
                  <a:ext uri="{FF2B5EF4-FFF2-40B4-BE49-F238E27FC236}">
                    <a16:creationId xmlns:a16="http://schemas.microsoft.com/office/drawing/2014/main" id="{00000000-0008-0000-1B00-0000B8700200}"/>
                  </a:ext>
                </a:extLst>
              </xdr:cNvPr>
              <xdr:cNvSpPr/>
            </xdr:nvSpPr>
            <xdr:spPr bwMode="auto">
              <a:xfrm>
                <a:off x="2994708" y="220191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159946" name="ZoneTexte 1">
          <a:extLst>
            <a:ext uri="{FF2B5EF4-FFF2-40B4-BE49-F238E27FC236}">
              <a16:creationId xmlns:a16="http://schemas.microsoft.com/office/drawing/2014/main" id="{00000000-0008-0000-1C00-0000CA70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159947" name="ZoneTexte 1">
          <a:extLst>
            <a:ext uri="{FF2B5EF4-FFF2-40B4-BE49-F238E27FC236}">
              <a16:creationId xmlns:a16="http://schemas.microsoft.com/office/drawing/2014/main" id="{00000000-0008-0000-1C00-0000CB7002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59948" name="ZoneTexte 1">
          <a:extLst>
            <a:ext uri="{FF2B5EF4-FFF2-40B4-BE49-F238E27FC236}">
              <a16:creationId xmlns:a16="http://schemas.microsoft.com/office/drawing/2014/main" id="{00000000-0008-0000-1C00-0000CC70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159955" name="Groupe 159954">
              <a:extLst>
                <a:ext uri="{FF2B5EF4-FFF2-40B4-BE49-F238E27FC236}">
                  <a16:creationId xmlns:a16="http://schemas.microsoft.com/office/drawing/2014/main" id="{00000000-0008-0000-1C00-0000D3700200}"/>
                </a:ext>
              </a:extLst>
            </xdr:cNvPr>
            <xdr:cNvGrpSpPr/>
          </xdr:nvGrpSpPr>
          <xdr:grpSpPr>
            <a:xfrm>
              <a:off x="3699437" y="63052657"/>
              <a:ext cx="1953011" cy="1649104"/>
              <a:chOff x="2994667" y="2201924"/>
              <a:chExt cx="1960968" cy="1646929"/>
            </a:xfrm>
          </xdr:grpSpPr>
          <xdr:sp macro="" textlink="">
            <xdr:nvSpPr>
              <xdr:cNvPr id="159945" name="Option Button 190" descr="Case d'option 47" hidden="1">
                <a:extLst>
                  <a:ext uri="{63B3BB69-23CF-44E3-9099-C40C66FF867C}">
                    <a14:compatExt spid="_x0000_s159934"/>
                  </a:ext>
                  <a:ext uri="{FF2B5EF4-FFF2-40B4-BE49-F238E27FC236}">
                    <a16:creationId xmlns:a16="http://schemas.microsoft.com/office/drawing/2014/main" id="{00000000-0008-0000-1B00-0000C9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35" name="Option Button 191" hidden="1">
                <a:extLst>
                  <a:ext uri="{63B3BB69-23CF-44E3-9099-C40C66FF867C}">
                    <a14:compatExt spid="_x0000_s159935"/>
                  </a:ext>
                  <a:ext uri="{FF2B5EF4-FFF2-40B4-BE49-F238E27FC236}">
                    <a16:creationId xmlns:a16="http://schemas.microsoft.com/office/drawing/2014/main" id="{00000000-0008-0000-1B00-0000BF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36" name="Option Button 192" hidden="1">
                <a:extLst>
                  <a:ext uri="{63B3BB69-23CF-44E3-9099-C40C66FF867C}">
                    <a14:compatExt spid="_x0000_s159936"/>
                  </a:ext>
                  <a:ext uri="{FF2B5EF4-FFF2-40B4-BE49-F238E27FC236}">
                    <a16:creationId xmlns:a16="http://schemas.microsoft.com/office/drawing/2014/main" id="{00000000-0008-0000-1B00-0000C0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37" name="Option Button 193" hidden="1">
                <a:extLst>
                  <a:ext uri="{63B3BB69-23CF-44E3-9099-C40C66FF867C}">
                    <a14:compatExt spid="_x0000_s159937"/>
                  </a:ext>
                  <a:ext uri="{FF2B5EF4-FFF2-40B4-BE49-F238E27FC236}">
                    <a16:creationId xmlns:a16="http://schemas.microsoft.com/office/drawing/2014/main" id="{00000000-0008-0000-1B00-0000C1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38" name="Group Box 194" hidden="1">
                <a:extLst>
                  <a:ext uri="{63B3BB69-23CF-44E3-9099-C40C66FF867C}">
                    <a14:compatExt spid="_x0000_s159938"/>
                  </a:ext>
                  <a:ext uri="{FF2B5EF4-FFF2-40B4-BE49-F238E27FC236}">
                    <a16:creationId xmlns:a16="http://schemas.microsoft.com/office/drawing/2014/main" id="{00000000-0008-0000-1B00-0000C2700200}"/>
                  </a:ext>
                </a:extLst>
              </xdr:cNvPr>
              <xdr:cNvSpPr/>
            </xdr:nvSpPr>
            <xdr:spPr bwMode="auto">
              <a:xfrm>
                <a:off x="2994667" y="2201924"/>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159961" name="Groupe 159960">
              <a:extLst>
                <a:ext uri="{FF2B5EF4-FFF2-40B4-BE49-F238E27FC236}">
                  <a16:creationId xmlns:a16="http://schemas.microsoft.com/office/drawing/2014/main" id="{00000000-0008-0000-1C00-0000D9700200}"/>
                </a:ext>
              </a:extLst>
            </xdr:cNvPr>
            <xdr:cNvGrpSpPr/>
          </xdr:nvGrpSpPr>
          <xdr:grpSpPr>
            <a:xfrm>
              <a:off x="3696269" y="61403552"/>
              <a:ext cx="1956179" cy="1649105"/>
              <a:chOff x="2994704" y="2201921"/>
              <a:chExt cx="1960968" cy="1646930"/>
            </a:xfrm>
          </xdr:grpSpPr>
          <xdr:sp macro="" textlink="">
            <xdr:nvSpPr>
              <xdr:cNvPr id="159939" name="Option Button 195" descr="Case d'option 47" hidden="1">
                <a:extLst>
                  <a:ext uri="{63B3BB69-23CF-44E3-9099-C40C66FF867C}">
                    <a14:compatExt spid="_x0000_s159939"/>
                  </a:ext>
                  <a:ext uri="{FF2B5EF4-FFF2-40B4-BE49-F238E27FC236}">
                    <a16:creationId xmlns:a16="http://schemas.microsoft.com/office/drawing/2014/main" id="{00000000-0008-0000-1B00-0000C3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49" name="Option Button 196" hidden="1">
                <a:extLst>
                  <a:ext uri="{63B3BB69-23CF-44E3-9099-C40C66FF867C}">
                    <a14:compatExt spid="_x0000_s159940"/>
                  </a:ext>
                  <a:ext uri="{FF2B5EF4-FFF2-40B4-BE49-F238E27FC236}">
                    <a16:creationId xmlns:a16="http://schemas.microsoft.com/office/drawing/2014/main" id="{00000000-0008-0000-1B00-0000CD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41" name="Option Button 197" hidden="1">
                <a:extLst>
                  <a:ext uri="{63B3BB69-23CF-44E3-9099-C40C66FF867C}">
                    <a14:compatExt spid="_x0000_s159941"/>
                  </a:ext>
                  <a:ext uri="{FF2B5EF4-FFF2-40B4-BE49-F238E27FC236}">
                    <a16:creationId xmlns:a16="http://schemas.microsoft.com/office/drawing/2014/main" id="{00000000-0008-0000-1B00-0000C5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42" name="Option Button 198" hidden="1">
                <a:extLst>
                  <a:ext uri="{63B3BB69-23CF-44E3-9099-C40C66FF867C}">
                    <a14:compatExt spid="_x0000_s159942"/>
                  </a:ext>
                  <a:ext uri="{FF2B5EF4-FFF2-40B4-BE49-F238E27FC236}">
                    <a16:creationId xmlns:a16="http://schemas.microsoft.com/office/drawing/2014/main" id="{00000000-0008-0000-1B00-0000C6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43" name="Group Box 199" hidden="1">
                <a:extLst>
                  <a:ext uri="{63B3BB69-23CF-44E3-9099-C40C66FF867C}">
                    <a14:compatExt spid="_x0000_s159943"/>
                  </a:ext>
                  <a:ext uri="{FF2B5EF4-FFF2-40B4-BE49-F238E27FC236}">
                    <a16:creationId xmlns:a16="http://schemas.microsoft.com/office/drawing/2014/main" id="{00000000-0008-0000-1B00-0000C7700200}"/>
                  </a:ext>
                </a:extLst>
              </xdr:cNvPr>
              <xdr:cNvSpPr/>
            </xdr:nvSpPr>
            <xdr:spPr bwMode="auto">
              <a:xfrm>
                <a:off x="2994704" y="2201921"/>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159967" name="Ellipse 159966">
          <a:extLst>
            <a:ext uri="{FF2B5EF4-FFF2-40B4-BE49-F238E27FC236}">
              <a16:creationId xmlns:a16="http://schemas.microsoft.com/office/drawing/2014/main" id="{00000000-0008-0000-1C00-0000DF70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159968" name="ZoneTexte 1">
          <a:extLst>
            <a:ext uri="{FF2B5EF4-FFF2-40B4-BE49-F238E27FC236}">
              <a16:creationId xmlns:a16="http://schemas.microsoft.com/office/drawing/2014/main" id="{00000000-0008-0000-1C00-0000E07002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59969" name="ZoneTexte 1">
          <a:extLst>
            <a:ext uri="{FF2B5EF4-FFF2-40B4-BE49-F238E27FC236}">
              <a16:creationId xmlns:a16="http://schemas.microsoft.com/office/drawing/2014/main" id="{00000000-0008-0000-1C00-0000E170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159982" name="ZoneTexte 1">
          <a:extLst>
            <a:ext uri="{FF2B5EF4-FFF2-40B4-BE49-F238E27FC236}">
              <a16:creationId xmlns:a16="http://schemas.microsoft.com/office/drawing/2014/main" id="{00000000-0008-0000-1C00-0000EE70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110</xdr:row>
          <xdr:rowOff>0</xdr:rowOff>
        </xdr:from>
        <xdr:to>
          <xdr:col>8</xdr:col>
          <xdr:colOff>0</xdr:colOff>
          <xdr:row>111</xdr:row>
          <xdr:rowOff>0</xdr:rowOff>
        </xdr:to>
        <xdr:grpSp>
          <xdr:nvGrpSpPr>
            <xdr:cNvPr id="159984" name="Groupe 159983">
              <a:extLst>
                <a:ext uri="{FF2B5EF4-FFF2-40B4-BE49-F238E27FC236}">
                  <a16:creationId xmlns:a16="http://schemas.microsoft.com/office/drawing/2014/main" id="{00000000-0008-0000-1C00-0000F0700200}"/>
                </a:ext>
              </a:extLst>
            </xdr:cNvPr>
            <xdr:cNvGrpSpPr/>
          </xdr:nvGrpSpPr>
          <xdr:grpSpPr>
            <a:xfrm>
              <a:off x="3696269" y="68523134"/>
              <a:ext cx="1956179" cy="1649105"/>
              <a:chOff x="2995465" y="3846772"/>
              <a:chExt cx="1960181" cy="1644868"/>
            </a:xfrm>
          </xdr:grpSpPr>
          <xdr:sp macro="" textlink="">
            <xdr:nvSpPr>
              <xdr:cNvPr id="159954" name="Option Button 210" hidden="1">
                <a:extLst>
                  <a:ext uri="{63B3BB69-23CF-44E3-9099-C40C66FF867C}">
                    <a14:compatExt spid="_x0000_s159954"/>
                  </a:ext>
                  <a:ext uri="{FF2B5EF4-FFF2-40B4-BE49-F238E27FC236}">
                    <a16:creationId xmlns:a16="http://schemas.microsoft.com/office/drawing/2014/main" id="{00000000-0008-0000-1B00-0000D2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50" name="Option Button 211" hidden="1">
                <a:extLst>
                  <a:ext uri="{63B3BB69-23CF-44E3-9099-C40C66FF867C}">
                    <a14:compatExt spid="_x0000_s159955"/>
                  </a:ext>
                  <a:ext uri="{FF2B5EF4-FFF2-40B4-BE49-F238E27FC236}">
                    <a16:creationId xmlns:a16="http://schemas.microsoft.com/office/drawing/2014/main" id="{00000000-0008-0000-1B00-0000CE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56" name="Option Button 212" hidden="1">
                <a:extLst>
                  <a:ext uri="{63B3BB69-23CF-44E3-9099-C40C66FF867C}">
                    <a14:compatExt spid="_x0000_s159956"/>
                  </a:ext>
                  <a:ext uri="{FF2B5EF4-FFF2-40B4-BE49-F238E27FC236}">
                    <a16:creationId xmlns:a16="http://schemas.microsoft.com/office/drawing/2014/main" id="{00000000-0008-0000-1B00-0000D4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57" name="Option Button 213" hidden="1">
                <a:extLst>
                  <a:ext uri="{63B3BB69-23CF-44E3-9099-C40C66FF867C}">
                    <a14:compatExt spid="_x0000_s159957"/>
                  </a:ext>
                  <a:ext uri="{FF2B5EF4-FFF2-40B4-BE49-F238E27FC236}">
                    <a16:creationId xmlns:a16="http://schemas.microsoft.com/office/drawing/2014/main" id="{00000000-0008-0000-1B00-0000D5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58" name="Group Box 214" hidden="1">
                <a:extLst>
                  <a:ext uri="{63B3BB69-23CF-44E3-9099-C40C66FF867C}">
                    <a14:compatExt spid="_x0000_s159958"/>
                  </a:ext>
                  <a:ext uri="{FF2B5EF4-FFF2-40B4-BE49-F238E27FC236}">
                    <a16:creationId xmlns:a16="http://schemas.microsoft.com/office/drawing/2014/main" id="{00000000-0008-0000-1B00-0000D6700200}"/>
                  </a:ext>
                </a:extLst>
              </xdr:cNvPr>
              <xdr:cNvSpPr/>
            </xdr:nvSpPr>
            <xdr:spPr bwMode="auto">
              <a:xfrm>
                <a:off x="2995465" y="3846772"/>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109</xdr:row>
          <xdr:rowOff>0</xdr:rowOff>
        </xdr:from>
        <xdr:to>
          <xdr:col>8</xdr:col>
          <xdr:colOff>0</xdr:colOff>
          <xdr:row>110</xdr:row>
          <xdr:rowOff>2055</xdr:rowOff>
        </xdr:to>
        <xdr:grpSp>
          <xdr:nvGrpSpPr>
            <xdr:cNvPr id="159990" name="Groupe 159989">
              <a:extLst>
                <a:ext uri="{FF2B5EF4-FFF2-40B4-BE49-F238E27FC236}">
                  <a16:creationId xmlns:a16="http://schemas.microsoft.com/office/drawing/2014/main" id="{00000000-0008-0000-1C00-0000F6700200}"/>
                </a:ext>
              </a:extLst>
            </xdr:cNvPr>
            <xdr:cNvGrpSpPr/>
          </xdr:nvGrpSpPr>
          <xdr:grpSpPr>
            <a:xfrm>
              <a:off x="3696269" y="66874030"/>
              <a:ext cx="1956179" cy="1651159"/>
              <a:chOff x="2994708" y="2201912"/>
              <a:chExt cx="1960968" cy="1646921"/>
            </a:xfrm>
          </xdr:grpSpPr>
          <xdr:sp macro="" textlink="">
            <xdr:nvSpPr>
              <xdr:cNvPr id="159959" name="Option Button 215" descr="Case d'option 47" hidden="1">
                <a:extLst>
                  <a:ext uri="{63B3BB69-23CF-44E3-9099-C40C66FF867C}">
                    <a14:compatExt spid="_x0000_s159959"/>
                  </a:ext>
                  <a:ext uri="{FF2B5EF4-FFF2-40B4-BE49-F238E27FC236}">
                    <a16:creationId xmlns:a16="http://schemas.microsoft.com/office/drawing/2014/main" id="{00000000-0008-0000-1B00-0000D7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60" name="Option Button 216" hidden="1">
                <a:extLst>
                  <a:ext uri="{63B3BB69-23CF-44E3-9099-C40C66FF867C}">
                    <a14:compatExt spid="_x0000_s159960"/>
                  </a:ext>
                  <a:ext uri="{FF2B5EF4-FFF2-40B4-BE49-F238E27FC236}">
                    <a16:creationId xmlns:a16="http://schemas.microsoft.com/office/drawing/2014/main" id="{00000000-0008-0000-1B00-0000D8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51" name="Option Button 217" hidden="1">
                <a:extLst>
                  <a:ext uri="{63B3BB69-23CF-44E3-9099-C40C66FF867C}">
                    <a14:compatExt spid="_x0000_s159961"/>
                  </a:ext>
                  <a:ext uri="{FF2B5EF4-FFF2-40B4-BE49-F238E27FC236}">
                    <a16:creationId xmlns:a16="http://schemas.microsoft.com/office/drawing/2014/main" id="{00000000-0008-0000-1B00-0000CF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62" name="Option Button 218" hidden="1">
                <a:extLst>
                  <a:ext uri="{63B3BB69-23CF-44E3-9099-C40C66FF867C}">
                    <a14:compatExt spid="_x0000_s159962"/>
                  </a:ext>
                  <a:ext uri="{FF2B5EF4-FFF2-40B4-BE49-F238E27FC236}">
                    <a16:creationId xmlns:a16="http://schemas.microsoft.com/office/drawing/2014/main" id="{00000000-0008-0000-1B00-0000DA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63" name="Group Box 219" hidden="1">
                <a:extLst>
                  <a:ext uri="{63B3BB69-23CF-44E3-9099-C40C66FF867C}">
                    <a14:compatExt spid="_x0000_s159963"/>
                  </a:ext>
                  <a:ext uri="{FF2B5EF4-FFF2-40B4-BE49-F238E27FC236}">
                    <a16:creationId xmlns:a16="http://schemas.microsoft.com/office/drawing/2014/main" id="{00000000-0008-0000-1B00-0000DB700200}"/>
                  </a:ext>
                </a:extLst>
              </xdr:cNvPr>
              <xdr:cNvSpPr/>
            </xdr:nvSpPr>
            <xdr:spPr bwMode="auto">
              <a:xfrm>
                <a:off x="2994708" y="2201912"/>
                <a:ext cx="1960968"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111</xdr:row>
      <xdr:rowOff>15675</xdr:rowOff>
    </xdr:from>
    <xdr:to>
      <xdr:col>9</xdr:col>
      <xdr:colOff>4503756</xdr:colOff>
      <xdr:row>112</xdr:row>
      <xdr:rowOff>0</xdr:rowOff>
    </xdr:to>
    <xdr:sp macro="" textlink="" fLocksText="0">
      <xdr:nvSpPr>
        <xdr:cNvPr id="159996" name="ZoneTexte 1">
          <a:extLst>
            <a:ext uri="{FF2B5EF4-FFF2-40B4-BE49-F238E27FC236}">
              <a16:creationId xmlns:a16="http://schemas.microsoft.com/office/drawing/2014/main" id="{00000000-0008-0000-1C00-0000FC70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1786758</xdr:rowOff>
    </xdr:to>
    <xdr:sp macro="" textlink="" fLocksText="0">
      <xdr:nvSpPr>
        <xdr:cNvPr id="159997" name="ZoneTexte 1">
          <a:extLst>
            <a:ext uri="{FF2B5EF4-FFF2-40B4-BE49-F238E27FC236}">
              <a16:creationId xmlns:a16="http://schemas.microsoft.com/office/drawing/2014/main" id="{00000000-0008-0000-1C00-0000FD700200}"/>
            </a:ext>
          </a:extLst>
        </xdr:cNvPr>
        <xdr:cNvSpPr txBox="1">
          <a:spLocks noChangeArrowheads="1"/>
        </xdr:cNvSpPr>
      </xdr:nvSpPr>
      <xdr:spPr bwMode="auto">
        <a:xfrm>
          <a:off x="6881774" y="71887343"/>
          <a:ext cx="4521950" cy="176389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59998" name="ZoneTexte 1">
          <a:extLst>
            <a:ext uri="{FF2B5EF4-FFF2-40B4-BE49-F238E27FC236}">
              <a16:creationId xmlns:a16="http://schemas.microsoft.com/office/drawing/2014/main" id="{00000000-0008-0000-1C00-0000FE70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113</xdr:row>
          <xdr:rowOff>3</xdr:rowOff>
        </xdr:from>
        <xdr:to>
          <xdr:col>8</xdr:col>
          <xdr:colOff>0</xdr:colOff>
          <xdr:row>114</xdr:row>
          <xdr:rowOff>3</xdr:rowOff>
        </xdr:to>
        <xdr:grpSp>
          <xdr:nvGrpSpPr>
            <xdr:cNvPr id="159999" name="Groupe 159998">
              <a:extLst>
                <a:ext uri="{FF2B5EF4-FFF2-40B4-BE49-F238E27FC236}">
                  <a16:creationId xmlns:a16="http://schemas.microsoft.com/office/drawing/2014/main" id="{00000000-0008-0000-1C00-0000FF700200}"/>
                </a:ext>
              </a:extLst>
            </xdr:cNvPr>
            <xdr:cNvGrpSpPr/>
          </xdr:nvGrpSpPr>
          <xdr:grpSpPr>
            <a:xfrm>
              <a:off x="3696269" y="73663794"/>
              <a:ext cx="1956179" cy="1649102"/>
              <a:chOff x="2995465" y="3846794"/>
              <a:chExt cx="1960181" cy="1644870"/>
            </a:xfrm>
          </xdr:grpSpPr>
          <xdr:sp macro="" textlink="">
            <xdr:nvSpPr>
              <xdr:cNvPr id="159964" name="Option Button 220" hidden="1">
                <a:extLst>
                  <a:ext uri="{63B3BB69-23CF-44E3-9099-C40C66FF867C}">
                    <a14:compatExt spid="_x0000_s159964"/>
                  </a:ext>
                  <a:ext uri="{FF2B5EF4-FFF2-40B4-BE49-F238E27FC236}">
                    <a16:creationId xmlns:a16="http://schemas.microsoft.com/office/drawing/2014/main" id="{00000000-0008-0000-1B00-0000DC70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65" name="Option Button 221" hidden="1">
                <a:extLst>
                  <a:ext uri="{63B3BB69-23CF-44E3-9099-C40C66FF867C}">
                    <a14:compatExt spid="_x0000_s159965"/>
                  </a:ext>
                  <a:ext uri="{FF2B5EF4-FFF2-40B4-BE49-F238E27FC236}">
                    <a16:creationId xmlns:a16="http://schemas.microsoft.com/office/drawing/2014/main" id="{00000000-0008-0000-1B00-0000DD70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66" name="Option Button 222" hidden="1">
                <a:extLst>
                  <a:ext uri="{63B3BB69-23CF-44E3-9099-C40C66FF867C}">
                    <a14:compatExt spid="_x0000_s159966"/>
                  </a:ext>
                  <a:ext uri="{FF2B5EF4-FFF2-40B4-BE49-F238E27FC236}">
                    <a16:creationId xmlns:a16="http://schemas.microsoft.com/office/drawing/2014/main" id="{00000000-0008-0000-1B00-0000DE70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52" name="Option Button 223" hidden="1">
                <a:extLst>
                  <a:ext uri="{63B3BB69-23CF-44E3-9099-C40C66FF867C}">
                    <a14:compatExt spid="_x0000_s159967"/>
                  </a:ext>
                  <a:ext uri="{FF2B5EF4-FFF2-40B4-BE49-F238E27FC236}">
                    <a16:creationId xmlns:a16="http://schemas.microsoft.com/office/drawing/2014/main" id="{00000000-0008-0000-1B00-0000D070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53" name="Group Box 224" hidden="1">
                <a:extLst>
                  <a:ext uri="{63B3BB69-23CF-44E3-9099-C40C66FF867C}">
                    <a14:compatExt spid="_x0000_s159968"/>
                  </a:ext>
                  <a:ext uri="{FF2B5EF4-FFF2-40B4-BE49-F238E27FC236}">
                    <a16:creationId xmlns:a16="http://schemas.microsoft.com/office/drawing/2014/main" id="{00000000-0008-0000-1B00-0000D1700200}"/>
                  </a:ext>
                </a:extLst>
              </xdr:cNvPr>
              <xdr:cNvSpPr/>
            </xdr:nvSpPr>
            <xdr:spPr bwMode="auto">
              <a:xfrm>
                <a:off x="2995465" y="3846794"/>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112</xdr:row>
          <xdr:rowOff>0</xdr:rowOff>
        </xdr:from>
        <xdr:to>
          <xdr:col>8</xdr:col>
          <xdr:colOff>0</xdr:colOff>
          <xdr:row>113</xdr:row>
          <xdr:rowOff>2058</xdr:rowOff>
        </xdr:to>
        <xdr:grpSp>
          <xdr:nvGrpSpPr>
            <xdr:cNvPr id="160005" name="Groupe 160004">
              <a:extLst>
                <a:ext uri="{FF2B5EF4-FFF2-40B4-BE49-F238E27FC236}">
                  <a16:creationId xmlns:a16="http://schemas.microsoft.com/office/drawing/2014/main" id="{00000000-0008-0000-1C00-000005710200}"/>
                </a:ext>
              </a:extLst>
            </xdr:cNvPr>
            <xdr:cNvGrpSpPr/>
          </xdr:nvGrpSpPr>
          <xdr:grpSpPr>
            <a:xfrm>
              <a:off x="3699437" y="71821343"/>
              <a:ext cx="1953011" cy="1844506"/>
              <a:chOff x="2994667" y="2201916"/>
              <a:chExt cx="1960968" cy="1646925"/>
            </a:xfrm>
          </xdr:grpSpPr>
          <xdr:sp macro="" textlink="">
            <xdr:nvSpPr>
              <xdr:cNvPr id="159970" name="Option Button 225" descr="Case d'option 47" hidden="1">
                <a:extLst>
                  <a:ext uri="{63B3BB69-23CF-44E3-9099-C40C66FF867C}">
                    <a14:compatExt spid="_x0000_s159969"/>
                  </a:ext>
                  <a:ext uri="{FF2B5EF4-FFF2-40B4-BE49-F238E27FC236}">
                    <a16:creationId xmlns:a16="http://schemas.microsoft.com/office/drawing/2014/main" id="{00000000-0008-0000-1B00-0000E2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76" name="Option Button 226" hidden="1">
                <a:extLst>
                  <a:ext uri="{63B3BB69-23CF-44E3-9099-C40C66FF867C}">
                    <a14:compatExt spid="_x0000_s159970"/>
                  </a:ext>
                  <a:ext uri="{FF2B5EF4-FFF2-40B4-BE49-F238E27FC236}">
                    <a16:creationId xmlns:a16="http://schemas.microsoft.com/office/drawing/2014/main" id="{00000000-0008-0000-1B00-0000E8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71" name="Option Button 227" hidden="1">
                <a:extLst>
                  <a:ext uri="{63B3BB69-23CF-44E3-9099-C40C66FF867C}">
                    <a14:compatExt spid="_x0000_s159971"/>
                  </a:ext>
                  <a:ext uri="{FF2B5EF4-FFF2-40B4-BE49-F238E27FC236}">
                    <a16:creationId xmlns:a16="http://schemas.microsoft.com/office/drawing/2014/main" id="{00000000-0008-0000-1B00-0000E3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72" name="Option Button 228" hidden="1">
                <a:extLst>
                  <a:ext uri="{63B3BB69-23CF-44E3-9099-C40C66FF867C}">
                    <a14:compatExt spid="_x0000_s159972"/>
                  </a:ext>
                  <a:ext uri="{FF2B5EF4-FFF2-40B4-BE49-F238E27FC236}">
                    <a16:creationId xmlns:a16="http://schemas.microsoft.com/office/drawing/2014/main" id="{00000000-0008-0000-1B00-0000E4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73" name="Group Box 229" hidden="1">
                <a:extLst>
                  <a:ext uri="{63B3BB69-23CF-44E3-9099-C40C66FF867C}">
                    <a14:compatExt spid="_x0000_s159973"/>
                  </a:ext>
                  <a:ext uri="{FF2B5EF4-FFF2-40B4-BE49-F238E27FC236}">
                    <a16:creationId xmlns:a16="http://schemas.microsoft.com/office/drawing/2014/main" id="{00000000-0008-0000-1B00-0000E5700200}"/>
                  </a:ext>
                </a:extLst>
              </xdr:cNvPr>
              <xdr:cNvSpPr/>
            </xdr:nvSpPr>
            <xdr:spPr bwMode="auto">
              <a:xfrm>
                <a:off x="2994667" y="2201916"/>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111</xdr:row>
          <xdr:rowOff>0</xdr:rowOff>
        </xdr:from>
        <xdr:to>
          <xdr:col>8</xdr:col>
          <xdr:colOff>0</xdr:colOff>
          <xdr:row>112</xdr:row>
          <xdr:rowOff>0</xdr:rowOff>
        </xdr:to>
        <xdr:grpSp>
          <xdr:nvGrpSpPr>
            <xdr:cNvPr id="160011" name="Groupe 160010">
              <a:extLst>
                <a:ext uri="{FF2B5EF4-FFF2-40B4-BE49-F238E27FC236}">
                  <a16:creationId xmlns:a16="http://schemas.microsoft.com/office/drawing/2014/main" id="{00000000-0008-0000-1C00-00000B710200}"/>
                </a:ext>
              </a:extLst>
            </xdr:cNvPr>
            <xdr:cNvGrpSpPr/>
          </xdr:nvGrpSpPr>
          <xdr:grpSpPr>
            <a:xfrm>
              <a:off x="3696269" y="70172239"/>
              <a:ext cx="1956179" cy="1649104"/>
              <a:chOff x="2994704" y="2201922"/>
              <a:chExt cx="1960968" cy="1646929"/>
            </a:xfrm>
          </xdr:grpSpPr>
          <xdr:sp macro="" textlink="">
            <xdr:nvSpPr>
              <xdr:cNvPr id="159974" name="Option Button 230" descr="Case d'option 47" hidden="1">
                <a:extLst>
                  <a:ext uri="{63B3BB69-23CF-44E3-9099-C40C66FF867C}">
                    <a14:compatExt spid="_x0000_s159974"/>
                  </a:ext>
                  <a:ext uri="{FF2B5EF4-FFF2-40B4-BE49-F238E27FC236}">
                    <a16:creationId xmlns:a16="http://schemas.microsoft.com/office/drawing/2014/main" id="{00000000-0008-0000-1B00-0000E670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59975" name="Option Button 231" hidden="1">
                <a:extLst>
                  <a:ext uri="{63B3BB69-23CF-44E3-9099-C40C66FF867C}">
                    <a14:compatExt spid="_x0000_s159975"/>
                  </a:ext>
                  <a:ext uri="{FF2B5EF4-FFF2-40B4-BE49-F238E27FC236}">
                    <a16:creationId xmlns:a16="http://schemas.microsoft.com/office/drawing/2014/main" id="{00000000-0008-0000-1B00-0000E770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59979" name="Option Button 232" hidden="1">
                <a:extLst>
                  <a:ext uri="{63B3BB69-23CF-44E3-9099-C40C66FF867C}">
                    <a14:compatExt spid="_x0000_s159976"/>
                  </a:ext>
                  <a:ext uri="{FF2B5EF4-FFF2-40B4-BE49-F238E27FC236}">
                    <a16:creationId xmlns:a16="http://schemas.microsoft.com/office/drawing/2014/main" id="{00000000-0008-0000-1B00-0000EB70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59977" name="Option Button 233" hidden="1">
                <a:extLst>
                  <a:ext uri="{63B3BB69-23CF-44E3-9099-C40C66FF867C}">
                    <a14:compatExt spid="_x0000_s159977"/>
                  </a:ext>
                  <a:ext uri="{FF2B5EF4-FFF2-40B4-BE49-F238E27FC236}">
                    <a16:creationId xmlns:a16="http://schemas.microsoft.com/office/drawing/2014/main" id="{00000000-0008-0000-1B00-0000E970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59978" name="Group Box 234" hidden="1">
                <a:extLst>
                  <a:ext uri="{63B3BB69-23CF-44E3-9099-C40C66FF867C}">
                    <a14:compatExt spid="_x0000_s159978"/>
                  </a:ext>
                  <a:ext uri="{FF2B5EF4-FFF2-40B4-BE49-F238E27FC236}">
                    <a16:creationId xmlns:a16="http://schemas.microsoft.com/office/drawing/2014/main" id="{00000000-0008-0000-1B00-0000EA700200}"/>
                  </a:ext>
                </a:extLst>
              </xdr:cNvPr>
              <xdr:cNvSpPr/>
            </xdr:nvSpPr>
            <xdr:spPr bwMode="auto">
              <a:xfrm>
                <a:off x="2994704" y="2201922"/>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106</xdr:row>
      <xdr:rowOff>165251</xdr:rowOff>
    </xdr:from>
    <xdr:to>
      <xdr:col>5</xdr:col>
      <xdr:colOff>462364</xdr:colOff>
      <xdr:row>107</xdr:row>
      <xdr:rowOff>415621</xdr:rowOff>
    </xdr:to>
    <xdr:sp macro="" textlink="">
      <xdr:nvSpPr>
        <xdr:cNvPr id="160017" name="Ellipse 160016">
          <a:extLst>
            <a:ext uri="{FF2B5EF4-FFF2-40B4-BE49-F238E27FC236}">
              <a16:creationId xmlns:a16="http://schemas.microsoft.com/office/drawing/2014/main" id="{00000000-0008-0000-1C00-00001171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60018" name="ZoneTexte 1">
          <a:extLst>
            <a:ext uri="{FF2B5EF4-FFF2-40B4-BE49-F238E27FC236}">
              <a16:creationId xmlns:a16="http://schemas.microsoft.com/office/drawing/2014/main" id="{00000000-0008-0000-1C00-00001271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60019" name="ZoneTexte 1">
          <a:extLst>
            <a:ext uri="{FF2B5EF4-FFF2-40B4-BE49-F238E27FC236}">
              <a16:creationId xmlns:a16="http://schemas.microsoft.com/office/drawing/2014/main" id="{00000000-0008-0000-1C00-00001371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12</xdr:row>
      <xdr:rowOff>22746</xdr:rowOff>
    </xdr:from>
    <xdr:to>
      <xdr:col>9</xdr:col>
      <xdr:colOff>4571656</xdr:colOff>
      <xdr:row>12</xdr:row>
      <xdr:rowOff>1627565</xdr:rowOff>
    </xdr:to>
    <xdr:sp macro="" textlink="" fLocksText="0">
      <xdr:nvSpPr>
        <xdr:cNvPr id="159980" name="ZoneTexte 159979">
          <a:extLst>
            <a:ext uri="{FF2B5EF4-FFF2-40B4-BE49-F238E27FC236}">
              <a16:creationId xmlns:a16="http://schemas.microsoft.com/office/drawing/2014/main" id="{9845A471-C438-4F69-959F-E862FCEE1713}"/>
            </a:ext>
          </a:extLst>
        </xdr:cNvPr>
        <xdr:cNvSpPr txBox="1">
          <a:spLocks noChangeArrowheads="1"/>
        </xdr:cNvSpPr>
      </xdr:nvSpPr>
      <xdr:spPr bwMode="auto">
        <a:xfrm>
          <a:off x="6892119" y="503829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159981" name="ZoneTexte 159980">
          <a:extLst>
            <a:ext uri="{FF2B5EF4-FFF2-40B4-BE49-F238E27FC236}">
              <a16:creationId xmlns:a16="http://schemas.microsoft.com/office/drawing/2014/main" id="{CBD4D146-2CB4-456B-80C6-02123E72B115}"/>
            </a:ext>
          </a:extLst>
        </xdr:cNvPr>
        <xdr:cNvSpPr txBox="1">
          <a:spLocks noChangeArrowheads="1"/>
        </xdr:cNvSpPr>
      </xdr:nvSpPr>
      <xdr:spPr bwMode="auto">
        <a:xfrm>
          <a:off x="6892119" y="1055426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1627565</xdr:rowOff>
    </xdr:to>
    <xdr:sp macro="" textlink="" fLocksText="0">
      <xdr:nvSpPr>
        <xdr:cNvPr id="159985" name="ZoneTexte 159984">
          <a:extLst>
            <a:ext uri="{FF2B5EF4-FFF2-40B4-BE49-F238E27FC236}">
              <a16:creationId xmlns:a16="http://schemas.microsoft.com/office/drawing/2014/main" id="{0FCAF0AB-2D85-40CF-A180-6CBA177EE8AC}"/>
            </a:ext>
          </a:extLst>
        </xdr:cNvPr>
        <xdr:cNvSpPr txBox="1">
          <a:spLocks noChangeArrowheads="1"/>
        </xdr:cNvSpPr>
      </xdr:nvSpPr>
      <xdr:spPr bwMode="auto">
        <a:xfrm>
          <a:off x="6892119" y="22666656"/>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159986" name="ZoneTexte 159985">
          <a:extLst>
            <a:ext uri="{FF2B5EF4-FFF2-40B4-BE49-F238E27FC236}">
              <a16:creationId xmlns:a16="http://schemas.microsoft.com/office/drawing/2014/main" id="{51B7B41D-F24D-4445-B905-B6CE5D0A1400}"/>
            </a:ext>
          </a:extLst>
        </xdr:cNvPr>
        <xdr:cNvSpPr txBox="1">
          <a:spLocks noChangeArrowheads="1"/>
        </xdr:cNvSpPr>
      </xdr:nvSpPr>
      <xdr:spPr bwMode="auto">
        <a:xfrm>
          <a:off x="6892119" y="33391522"/>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78</xdr:row>
      <xdr:rowOff>22746</xdr:rowOff>
    </xdr:from>
    <xdr:to>
      <xdr:col>9</xdr:col>
      <xdr:colOff>4571656</xdr:colOff>
      <xdr:row>78</xdr:row>
      <xdr:rowOff>2536209</xdr:rowOff>
    </xdr:to>
    <xdr:sp macro="" textlink="" fLocksText="0">
      <xdr:nvSpPr>
        <xdr:cNvPr id="159987" name="ZoneTexte 159986">
          <a:extLst>
            <a:ext uri="{FF2B5EF4-FFF2-40B4-BE49-F238E27FC236}">
              <a16:creationId xmlns:a16="http://schemas.microsoft.com/office/drawing/2014/main" id="{B80A542F-50BD-4EBC-B834-256DA60AC71A}"/>
            </a:ext>
          </a:extLst>
        </xdr:cNvPr>
        <xdr:cNvSpPr txBox="1">
          <a:spLocks noChangeArrowheads="1"/>
        </xdr:cNvSpPr>
      </xdr:nvSpPr>
      <xdr:spPr bwMode="auto">
        <a:xfrm>
          <a:off x="6892119" y="44298358"/>
          <a:ext cx="4548910" cy="251346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94</xdr:row>
      <xdr:rowOff>22746</xdr:rowOff>
    </xdr:from>
    <xdr:to>
      <xdr:col>9</xdr:col>
      <xdr:colOff>4571656</xdr:colOff>
      <xdr:row>94</xdr:row>
      <xdr:rowOff>1627565</xdr:rowOff>
    </xdr:to>
    <xdr:sp macro="" textlink="" fLocksText="0">
      <xdr:nvSpPr>
        <xdr:cNvPr id="159988" name="ZoneTexte 159987">
          <a:extLst>
            <a:ext uri="{FF2B5EF4-FFF2-40B4-BE49-F238E27FC236}">
              <a16:creationId xmlns:a16="http://schemas.microsoft.com/office/drawing/2014/main" id="{34E1288D-4CB1-4DA7-B04C-5C6E391F4C59}"/>
            </a:ext>
          </a:extLst>
        </xdr:cNvPr>
        <xdr:cNvSpPr txBox="1">
          <a:spLocks noChangeArrowheads="1"/>
        </xdr:cNvSpPr>
      </xdr:nvSpPr>
      <xdr:spPr bwMode="auto">
        <a:xfrm>
          <a:off x="6892119" y="59777194"/>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110</xdr:row>
      <xdr:rowOff>22746</xdr:rowOff>
    </xdr:from>
    <xdr:to>
      <xdr:col>9</xdr:col>
      <xdr:colOff>4571656</xdr:colOff>
      <xdr:row>110</xdr:row>
      <xdr:rowOff>1627565</xdr:rowOff>
    </xdr:to>
    <xdr:sp macro="" textlink="" fLocksText="0">
      <xdr:nvSpPr>
        <xdr:cNvPr id="159989" name="ZoneTexte 159988">
          <a:extLst>
            <a:ext uri="{FF2B5EF4-FFF2-40B4-BE49-F238E27FC236}">
              <a16:creationId xmlns:a16="http://schemas.microsoft.com/office/drawing/2014/main" id="{506AB096-B0DC-4344-AB39-012502A4D2CE}"/>
            </a:ext>
          </a:extLst>
        </xdr:cNvPr>
        <xdr:cNvSpPr txBox="1">
          <a:spLocks noChangeArrowheads="1"/>
        </xdr:cNvSpPr>
      </xdr:nvSpPr>
      <xdr:spPr bwMode="auto">
        <a:xfrm>
          <a:off x="6892119" y="68545880"/>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1006415</xdr:colOff>
      <xdr:row>21</xdr:row>
      <xdr:rowOff>115016</xdr:rowOff>
    </xdr:from>
    <xdr:to>
      <xdr:col>6</xdr:col>
      <xdr:colOff>4070290</xdr:colOff>
      <xdr:row>22</xdr:row>
      <xdr:rowOff>140556</xdr:rowOff>
    </xdr:to>
    <xdr:sp macro="[0]!CalculMaturiteVF" textlink="">
      <xdr:nvSpPr>
        <xdr:cNvPr id="2" name="Rectangle : coins arrondis 1">
          <a:extLst>
            <a:ext uri="{FF2B5EF4-FFF2-40B4-BE49-F238E27FC236}">
              <a16:creationId xmlns:a16="http://schemas.microsoft.com/office/drawing/2014/main" id="{00000000-0008-0000-1D00-000002000000}"/>
            </a:ext>
          </a:extLst>
        </xdr:cNvPr>
        <xdr:cNvSpPr/>
      </xdr:nvSpPr>
      <xdr:spPr>
        <a:xfrm>
          <a:off x="3565585" y="10279808"/>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1E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1E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1E00-000005000000}"/>
                </a:ext>
              </a:extLst>
            </xdr:cNvPr>
            <xdr:cNvGrpSpPr/>
          </xdr:nvGrpSpPr>
          <xdr:grpSpPr>
            <a:xfrm>
              <a:off x="3696269" y="5015552"/>
              <a:ext cx="1956179" cy="1649105"/>
              <a:chOff x="2995472" y="3846826"/>
              <a:chExt cx="1960181" cy="1644869"/>
            </a:xfrm>
          </xdr:grpSpPr>
          <xdr:sp macro="" textlink="">
            <xdr:nvSpPr>
              <xdr:cNvPr id="160769" name="Option Button 1" hidden="1">
                <a:extLst>
                  <a:ext uri="{63B3BB69-23CF-44E3-9099-C40C66FF867C}">
                    <a14:compatExt spid="_x0000_s160769"/>
                  </a:ext>
                  <a:ext uri="{FF2B5EF4-FFF2-40B4-BE49-F238E27FC236}">
                    <a16:creationId xmlns:a16="http://schemas.microsoft.com/office/drawing/2014/main" id="{00000000-0008-0000-1D00-000001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770" name="Option Button 2" hidden="1">
                <a:extLst>
                  <a:ext uri="{63B3BB69-23CF-44E3-9099-C40C66FF867C}">
                    <a14:compatExt spid="_x0000_s160770"/>
                  </a:ext>
                  <a:ext uri="{FF2B5EF4-FFF2-40B4-BE49-F238E27FC236}">
                    <a16:creationId xmlns:a16="http://schemas.microsoft.com/office/drawing/2014/main" id="{00000000-0008-0000-1D00-000002740200}"/>
                  </a:ext>
                </a:extLst>
              </xdr:cNvPr>
              <xdr:cNvSpPr/>
            </xdr:nvSpPr>
            <xdr:spPr bwMode="auto">
              <a:xfrm>
                <a:off x="3109748" y="424048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771" name="Option Button 3" hidden="1">
                <a:extLst>
                  <a:ext uri="{63B3BB69-23CF-44E3-9099-C40C66FF867C}">
                    <a14:compatExt spid="_x0000_s160771"/>
                  </a:ext>
                  <a:ext uri="{FF2B5EF4-FFF2-40B4-BE49-F238E27FC236}">
                    <a16:creationId xmlns:a16="http://schemas.microsoft.com/office/drawing/2014/main" id="{00000000-0008-0000-1D00-000003740200}"/>
                  </a:ext>
                </a:extLst>
              </xdr:cNvPr>
              <xdr:cNvSpPr/>
            </xdr:nvSpPr>
            <xdr:spPr bwMode="auto">
              <a:xfrm>
                <a:off x="3109748" y="4504647"/>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772" name="Option Button 4" hidden="1">
                <a:extLst>
                  <a:ext uri="{63B3BB69-23CF-44E3-9099-C40C66FF867C}">
                    <a14:compatExt spid="_x0000_s160772"/>
                  </a:ext>
                  <a:ext uri="{FF2B5EF4-FFF2-40B4-BE49-F238E27FC236}">
                    <a16:creationId xmlns:a16="http://schemas.microsoft.com/office/drawing/2014/main" id="{00000000-0008-0000-1D00-000004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773" name="Group Box 5" hidden="1">
                <a:extLst>
                  <a:ext uri="{63B3BB69-23CF-44E3-9099-C40C66FF867C}">
                    <a14:compatExt spid="_x0000_s160773"/>
                  </a:ext>
                  <a:ext uri="{FF2B5EF4-FFF2-40B4-BE49-F238E27FC236}">
                    <a16:creationId xmlns:a16="http://schemas.microsoft.com/office/drawing/2014/main" id="{00000000-0008-0000-1D00-000005740200}"/>
                  </a:ext>
                </a:extLst>
              </xdr:cNvPr>
              <xdr:cNvSpPr/>
            </xdr:nvSpPr>
            <xdr:spPr bwMode="auto">
              <a:xfrm>
                <a:off x="2995472" y="384682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1E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1E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1E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1E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8</xdr:col>
          <xdr:colOff>0</xdr:colOff>
          <xdr:row>17</xdr:row>
          <xdr:rowOff>0</xdr:rowOff>
        </xdr:to>
        <xdr:sp macro="" textlink="">
          <xdr:nvSpPr>
            <xdr:cNvPr id="160774" name="Group Box 6" hidden="1">
              <a:extLst>
                <a:ext uri="{63B3BB69-23CF-44E3-9099-C40C66FF867C}">
                  <a14:compatExt spid="_x0000_s160774"/>
                </a:ext>
                <a:ext uri="{FF2B5EF4-FFF2-40B4-BE49-F238E27FC236}">
                  <a16:creationId xmlns:a16="http://schemas.microsoft.com/office/drawing/2014/main" id="{00000000-0008-0000-1D00-000006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2477402</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1E00-00000A000000}"/>
                </a:ext>
              </a:extLst>
            </xdr:cNvPr>
            <xdr:cNvGrpSpPr/>
          </xdr:nvGrpSpPr>
          <xdr:grpSpPr>
            <a:xfrm>
              <a:off x="3694327" y="3366450"/>
              <a:ext cx="1959710" cy="1651160"/>
              <a:chOff x="3693191" y="3303808"/>
              <a:chExt cx="1959434" cy="1648421"/>
            </a:xfrm>
          </xdr:grpSpPr>
          <xdr:sp macro="" textlink="">
            <xdr:nvSpPr>
              <xdr:cNvPr id="160775" name="Group Box 7" hidden="1">
                <a:extLst>
                  <a:ext uri="{63B3BB69-23CF-44E3-9099-C40C66FF867C}">
                    <a14:compatExt spid="_x0000_s160775"/>
                  </a:ext>
                  <a:ext uri="{FF2B5EF4-FFF2-40B4-BE49-F238E27FC236}">
                    <a16:creationId xmlns:a16="http://schemas.microsoft.com/office/drawing/2014/main" id="{00000000-0008-0000-1D00-000007740200}"/>
                  </a:ext>
                </a:extLst>
              </xdr:cNvPr>
              <xdr:cNvSpPr/>
            </xdr:nvSpPr>
            <xdr:spPr bwMode="auto">
              <a:xfrm>
                <a:off x="3693191" y="3303808"/>
                <a:ext cx="1959428" cy="1648421"/>
              </a:xfrm>
              <a:prstGeom prst="rect">
                <a:avLst/>
              </a:prstGeom>
              <a:noFill/>
              <a:ln w="9525">
                <a:miter lim="800000"/>
                <a:headEnd/>
                <a:tailEnd/>
              </a:ln>
              <a:extLst>
                <a:ext uri="{909E8E84-426E-40DD-AFC4-6F175D3DCCD1}">
                  <a14:hiddenFill>
                    <a:noFill/>
                  </a14:hiddenFill>
                </a:ext>
              </a:extLst>
            </xdr:spPr>
          </xdr:sp>
          <xdr:sp macro="" textlink="">
            <xdr:nvSpPr>
              <xdr:cNvPr id="160776" name="Option Button 8" descr="Case d'option 47" hidden="1">
                <a:extLst>
                  <a:ext uri="{63B3BB69-23CF-44E3-9099-C40C66FF867C}">
                    <a14:compatExt spid="_x0000_s160776"/>
                  </a:ext>
                  <a:ext uri="{FF2B5EF4-FFF2-40B4-BE49-F238E27FC236}">
                    <a16:creationId xmlns:a16="http://schemas.microsoft.com/office/drawing/2014/main" id="{00000000-0008-0000-1D00-00000874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777" name="Option Button 9" hidden="1">
                <a:extLst>
                  <a:ext uri="{63B3BB69-23CF-44E3-9099-C40C66FF867C}">
                    <a14:compatExt spid="_x0000_s160777"/>
                  </a:ext>
                  <a:ext uri="{FF2B5EF4-FFF2-40B4-BE49-F238E27FC236}">
                    <a16:creationId xmlns:a16="http://schemas.microsoft.com/office/drawing/2014/main" id="{00000000-0008-0000-1D00-000009740200}"/>
                  </a:ext>
                </a:extLst>
              </xdr:cNvPr>
              <xdr:cNvSpPr/>
            </xdr:nvSpPr>
            <xdr:spPr bwMode="auto">
              <a:xfrm>
                <a:off x="3800580" y="3626729"/>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778" name="Option Button 10" hidden="1">
                <a:extLst>
                  <a:ext uri="{63B3BB69-23CF-44E3-9099-C40C66FF867C}">
                    <a14:compatExt spid="_x0000_s160778"/>
                  </a:ext>
                  <a:ext uri="{FF2B5EF4-FFF2-40B4-BE49-F238E27FC236}">
                    <a16:creationId xmlns:a16="http://schemas.microsoft.com/office/drawing/2014/main" id="{00000000-0008-0000-1D00-00000A740200}"/>
                  </a:ext>
                </a:extLst>
              </xdr:cNvPr>
              <xdr:cNvSpPr/>
            </xdr:nvSpPr>
            <xdr:spPr bwMode="auto">
              <a:xfrm>
                <a:off x="3800580" y="3888587"/>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779" name="Option Button 11" hidden="1">
                <a:extLst>
                  <a:ext uri="{63B3BB69-23CF-44E3-9099-C40C66FF867C}">
                    <a14:compatExt spid="_x0000_s160779"/>
                  </a:ext>
                  <a:ext uri="{FF2B5EF4-FFF2-40B4-BE49-F238E27FC236}">
                    <a16:creationId xmlns:a16="http://schemas.microsoft.com/office/drawing/2014/main" id="{00000000-0008-0000-1D00-00000B7402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16</xdr:row>
          <xdr:rowOff>0</xdr:rowOff>
        </xdr:from>
        <xdr:to>
          <xdr:col>8</xdr:col>
          <xdr:colOff>2200</xdr:colOff>
          <xdr:row>17</xdr:row>
          <xdr:rowOff>344</xdr:rowOff>
        </xdr:to>
        <xdr:grpSp>
          <xdr:nvGrpSpPr>
            <xdr:cNvPr id="12" name="Groupe 11">
              <a:extLst>
                <a:ext uri="{FF2B5EF4-FFF2-40B4-BE49-F238E27FC236}">
                  <a16:creationId xmlns:a16="http://schemas.microsoft.com/office/drawing/2014/main" id="{00000000-0008-0000-1E00-00000C000000}"/>
                </a:ext>
              </a:extLst>
            </xdr:cNvPr>
            <xdr:cNvGrpSpPr/>
          </xdr:nvGrpSpPr>
          <xdr:grpSpPr>
            <a:xfrm>
              <a:off x="3697726" y="11611970"/>
              <a:ext cx="1956922" cy="1649449"/>
              <a:chOff x="2994655" y="2234192"/>
              <a:chExt cx="1960973" cy="1614640"/>
            </a:xfrm>
          </xdr:grpSpPr>
          <xdr:sp macro="" textlink="">
            <xdr:nvSpPr>
              <xdr:cNvPr id="160785" name="Option Button 17" descr="Case d'option 47" hidden="1">
                <a:extLst>
                  <a:ext uri="{63B3BB69-23CF-44E3-9099-C40C66FF867C}">
                    <a14:compatExt spid="_x0000_s160785"/>
                  </a:ext>
                  <a:ext uri="{FF2B5EF4-FFF2-40B4-BE49-F238E27FC236}">
                    <a16:creationId xmlns:a16="http://schemas.microsoft.com/office/drawing/2014/main" id="{00000000-0008-0000-1D00-000011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786" name="Option Button 18" hidden="1">
                <a:extLst>
                  <a:ext uri="{63B3BB69-23CF-44E3-9099-C40C66FF867C}">
                    <a14:compatExt spid="_x0000_s160786"/>
                  </a:ext>
                  <a:ext uri="{FF2B5EF4-FFF2-40B4-BE49-F238E27FC236}">
                    <a16:creationId xmlns:a16="http://schemas.microsoft.com/office/drawing/2014/main" id="{00000000-0008-0000-1D00-000012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787" name="Option Button 19" hidden="1">
                <a:extLst>
                  <a:ext uri="{63B3BB69-23CF-44E3-9099-C40C66FF867C}">
                    <a14:compatExt spid="_x0000_s160787"/>
                  </a:ext>
                  <a:ext uri="{FF2B5EF4-FFF2-40B4-BE49-F238E27FC236}">
                    <a16:creationId xmlns:a16="http://schemas.microsoft.com/office/drawing/2014/main" id="{00000000-0008-0000-1D00-000013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788" name="Option Button 20" hidden="1">
                <a:extLst>
                  <a:ext uri="{63B3BB69-23CF-44E3-9099-C40C66FF867C}">
                    <a14:compatExt spid="_x0000_s160788"/>
                  </a:ext>
                  <a:ext uri="{FF2B5EF4-FFF2-40B4-BE49-F238E27FC236}">
                    <a16:creationId xmlns:a16="http://schemas.microsoft.com/office/drawing/2014/main" id="{00000000-0008-0000-1D00-000014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789" name="Group Box 21" hidden="1">
                <a:extLst>
                  <a:ext uri="{63B3BB69-23CF-44E3-9099-C40C66FF867C}">
                    <a14:compatExt spid="_x0000_s160789"/>
                  </a:ext>
                  <a:ext uri="{FF2B5EF4-FFF2-40B4-BE49-F238E27FC236}">
                    <a16:creationId xmlns:a16="http://schemas.microsoft.com/office/drawing/2014/main" id="{00000000-0008-0000-1D00-000015740200}"/>
                  </a:ext>
                </a:extLst>
              </xdr:cNvPr>
              <xdr:cNvSpPr/>
            </xdr:nvSpPr>
            <xdr:spPr bwMode="auto">
              <a:xfrm>
                <a:off x="2994655" y="2234192"/>
                <a:ext cx="1960970" cy="161464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1E00-00000D000000}"/>
                </a:ext>
              </a:extLst>
            </xdr:cNvPr>
            <xdr:cNvGrpSpPr/>
          </xdr:nvGrpSpPr>
          <xdr:grpSpPr>
            <a:xfrm>
              <a:off x="3696269" y="9962870"/>
              <a:ext cx="1956179" cy="1649101"/>
              <a:chOff x="2995472" y="3846787"/>
              <a:chExt cx="1960181" cy="1673559"/>
            </a:xfrm>
          </xdr:grpSpPr>
          <xdr:sp macro="" textlink="">
            <xdr:nvSpPr>
              <xdr:cNvPr id="160790" name="Option Button 22" hidden="1">
                <a:extLst>
                  <a:ext uri="{63B3BB69-23CF-44E3-9099-C40C66FF867C}">
                    <a14:compatExt spid="_x0000_s160790"/>
                  </a:ext>
                  <a:ext uri="{FF2B5EF4-FFF2-40B4-BE49-F238E27FC236}">
                    <a16:creationId xmlns:a16="http://schemas.microsoft.com/office/drawing/2014/main" id="{00000000-0008-0000-1D00-0000167402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791" name="Option Button 23" hidden="1">
                <a:extLst>
                  <a:ext uri="{63B3BB69-23CF-44E3-9099-C40C66FF867C}">
                    <a14:compatExt spid="_x0000_s160791"/>
                  </a:ext>
                  <a:ext uri="{FF2B5EF4-FFF2-40B4-BE49-F238E27FC236}">
                    <a16:creationId xmlns:a16="http://schemas.microsoft.com/office/drawing/2014/main" id="{00000000-0008-0000-1D00-000017740200}"/>
                  </a:ext>
                </a:extLst>
              </xdr:cNvPr>
              <xdr:cNvSpPr/>
            </xdr:nvSpPr>
            <xdr:spPr bwMode="auto">
              <a:xfrm>
                <a:off x="3109748" y="4240489"/>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792" name="Option Button 24" hidden="1">
                <a:extLst>
                  <a:ext uri="{63B3BB69-23CF-44E3-9099-C40C66FF867C}">
                    <a14:compatExt spid="_x0000_s160792"/>
                  </a:ext>
                  <a:ext uri="{FF2B5EF4-FFF2-40B4-BE49-F238E27FC236}">
                    <a16:creationId xmlns:a16="http://schemas.microsoft.com/office/drawing/2014/main" id="{00000000-0008-0000-1D00-000018740200}"/>
                  </a:ext>
                </a:extLst>
              </xdr:cNvPr>
              <xdr:cNvSpPr/>
            </xdr:nvSpPr>
            <xdr:spPr bwMode="auto">
              <a:xfrm>
                <a:off x="3109748" y="450464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793" name="Option Button 25" hidden="1">
                <a:extLst>
                  <a:ext uri="{63B3BB69-23CF-44E3-9099-C40C66FF867C}">
                    <a14:compatExt spid="_x0000_s160793"/>
                  </a:ext>
                  <a:ext uri="{FF2B5EF4-FFF2-40B4-BE49-F238E27FC236}">
                    <a16:creationId xmlns:a16="http://schemas.microsoft.com/office/drawing/2014/main" id="{00000000-0008-0000-1D00-0000197402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794" name="Group Box 26" hidden="1">
                <a:extLst>
                  <a:ext uri="{63B3BB69-23CF-44E3-9099-C40C66FF867C}">
                    <a14:compatExt spid="_x0000_s160794"/>
                  </a:ext>
                  <a:ext uri="{FF2B5EF4-FFF2-40B4-BE49-F238E27FC236}">
                    <a16:creationId xmlns:a16="http://schemas.microsoft.com/office/drawing/2014/main" id="{00000000-0008-0000-1D00-00001A740200}"/>
                  </a:ext>
                </a:extLst>
              </xdr:cNvPr>
              <xdr:cNvSpPr/>
            </xdr:nvSpPr>
            <xdr:spPr bwMode="auto">
              <a:xfrm>
                <a:off x="2995472" y="3846787"/>
                <a:ext cx="1960181" cy="167355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1E00-00000E000000}"/>
                </a:ext>
              </a:extLst>
            </xdr:cNvPr>
            <xdr:cNvGrpSpPr/>
          </xdr:nvGrpSpPr>
          <xdr:grpSpPr>
            <a:xfrm>
              <a:off x="3696269" y="8313761"/>
              <a:ext cx="1956179" cy="1651163"/>
              <a:chOff x="2991504" y="2201912"/>
              <a:chExt cx="1964147" cy="1646925"/>
            </a:xfrm>
            <a:solidFill>
              <a:schemeClr val="accent1"/>
            </a:solidFill>
          </xdr:grpSpPr>
          <xdr:sp macro="" textlink="">
            <xdr:nvSpPr>
              <xdr:cNvPr id="160795" name="Option Button 27" descr="Case d'option 47" hidden="1">
                <a:extLst>
                  <a:ext uri="{63B3BB69-23CF-44E3-9099-C40C66FF867C}">
                    <a14:compatExt spid="_x0000_s160795"/>
                  </a:ext>
                  <a:ext uri="{FF2B5EF4-FFF2-40B4-BE49-F238E27FC236}">
                    <a16:creationId xmlns:a16="http://schemas.microsoft.com/office/drawing/2014/main" id="{00000000-0008-0000-1D00-00001B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796" name="Option Button 28" hidden="1">
                <a:extLst>
                  <a:ext uri="{63B3BB69-23CF-44E3-9099-C40C66FF867C}">
                    <a14:compatExt spid="_x0000_s160796"/>
                  </a:ext>
                  <a:ext uri="{FF2B5EF4-FFF2-40B4-BE49-F238E27FC236}">
                    <a16:creationId xmlns:a16="http://schemas.microsoft.com/office/drawing/2014/main" id="{00000000-0008-0000-1D00-00001C740200}"/>
                  </a:ext>
                </a:extLst>
              </xdr:cNvPr>
              <xdr:cNvSpPr/>
            </xdr:nvSpPr>
            <xdr:spPr bwMode="auto">
              <a:xfrm>
                <a:off x="3102128" y="252449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797" name="Option Button 29" hidden="1">
                <a:extLst>
                  <a:ext uri="{63B3BB69-23CF-44E3-9099-C40C66FF867C}">
                    <a14:compatExt spid="_x0000_s160797"/>
                  </a:ext>
                  <a:ext uri="{FF2B5EF4-FFF2-40B4-BE49-F238E27FC236}">
                    <a16:creationId xmlns:a16="http://schemas.microsoft.com/office/drawing/2014/main" id="{00000000-0008-0000-1D00-00001D740200}"/>
                  </a:ext>
                </a:extLst>
              </xdr:cNvPr>
              <xdr:cNvSpPr/>
            </xdr:nvSpPr>
            <xdr:spPr bwMode="auto">
              <a:xfrm>
                <a:off x="3102128" y="278611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798" name="Option Button 30" hidden="1">
                <a:extLst>
                  <a:ext uri="{63B3BB69-23CF-44E3-9099-C40C66FF867C}">
                    <a14:compatExt spid="_x0000_s160798"/>
                  </a:ext>
                  <a:ext uri="{FF2B5EF4-FFF2-40B4-BE49-F238E27FC236}">
                    <a16:creationId xmlns:a16="http://schemas.microsoft.com/office/drawing/2014/main" id="{00000000-0008-0000-1D00-00001E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799" name="Group Box 31" hidden="1">
                <a:extLst>
                  <a:ext uri="{63B3BB69-23CF-44E3-9099-C40C66FF867C}">
                    <a14:compatExt spid="_x0000_s160799"/>
                  </a:ext>
                  <a:ext uri="{FF2B5EF4-FFF2-40B4-BE49-F238E27FC236}">
                    <a16:creationId xmlns:a16="http://schemas.microsoft.com/office/drawing/2014/main" id="{00000000-0008-0000-1D00-00001F740200}"/>
                  </a:ext>
                </a:extLst>
              </xdr:cNvPr>
              <xdr:cNvSpPr/>
            </xdr:nvSpPr>
            <xdr:spPr bwMode="auto">
              <a:xfrm>
                <a:off x="2991504" y="2201912"/>
                <a:ext cx="196414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1E00-00000F000000}"/>
                </a:ext>
              </a:extLst>
            </xdr:cNvPr>
            <xdr:cNvGrpSpPr/>
          </xdr:nvGrpSpPr>
          <xdr:grpSpPr>
            <a:xfrm>
              <a:off x="3696269" y="6664657"/>
              <a:ext cx="1956179" cy="1649104"/>
              <a:chOff x="2994687" y="2201920"/>
              <a:chExt cx="1960968" cy="1646929"/>
            </a:xfrm>
          </xdr:grpSpPr>
          <xdr:sp macro="" textlink="">
            <xdr:nvSpPr>
              <xdr:cNvPr id="160800" name="Option Button 32" descr="Case d'option 47" hidden="1">
                <a:extLst>
                  <a:ext uri="{63B3BB69-23CF-44E3-9099-C40C66FF867C}">
                    <a14:compatExt spid="_x0000_s160800"/>
                  </a:ext>
                  <a:ext uri="{FF2B5EF4-FFF2-40B4-BE49-F238E27FC236}">
                    <a16:creationId xmlns:a16="http://schemas.microsoft.com/office/drawing/2014/main" id="{00000000-0008-0000-1D00-000020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01" name="Option Button 33" hidden="1">
                <a:extLst>
                  <a:ext uri="{63B3BB69-23CF-44E3-9099-C40C66FF867C}">
                    <a14:compatExt spid="_x0000_s160801"/>
                  </a:ext>
                  <a:ext uri="{FF2B5EF4-FFF2-40B4-BE49-F238E27FC236}">
                    <a16:creationId xmlns:a16="http://schemas.microsoft.com/office/drawing/2014/main" id="{00000000-0008-0000-1D00-000021740200}"/>
                  </a:ext>
                </a:extLst>
              </xdr:cNvPr>
              <xdr:cNvSpPr/>
            </xdr:nvSpPr>
            <xdr:spPr bwMode="auto">
              <a:xfrm>
                <a:off x="3102128" y="252449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02" name="Option Button 34" hidden="1">
                <a:extLst>
                  <a:ext uri="{63B3BB69-23CF-44E3-9099-C40C66FF867C}">
                    <a14:compatExt spid="_x0000_s160802"/>
                  </a:ext>
                  <a:ext uri="{FF2B5EF4-FFF2-40B4-BE49-F238E27FC236}">
                    <a16:creationId xmlns:a16="http://schemas.microsoft.com/office/drawing/2014/main" id="{00000000-0008-0000-1D00-000022740200}"/>
                  </a:ext>
                </a:extLst>
              </xdr:cNvPr>
              <xdr:cNvSpPr/>
            </xdr:nvSpPr>
            <xdr:spPr bwMode="auto">
              <a:xfrm>
                <a:off x="3102128" y="2786118"/>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03" name="Option Button 35" hidden="1">
                <a:extLst>
                  <a:ext uri="{63B3BB69-23CF-44E3-9099-C40C66FF867C}">
                    <a14:compatExt spid="_x0000_s160803"/>
                  </a:ext>
                  <a:ext uri="{FF2B5EF4-FFF2-40B4-BE49-F238E27FC236}">
                    <a16:creationId xmlns:a16="http://schemas.microsoft.com/office/drawing/2014/main" id="{00000000-0008-0000-1D00-000023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04" name="Group Box 36" hidden="1">
                <a:extLst>
                  <a:ext uri="{63B3BB69-23CF-44E3-9099-C40C66FF867C}">
                    <a14:compatExt spid="_x0000_s160804"/>
                  </a:ext>
                  <a:ext uri="{FF2B5EF4-FFF2-40B4-BE49-F238E27FC236}">
                    <a16:creationId xmlns:a16="http://schemas.microsoft.com/office/drawing/2014/main" id="{00000000-0008-0000-1D00-000024740200}"/>
                  </a:ext>
                </a:extLst>
              </xdr:cNvPr>
              <xdr:cNvSpPr/>
            </xdr:nvSpPr>
            <xdr:spPr bwMode="auto">
              <a:xfrm>
                <a:off x="2994687" y="2201920"/>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1E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1E00-000012000000}"/>
                </a:ext>
              </a:extLst>
            </xdr:cNvPr>
            <xdr:cNvGrpSpPr/>
          </xdr:nvGrpSpPr>
          <xdr:grpSpPr>
            <a:xfrm>
              <a:off x="3696269" y="20198687"/>
              <a:ext cx="1956179" cy="1649104"/>
              <a:chOff x="2995472" y="3846821"/>
              <a:chExt cx="1960181" cy="1644868"/>
            </a:xfrm>
          </xdr:grpSpPr>
          <xdr:sp macro="" textlink="">
            <xdr:nvSpPr>
              <xdr:cNvPr id="160805" name="Option Button 37" hidden="1">
                <a:extLst>
                  <a:ext uri="{63B3BB69-23CF-44E3-9099-C40C66FF867C}">
                    <a14:compatExt spid="_x0000_s160805"/>
                  </a:ext>
                  <a:ext uri="{FF2B5EF4-FFF2-40B4-BE49-F238E27FC236}">
                    <a16:creationId xmlns:a16="http://schemas.microsoft.com/office/drawing/2014/main" id="{00000000-0008-0000-1D00-000025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06" name="Option Button 38" hidden="1">
                <a:extLst>
                  <a:ext uri="{63B3BB69-23CF-44E3-9099-C40C66FF867C}">
                    <a14:compatExt spid="_x0000_s160806"/>
                  </a:ext>
                  <a:ext uri="{FF2B5EF4-FFF2-40B4-BE49-F238E27FC236}">
                    <a16:creationId xmlns:a16="http://schemas.microsoft.com/office/drawing/2014/main" id="{00000000-0008-0000-1D00-000026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07" name="Option Button 39" hidden="1">
                <a:extLst>
                  <a:ext uri="{63B3BB69-23CF-44E3-9099-C40C66FF867C}">
                    <a14:compatExt spid="_x0000_s160807"/>
                  </a:ext>
                  <a:ext uri="{FF2B5EF4-FFF2-40B4-BE49-F238E27FC236}">
                    <a16:creationId xmlns:a16="http://schemas.microsoft.com/office/drawing/2014/main" id="{00000000-0008-0000-1D00-000027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08" name="Option Button 40" hidden="1">
                <a:extLst>
                  <a:ext uri="{63B3BB69-23CF-44E3-9099-C40C66FF867C}">
                    <a14:compatExt spid="_x0000_s160808"/>
                  </a:ext>
                  <a:ext uri="{FF2B5EF4-FFF2-40B4-BE49-F238E27FC236}">
                    <a16:creationId xmlns:a16="http://schemas.microsoft.com/office/drawing/2014/main" id="{00000000-0008-0000-1D00-000028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09" name="Group Box 41" hidden="1">
                <a:extLst>
                  <a:ext uri="{63B3BB69-23CF-44E3-9099-C40C66FF867C}">
                    <a14:compatExt spid="_x0000_s160809"/>
                  </a:ext>
                  <a:ext uri="{FF2B5EF4-FFF2-40B4-BE49-F238E27FC236}">
                    <a16:creationId xmlns:a16="http://schemas.microsoft.com/office/drawing/2014/main" id="{00000000-0008-0000-1D00-000029740200}"/>
                  </a:ext>
                </a:extLst>
              </xdr:cNvPr>
              <xdr:cNvSpPr/>
            </xdr:nvSpPr>
            <xdr:spPr bwMode="auto">
              <a:xfrm>
                <a:off x="2995472" y="3846821"/>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1E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1E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1E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1E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1E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1E00-00001A000000}"/>
                </a:ext>
              </a:extLst>
            </xdr:cNvPr>
            <xdr:cNvGrpSpPr/>
          </xdr:nvGrpSpPr>
          <xdr:grpSpPr>
            <a:xfrm>
              <a:off x="3696269" y="25146003"/>
              <a:ext cx="1956179" cy="1649101"/>
              <a:chOff x="2995472" y="3846810"/>
              <a:chExt cx="1960181" cy="1644870"/>
            </a:xfrm>
          </xdr:grpSpPr>
          <xdr:sp macro="" textlink="">
            <xdr:nvSpPr>
              <xdr:cNvPr id="160821" name="Option Button 53" hidden="1">
                <a:extLst>
                  <a:ext uri="{63B3BB69-23CF-44E3-9099-C40C66FF867C}">
                    <a14:compatExt spid="_x0000_s160821"/>
                  </a:ext>
                  <a:ext uri="{FF2B5EF4-FFF2-40B4-BE49-F238E27FC236}">
                    <a16:creationId xmlns:a16="http://schemas.microsoft.com/office/drawing/2014/main" id="{00000000-0008-0000-1D00-000035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22" name="Option Button 54" hidden="1">
                <a:extLst>
                  <a:ext uri="{63B3BB69-23CF-44E3-9099-C40C66FF867C}">
                    <a14:compatExt spid="_x0000_s160822"/>
                  </a:ext>
                  <a:ext uri="{FF2B5EF4-FFF2-40B4-BE49-F238E27FC236}">
                    <a16:creationId xmlns:a16="http://schemas.microsoft.com/office/drawing/2014/main" id="{00000000-0008-0000-1D00-000036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23" name="Option Button 55" hidden="1">
                <a:extLst>
                  <a:ext uri="{63B3BB69-23CF-44E3-9099-C40C66FF867C}">
                    <a14:compatExt spid="_x0000_s160823"/>
                  </a:ext>
                  <a:ext uri="{FF2B5EF4-FFF2-40B4-BE49-F238E27FC236}">
                    <a16:creationId xmlns:a16="http://schemas.microsoft.com/office/drawing/2014/main" id="{00000000-0008-0000-1D00-000037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24" name="Option Button 56" hidden="1">
                <a:extLst>
                  <a:ext uri="{63B3BB69-23CF-44E3-9099-C40C66FF867C}">
                    <a14:compatExt spid="_x0000_s160824"/>
                  </a:ext>
                  <a:ext uri="{FF2B5EF4-FFF2-40B4-BE49-F238E27FC236}">
                    <a16:creationId xmlns:a16="http://schemas.microsoft.com/office/drawing/2014/main" id="{00000000-0008-0000-1D00-000038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25" name="Group Box 57" hidden="1">
                <a:extLst>
                  <a:ext uri="{63B3BB69-23CF-44E3-9099-C40C66FF867C}">
                    <a14:compatExt spid="_x0000_s160825"/>
                  </a:ext>
                  <a:ext uri="{FF2B5EF4-FFF2-40B4-BE49-F238E27FC236}">
                    <a16:creationId xmlns:a16="http://schemas.microsoft.com/office/drawing/2014/main" id="{00000000-0008-0000-1D00-000039740200}"/>
                  </a:ext>
                </a:extLst>
              </xdr:cNvPr>
              <xdr:cNvSpPr/>
            </xdr:nvSpPr>
            <xdr:spPr bwMode="auto">
              <a:xfrm>
                <a:off x="2995472" y="3846810"/>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559</xdr:colOff>
          <xdr:row>30</xdr:row>
          <xdr:rowOff>307</xdr:rowOff>
        </xdr:from>
        <xdr:to>
          <xdr:col>7</xdr:col>
          <xdr:colOff>1958959</xdr:colOff>
          <xdr:row>31</xdr:row>
          <xdr:rowOff>2058</xdr:rowOff>
        </xdr:to>
        <xdr:grpSp>
          <xdr:nvGrpSpPr>
            <xdr:cNvPr id="27" name="Groupe 26">
              <a:extLst>
                <a:ext uri="{FF2B5EF4-FFF2-40B4-BE49-F238E27FC236}">
                  <a16:creationId xmlns:a16="http://schemas.microsoft.com/office/drawing/2014/main" id="{00000000-0008-0000-1E00-00001B000000}"/>
                </a:ext>
              </a:extLst>
            </xdr:cNvPr>
            <xdr:cNvGrpSpPr/>
          </xdr:nvGrpSpPr>
          <xdr:grpSpPr>
            <a:xfrm>
              <a:off x="3696828" y="23497203"/>
              <a:ext cx="1958400" cy="1650855"/>
              <a:chOff x="2994658" y="2201950"/>
              <a:chExt cx="1960970" cy="1646922"/>
            </a:xfrm>
          </xdr:grpSpPr>
          <xdr:sp macro="" textlink="">
            <xdr:nvSpPr>
              <xdr:cNvPr id="160826" name="Option Button 58" descr="Case d'option 47" hidden="1">
                <a:extLst>
                  <a:ext uri="{63B3BB69-23CF-44E3-9099-C40C66FF867C}">
                    <a14:compatExt spid="_x0000_s160826"/>
                  </a:ext>
                  <a:ext uri="{FF2B5EF4-FFF2-40B4-BE49-F238E27FC236}">
                    <a16:creationId xmlns:a16="http://schemas.microsoft.com/office/drawing/2014/main" id="{00000000-0008-0000-1D00-00003A7402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27" name="Option Button 59" hidden="1">
                <a:extLst>
                  <a:ext uri="{63B3BB69-23CF-44E3-9099-C40C66FF867C}">
                    <a14:compatExt spid="_x0000_s160827"/>
                  </a:ext>
                  <a:ext uri="{FF2B5EF4-FFF2-40B4-BE49-F238E27FC236}">
                    <a16:creationId xmlns:a16="http://schemas.microsoft.com/office/drawing/2014/main" id="{00000000-0008-0000-1D00-00003B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28" name="Option Button 60" hidden="1">
                <a:extLst>
                  <a:ext uri="{63B3BB69-23CF-44E3-9099-C40C66FF867C}">
                    <a14:compatExt spid="_x0000_s160828"/>
                  </a:ext>
                  <a:ext uri="{FF2B5EF4-FFF2-40B4-BE49-F238E27FC236}">
                    <a16:creationId xmlns:a16="http://schemas.microsoft.com/office/drawing/2014/main" id="{00000000-0008-0000-1D00-00003C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29" name="Option Button 61" hidden="1">
                <a:extLst>
                  <a:ext uri="{63B3BB69-23CF-44E3-9099-C40C66FF867C}">
                    <a14:compatExt spid="_x0000_s160829"/>
                  </a:ext>
                  <a:ext uri="{FF2B5EF4-FFF2-40B4-BE49-F238E27FC236}">
                    <a16:creationId xmlns:a16="http://schemas.microsoft.com/office/drawing/2014/main" id="{00000000-0008-0000-1D00-00003D7402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30" name="Group Box 62" hidden="1">
                <a:extLst>
                  <a:ext uri="{63B3BB69-23CF-44E3-9099-C40C66FF867C}">
                    <a14:compatExt spid="_x0000_s160830"/>
                  </a:ext>
                  <a:ext uri="{FF2B5EF4-FFF2-40B4-BE49-F238E27FC236}">
                    <a16:creationId xmlns:a16="http://schemas.microsoft.com/office/drawing/2014/main" id="{00000000-0008-0000-1D00-00003E740200}"/>
                  </a:ext>
                </a:extLst>
              </xdr:cNvPr>
              <xdr:cNvSpPr/>
            </xdr:nvSpPr>
            <xdr:spPr bwMode="auto">
              <a:xfrm>
                <a:off x="2994658" y="2201950"/>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1E00-00001C000000}"/>
                </a:ext>
              </a:extLst>
            </xdr:cNvPr>
            <xdr:cNvGrpSpPr/>
          </xdr:nvGrpSpPr>
          <xdr:grpSpPr>
            <a:xfrm>
              <a:off x="3696269" y="21847791"/>
              <a:ext cx="1956179" cy="1649105"/>
              <a:chOff x="2994687" y="2201917"/>
              <a:chExt cx="1960968" cy="1646923"/>
            </a:xfrm>
          </xdr:grpSpPr>
          <xdr:sp macro="" textlink="">
            <xdr:nvSpPr>
              <xdr:cNvPr id="160831" name="Option Button 63" descr="Case d'option 47" hidden="1">
                <a:extLst>
                  <a:ext uri="{63B3BB69-23CF-44E3-9099-C40C66FF867C}">
                    <a14:compatExt spid="_x0000_s160831"/>
                  </a:ext>
                  <a:ext uri="{FF2B5EF4-FFF2-40B4-BE49-F238E27FC236}">
                    <a16:creationId xmlns:a16="http://schemas.microsoft.com/office/drawing/2014/main" id="{00000000-0008-0000-1D00-00003F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32" name="Option Button 64" hidden="1">
                <a:extLst>
                  <a:ext uri="{63B3BB69-23CF-44E3-9099-C40C66FF867C}">
                    <a14:compatExt spid="_x0000_s160832"/>
                  </a:ext>
                  <a:ext uri="{FF2B5EF4-FFF2-40B4-BE49-F238E27FC236}">
                    <a16:creationId xmlns:a16="http://schemas.microsoft.com/office/drawing/2014/main" id="{00000000-0008-0000-1D00-000040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33" name="Option Button 65" hidden="1">
                <a:extLst>
                  <a:ext uri="{63B3BB69-23CF-44E3-9099-C40C66FF867C}">
                    <a14:compatExt spid="_x0000_s160833"/>
                  </a:ext>
                  <a:ext uri="{FF2B5EF4-FFF2-40B4-BE49-F238E27FC236}">
                    <a16:creationId xmlns:a16="http://schemas.microsoft.com/office/drawing/2014/main" id="{00000000-0008-0000-1D00-000041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34" name="Option Button 66" hidden="1">
                <a:extLst>
                  <a:ext uri="{63B3BB69-23CF-44E3-9099-C40C66FF867C}">
                    <a14:compatExt spid="_x0000_s160834"/>
                  </a:ext>
                  <a:ext uri="{FF2B5EF4-FFF2-40B4-BE49-F238E27FC236}">
                    <a16:creationId xmlns:a16="http://schemas.microsoft.com/office/drawing/2014/main" id="{00000000-0008-0000-1D00-000042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35" name="Group Box 67" hidden="1">
                <a:extLst>
                  <a:ext uri="{63B3BB69-23CF-44E3-9099-C40C66FF867C}">
                    <a14:compatExt spid="_x0000_s160835"/>
                  </a:ext>
                  <a:ext uri="{FF2B5EF4-FFF2-40B4-BE49-F238E27FC236}">
                    <a16:creationId xmlns:a16="http://schemas.microsoft.com/office/drawing/2014/main" id="{00000000-0008-0000-1D00-000043740200}"/>
                  </a:ext>
                </a:extLst>
              </xdr:cNvPr>
              <xdr:cNvSpPr/>
            </xdr:nvSpPr>
            <xdr:spPr bwMode="auto">
              <a:xfrm>
                <a:off x="2994687" y="2201917"/>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1E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1E00-00001E000000}"/>
                </a:ext>
              </a:extLst>
            </xdr:cNvPr>
            <xdr:cNvGrpSpPr/>
          </xdr:nvGrpSpPr>
          <xdr:grpSpPr>
            <a:xfrm>
              <a:off x="3696269" y="29012866"/>
              <a:ext cx="1956179" cy="1651159"/>
              <a:chOff x="2994691" y="2201911"/>
              <a:chExt cx="1960968" cy="1646921"/>
            </a:xfrm>
          </xdr:grpSpPr>
          <xdr:sp macro="" textlink="">
            <xdr:nvSpPr>
              <xdr:cNvPr id="160836" name="Option Button 68" descr="Case d'option 47" hidden="1">
                <a:extLst>
                  <a:ext uri="{63B3BB69-23CF-44E3-9099-C40C66FF867C}">
                    <a14:compatExt spid="_x0000_s160836"/>
                  </a:ext>
                  <a:ext uri="{FF2B5EF4-FFF2-40B4-BE49-F238E27FC236}">
                    <a16:creationId xmlns:a16="http://schemas.microsoft.com/office/drawing/2014/main" id="{00000000-0008-0000-1D00-000044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37" name="Option Button 69" hidden="1">
                <a:extLst>
                  <a:ext uri="{63B3BB69-23CF-44E3-9099-C40C66FF867C}">
                    <a14:compatExt spid="_x0000_s160837"/>
                  </a:ext>
                  <a:ext uri="{FF2B5EF4-FFF2-40B4-BE49-F238E27FC236}">
                    <a16:creationId xmlns:a16="http://schemas.microsoft.com/office/drawing/2014/main" id="{00000000-0008-0000-1D00-000045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38" name="Option Button 70" hidden="1">
                <a:extLst>
                  <a:ext uri="{63B3BB69-23CF-44E3-9099-C40C66FF867C}">
                    <a14:compatExt spid="_x0000_s160838"/>
                  </a:ext>
                  <a:ext uri="{FF2B5EF4-FFF2-40B4-BE49-F238E27FC236}">
                    <a16:creationId xmlns:a16="http://schemas.microsoft.com/office/drawing/2014/main" id="{00000000-0008-0000-1D00-000046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39" name="Option Button 71" hidden="1">
                <a:extLst>
                  <a:ext uri="{63B3BB69-23CF-44E3-9099-C40C66FF867C}">
                    <a14:compatExt spid="_x0000_s160839"/>
                  </a:ext>
                  <a:ext uri="{FF2B5EF4-FFF2-40B4-BE49-F238E27FC236}">
                    <a16:creationId xmlns:a16="http://schemas.microsoft.com/office/drawing/2014/main" id="{00000000-0008-0000-1D00-000047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40" name="Group Box 72" hidden="1">
                <a:extLst>
                  <a:ext uri="{63B3BB69-23CF-44E3-9099-C40C66FF867C}">
                    <a14:compatExt spid="_x0000_s160840"/>
                  </a:ext>
                  <a:ext uri="{FF2B5EF4-FFF2-40B4-BE49-F238E27FC236}">
                    <a16:creationId xmlns:a16="http://schemas.microsoft.com/office/drawing/2014/main" id="{00000000-0008-0000-1D00-000048740200}"/>
                  </a:ext>
                </a:extLst>
              </xdr:cNvPr>
              <xdr:cNvSpPr/>
            </xdr:nvSpPr>
            <xdr:spPr bwMode="auto">
              <a:xfrm>
                <a:off x="2994691" y="2201911"/>
                <a:ext cx="1960968"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1E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1E00-000021000000}"/>
                </a:ext>
              </a:extLst>
            </xdr:cNvPr>
            <xdr:cNvGrpSpPr/>
          </xdr:nvGrpSpPr>
          <xdr:grpSpPr>
            <a:xfrm>
              <a:off x="3696269" y="30661970"/>
              <a:ext cx="1956179" cy="1910687"/>
              <a:chOff x="2995472" y="3846786"/>
              <a:chExt cx="1960181" cy="1644869"/>
            </a:xfrm>
          </xdr:grpSpPr>
          <xdr:sp macro="" textlink="">
            <xdr:nvSpPr>
              <xdr:cNvPr id="160841" name="Option Button 73" hidden="1">
                <a:extLst>
                  <a:ext uri="{63B3BB69-23CF-44E3-9099-C40C66FF867C}">
                    <a14:compatExt spid="_x0000_s160841"/>
                  </a:ext>
                  <a:ext uri="{FF2B5EF4-FFF2-40B4-BE49-F238E27FC236}">
                    <a16:creationId xmlns:a16="http://schemas.microsoft.com/office/drawing/2014/main" id="{00000000-0008-0000-1D00-000049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42" name="Option Button 74" hidden="1">
                <a:extLst>
                  <a:ext uri="{63B3BB69-23CF-44E3-9099-C40C66FF867C}">
                    <a14:compatExt spid="_x0000_s160842"/>
                  </a:ext>
                  <a:ext uri="{FF2B5EF4-FFF2-40B4-BE49-F238E27FC236}">
                    <a16:creationId xmlns:a16="http://schemas.microsoft.com/office/drawing/2014/main" id="{00000000-0008-0000-1D00-00004A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43" name="Option Button 75" hidden="1">
                <a:extLst>
                  <a:ext uri="{63B3BB69-23CF-44E3-9099-C40C66FF867C}">
                    <a14:compatExt spid="_x0000_s160843"/>
                  </a:ext>
                  <a:ext uri="{FF2B5EF4-FFF2-40B4-BE49-F238E27FC236}">
                    <a16:creationId xmlns:a16="http://schemas.microsoft.com/office/drawing/2014/main" id="{00000000-0008-0000-1D00-00004B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44" name="Option Button 76" hidden="1">
                <a:extLst>
                  <a:ext uri="{63B3BB69-23CF-44E3-9099-C40C66FF867C}">
                    <a14:compatExt spid="_x0000_s160844"/>
                  </a:ext>
                  <a:ext uri="{FF2B5EF4-FFF2-40B4-BE49-F238E27FC236}">
                    <a16:creationId xmlns:a16="http://schemas.microsoft.com/office/drawing/2014/main" id="{00000000-0008-0000-1D00-00004C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45" name="Group Box 77" hidden="1">
                <a:extLst>
                  <a:ext uri="{63B3BB69-23CF-44E3-9099-C40C66FF867C}">
                    <a14:compatExt spid="_x0000_s160845"/>
                  </a:ext>
                  <a:ext uri="{FF2B5EF4-FFF2-40B4-BE49-F238E27FC236}">
                    <a16:creationId xmlns:a16="http://schemas.microsoft.com/office/drawing/2014/main" id="{00000000-0008-0000-1D00-00004D740200}"/>
                  </a:ext>
                </a:extLst>
              </xdr:cNvPr>
              <xdr:cNvSpPr/>
            </xdr:nvSpPr>
            <xdr:spPr bwMode="auto">
              <a:xfrm>
                <a:off x="2995472" y="384678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1E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1E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1E00-000024000000}"/>
                </a:ext>
              </a:extLst>
            </xdr:cNvPr>
            <xdr:cNvGrpSpPr/>
          </xdr:nvGrpSpPr>
          <xdr:grpSpPr>
            <a:xfrm>
              <a:off x="3696506" y="34221761"/>
              <a:ext cx="1955942" cy="1522150"/>
              <a:chOff x="2994686" y="2201918"/>
              <a:chExt cx="1960968" cy="1646925"/>
            </a:xfrm>
          </xdr:grpSpPr>
          <xdr:sp macro="" textlink="">
            <xdr:nvSpPr>
              <xdr:cNvPr id="160846" name="Option Button 78" descr="Case d'option 47" hidden="1">
                <a:extLst>
                  <a:ext uri="{63B3BB69-23CF-44E3-9099-C40C66FF867C}">
                    <a14:compatExt spid="_x0000_s160846"/>
                  </a:ext>
                  <a:ext uri="{FF2B5EF4-FFF2-40B4-BE49-F238E27FC236}">
                    <a16:creationId xmlns:a16="http://schemas.microsoft.com/office/drawing/2014/main" id="{00000000-0008-0000-1D00-00004E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47" name="Option Button 79" hidden="1">
                <a:extLst>
                  <a:ext uri="{63B3BB69-23CF-44E3-9099-C40C66FF867C}">
                    <a14:compatExt spid="_x0000_s160847"/>
                  </a:ext>
                  <a:ext uri="{FF2B5EF4-FFF2-40B4-BE49-F238E27FC236}">
                    <a16:creationId xmlns:a16="http://schemas.microsoft.com/office/drawing/2014/main" id="{00000000-0008-0000-1D00-00004F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48" name="Option Button 80" hidden="1">
                <a:extLst>
                  <a:ext uri="{63B3BB69-23CF-44E3-9099-C40C66FF867C}">
                    <a14:compatExt spid="_x0000_s160848"/>
                  </a:ext>
                  <a:ext uri="{FF2B5EF4-FFF2-40B4-BE49-F238E27FC236}">
                    <a16:creationId xmlns:a16="http://schemas.microsoft.com/office/drawing/2014/main" id="{00000000-0008-0000-1D00-000050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49" name="Option Button 81" hidden="1">
                <a:extLst>
                  <a:ext uri="{63B3BB69-23CF-44E3-9099-C40C66FF867C}">
                    <a14:compatExt spid="_x0000_s160849"/>
                  </a:ext>
                  <a:ext uri="{FF2B5EF4-FFF2-40B4-BE49-F238E27FC236}">
                    <a16:creationId xmlns:a16="http://schemas.microsoft.com/office/drawing/2014/main" id="{00000000-0008-0000-1D00-000051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50" name="Group Box 82" hidden="1">
                <a:extLst>
                  <a:ext uri="{63B3BB69-23CF-44E3-9099-C40C66FF867C}">
                    <a14:compatExt spid="_x0000_s160850"/>
                  </a:ext>
                  <a:ext uri="{FF2B5EF4-FFF2-40B4-BE49-F238E27FC236}">
                    <a16:creationId xmlns:a16="http://schemas.microsoft.com/office/drawing/2014/main" id="{00000000-0008-0000-1D00-000052740200}"/>
                  </a:ext>
                </a:extLst>
              </xdr:cNvPr>
              <xdr:cNvSpPr/>
            </xdr:nvSpPr>
            <xdr:spPr bwMode="auto">
              <a:xfrm>
                <a:off x="2994686"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1E00-000025000000}"/>
                </a:ext>
              </a:extLst>
            </xdr:cNvPr>
            <xdr:cNvGrpSpPr/>
          </xdr:nvGrpSpPr>
          <xdr:grpSpPr>
            <a:xfrm>
              <a:off x="3696269" y="32572657"/>
              <a:ext cx="1956179" cy="1649104"/>
              <a:chOff x="2994687" y="2201897"/>
              <a:chExt cx="1960968" cy="1646922"/>
            </a:xfrm>
          </xdr:grpSpPr>
          <xdr:sp macro="" textlink="">
            <xdr:nvSpPr>
              <xdr:cNvPr id="160851" name="Option Button 83" descr="Case d'option 47" hidden="1">
                <a:extLst>
                  <a:ext uri="{63B3BB69-23CF-44E3-9099-C40C66FF867C}">
                    <a14:compatExt spid="_x0000_s160851"/>
                  </a:ext>
                  <a:ext uri="{FF2B5EF4-FFF2-40B4-BE49-F238E27FC236}">
                    <a16:creationId xmlns:a16="http://schemas.microsoft.com/office/drawing/2014/main" id="{00000000-0008-0000-1D00-000053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52" name="Option Button 84" hidden="1">
                <a:extLst>
                  <a:ext uri="{63B3BB69-23CF-44E3-9099-C40C66FF867C}">
                    <a14:compatExt spid="_x0000_s160852"/>
                  </a:ext>
                  <a:ext uri="{FF2B5EF4-FFF2-40B4-BE49-F238E27FC236}">
                    <a16:creationId xmlns:a16="http://schemas.microsoft.com/office/drawing/2014/main" id="{00000000-0008-0000-1D00-000054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53" name="Option Button 85" hidden="1">
                <a:extLst>
                  <a:ext uri="{63B3BB69-23CF-44E3-9099-C40C66FF867C}">
                    <a14:compatExt spid="_x0000_s160853"/>
                  </a:ext>
                  <a:ext uri="{FF2B5EF4-FFF2-40B4-BE49-F238E27FC236}">
                    <a16:creationId xmlns:a16="http://schemas.microsoft.com/office/drawing/2014/main" id="{00000000-0008-0000-1D00-000055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54" name="Option Button 86" hidden="1">
                <a:extLst>
                  <a:ext uri="{63B3BB69-23CF-44E3-9099-C40C66FF867C}">
                    <a14:compatExt spid="_x0000_s160854"/>
                  </a:ext>
                  <a:ext uri="{FF2B5EF4-FFF2-40B4-BE49-F238E27FC236}">
                    <a16:creationId xmlns:a16="http://schemas.microsoft.com/office/drawing/2014/main" id="{00000000-0008-0000-1D00-000056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55" name="Group Box 87" hidden="1">
                <a:extLst>
                  <a:ext uri="{63B3BB69-23CF-44E3-9099-C40C66FF867C}">
                    <a14:compatExt spid="_x0000_s160855"/>
                  </a:ext>
                  <a:ext uri="{FF2B5EF4-FFF2-40B4-BE49-F238E27FC236}">
                    <a16:creationId xmlns:a16="http://schemas.microsoft.com/office/drawing/2014/main" id="{00000000-0008-0000-1D00-000057740200}"/>
                  </a:ext>
                </a:extLst>
              </xdr:cNvPr>
              <xdr:cNvSpPr/>
            </xdr:nvSpPr>
            <xdr:spPr bwMode="auto">
              <a:xfrm>
                <a:off x="2994687" y="220189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1E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1E00-000028000000}"/>
                </a:ext>
              </a:extLst>
            </xdr:cNvPr>
            <xdr:cNvGrpSpPr/>
          </xdr:nvGrpSpPr>
          <xdr:grpSpPr>
            <a:xfrm>
              <a:off x="3696269" y="45526657"/>
              <a:ext cx="1956179" cy="1649104"/>
              <a:chOff x="2995472" y="3846775"/>
              <a:chExt cx="1960181" cy="1644867"/>
            </a:xfrm>
          </xdr:grpSpPr>
          <xdr:sp macro="" textlink="">
            <xdr:nvSpPr>
              <xdr:cNvPr id="160856" name="Option Button 88" hidden="1">
                <a:extLst>
                  <a:ext uri="{63B3BB69-23CF-44E3-9099-C40C66FF867C}">
                    <a14:compatExt spid="_x0000_s160856"/>
                  </a:ext>
                  <a:ext uri="{FF2B5EF4-FFF2-40B4-BE49-F238E27FC236}">
                    <a16:creationId xmlns:a16="http://schemas.microsoft.com/office/drawing/2014/main" id="{00000000-0008-0000-1D00-000058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57" name="Option Button 89" hidden="1">
                <a:extLst>
                  <a:ext uri="{63B3BB69-23CF-44E3-9099-C40C66FF867C}">
                    <a14:compatExt spid="_x0000_s160857"/>
                  </a:ext>
                  <a:ext uri="{FF2B5EF4-FFF2-40B4-BE49-F238E27FC236}">
                    <a16:creationId xmlns:a16="http://schemas.microsoft.com/office/drawing/2014/main" id="{00000000-0008-0000-1D00-000059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58" name="Option Button 90" hidden="1">
                <a:extLst>
                  <a:ext uri="{63B3BB69-23CF-44E3-9099-C40C66FF867C}">
                    <a14:compatExt spid="_x0000_s160858"/>
                  </a:ext>
                  <a:ext uri="{FF2B5EF4-FFF2-40B4-BE49-F238E27FC236}">
                    <a16:creationId xmlns:a16="http://schemas.microsoft.com/office/drawing/2014/main" id="{00000000-0008-0000-1D00-00005A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59" name="Option Button 91" hidden="1">
                <a:extLst>
                  <a:ext uri="{63B3BB69-23CF-44E3-9099-C40C66FF867C}">
                    <a14:compatExt spid="_x0000_s160859"/>
                  </a:ext>
                  <a:ext uri="{FF2B5EF4-FFF2-40B4-BE49-F238E27FC236}">
                    <a16:creationId xmlns:a16="http://schemas.microsoft.com/office/drawing/2014/main" id="{00000000-0008-0000-1D00-00005B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60" name="Group Box 92" hidden="1">
                <a:extLst>
                  <a:ext uri="{63B3BB69-23CF-44E3-9099-C40C66FF867C}">
                    <a14:compatExt spid="_x0000_s160860"/>
                  </a:ext>
                  <a:ext uri="{FF2B5EF4-FFF2-40B4-BE49-F238E27FC236}">
                    <a16:creationId xmlns:a16="http://schemas.microsoft.com/office/drawing/2014/main" id="{00000000-0008-0000-1D00-00005C740200}"/>
                  </a:ext>
                </a:extLst>
              </xdr:cNvPr>
              <xdr:cNvSpPr/>
            </xdr:nvSpPr>
            <xdr:spPr bwMode="auto">
              <a:xfrm>
                <a:off x="2995472" y="3846775"/>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1E00-000029000000}"/>
                </a:ext>
              </a:extLst>
            </xdr:cNvPr>
            <xdr:cNvGrpSpPr/>
          </xdr:nvGrpSpPr>
          <xdr:grpSpPr>
            <a:xfrm>
              <a:off x="3696269" y="43877552"/>
              <a:ext cx="1956179" cy="1651160"/>
              <a:chOff x="2994691" y="2201909"/>
              <a:chExt cx="1960968" cy="1646922"/>
            </a:xfrm>
          </xdr:grpSpPr>
          <xdr:sp macro="" textlink="">
            <xdr:nvSpPr>
              <xdr:cNvPr id="160861" name="Option Button 93" descr="Case d'option 47" hidden="1">
                <a:extLst>
                  <a:ext uri="{63B3BB69-23CF-44E3-9099-C40C66FF867C}">
                    <a14:compatExt spid="_x0000_s160861"/>
                  </a:ext>
                  <a:ext uri="{FF2B5EF4-FFF2-40B4-BE49-F238E27FC236}">
                    <a16:creationId xmlns:a16="http://schemas.microsoft.com/office/drawing/2014/main" id="{00000000-0008-0000-1D00-00005D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62" name="Option Button 94" hidden="1">
                <a:extLst>
                  <a:ext uri="{63B3BB69-23CF-44E3-9099-C40C66FF867C}">
                    <a14:compatExt spid="_x0000_s160862"/>
                  </a:ext>
                  <a:ext uri="{FF2B5EF4-FFF2-40B4-BE49-F238E27FC236}">
                    <a16:creationId xmlns:a16="http://schemas.microsoft.com/office/drawing/2014/main" id="{00000000-0008-0000-1D00-00005E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63" name="Option Button 95" hidden="1">
                <a:extLst>
                  <a:ext uri="{63B3BB69-23CF-44E3-9099-C40C66FF867C}">
                    <a14:compatExt spid="_x0000_s160863"/>
                  </a:ext>
                  <a:ext uri="{FF2B5EF4-FFF2-40B4-BE49-F238E27FC236}">
                    <a16:creationId xmlns:a16="http://schemas.microsoft.com/office/drawing/2014/main" id="{00000000-0008-0000-1D00-00005F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64" name="Option Button 96" hidden="1">
                <a:extLst>
                  <a:ext uri="{63B3BB69-23CF-44E3-9099-C40C66FF867C}">
                    <a14:compatExt spid="_x0000_s160864"/>
                  </a:ext>
                  <a:ext uri="{FF2B5EF4-FFF2-40B4-BE49-F238E27FC236}">
                    <a16:creationId xmlns:a16="http://schemas.microsoft.com/office/drawing/2014/main" id="{00000000-0008-0000-1D00-000060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65" name="Group Box 97" hidden="1">
                <a:extLst>
                  <a:ext uri="{63B3BB69-23CF-44E3-9099-C40C66FF867C}">
                    <a14:compatExt spid="_x0000_s160865"/>
                  </a:ext>
                  <a:ext uri="{FF2B5EF4-FFF2-40B4-BE49-F238E27FC236}">
                    <a16:creationId xmlns:a16="http://schemas.microsoft.com/office/drawing/2014/main" id="{00000000-0008-0000-1D00-000061740200}"/>
                  </a:ext>
                </a:extLst>
              </xdr:cNvPr>
              <xdr:cNvSpPr/>
            </xdr:nvSpPr>
            <xdr:spPr bwMode="auto">
              <a:xfrm>
                <a:off x="2994691" y="2201909"/>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1E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1E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1E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1E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1E00-00002E000000}"/>
                </a:ext>
              </a:extLst>
            </xdr:cNvPr>
            <xdr:cNvGrpSpPr/>
          </xdr:nvGrpSpPr>
          <xdr:grpSpPr>
            <a:xfrm>
              <a:off x="3696269" y="51270093"/>
              <a:ext cx="1956179" cy="1649101"/>
              <a:chOff x="2995472" y="3846808"/>
              <a:chExt cx="1960181" cy="1644870"/>
            </a:xfrm>
          </xdr:grpSpPr>
          <xdr:sp macro="" textlink="">
            <xdr:nvSpPr>
              <xdr:cNvPr id="160867" name="Option Button 99" hidden="1">
                <a:extLst>
                  <a:ext uri="{63B3BB69-23CF-44E3-9099-C40C66FF867C}">
                    <a14:compatExt spid="_x0000_s160867"/>
                  </a:ext>
                  <a:ext uri="{FF2B5EF4-FFF2-40B4-BE49-F238E27FC236}">
                    <a16:creationId xmlns:a16="http://schemas.microsoft.com/office/drawing/2014/main" id="{00000000-0008-0000-1D00-000063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68" name="Option Button 100" hidden="1">
                <a:extLst>
                  <a:ext uri="{63B3BB69-23CF-44E3-9099-C40C66FF867C}">
                    <a14:compatExt spid="_x0000_s160868"/>
                  </a:ext>
                  <a:ext uri="{FF2B5EF4-FFF2-40B4-BE49-F238E27FC236}">
                    <a16:creationId xmlns:a16="http://schemas.microsoft.com/office/drawing/2014/main" id="{00000000-0008-0000-1D00-000064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69" name="Option Button 101" hidden="1">
                <a:extLst>
                  <a:ext uri="{63B3BB69-23CF-44E3-9099-C40C66FF867C}">
                    <a14:compatExt spid="_x0000_s160869"/>
                  </a:ext>
                  <a:ext uri="{FF2B5EF4-FFF2-40B4-BE49-F238E27FC236}">
                    <a16:creationId xmlns:a16="http://schemas.microsoft.com/office/drawing/2014/main" id="{00000000-0008-0000-1D00-000065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70" name="Option Button 102" hidden="1">
                <a:extLst>
                  <a:ext uri="{63B3BB69-23CF-44E3-9099-C40C66FF867C}">
                    <a14:compatExt spid="_x0000_s160870"/>
                  </a:ext>
                  <a:ext uri="{FF2B5EF4-FFF2-40B4-BE49-F238E27FC236}">
                    <a16:creationId xmlns:a16="http://schemas.microsoft.com/office/drawing/2014/main" id="{00000000-0008-0000-1D00-000066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71" name="Group Box 103" hidden="1">
                <a:extLst>
                  <a:ext uri="{63B3BB69-23CF-44E3-9099-C40C66FF867C}">
                    <a14:compatExt spid="_x0000_s160871"/>
                  </a:ext>
                  <a:ext uri="{FF2B5EF4-FFF2-40B4-BE49-F238E27FC236}">
                    <a16:creationId xmlns:a16="http://schemas.microsoft.com/office/drawing/2014/main" id="{00000000-0008-0000-1D00-000067740200}"/>
                  </a:ext>
                </a:extLst>
              </xdr:cNvPr>
              <xdr:cNvSpPr/>
            </xdr:nvSpPr>
            <xdr:spPr bwMode="auto">
              <a:xfrm>
                <a:off x="2995472" y="3846808"/>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1E00-00002F000000}"/>
                </a:ext>
              </a:extLst>
            </xdr:cNvPr>
            <xdr:cNvGrpSpPr/>
          </xdr:nvGrpSpPr>
          <xdr:grpSpPr>
            <a:xfrm>
              <a:off x="3699437" y="49620985"/>
              <a:ext cx="1953011" cy="1651163"/>
              <a:chOff x="2994676" y="2201912"/>
              <a:chExt cx="1960968" cy="1646925"/>
            </a:xfrm>
          </xdr:grpSpPr>
          <xdr:sp macro="" textlink="">
            <xdr:nvSpPr>
              <xdr:cNvPr id="160872" name="Option Button 104" descr="Case d'option 47" hidden="1">
                <a:extLst>
                  <a:ext uri="{63B3BB69-23CF-44E3-9099-C40C66FF867C}">
                    <a14:compatExt spid="_x0000_s160872"/>
                  </a:ext>
                  <a:ext uri="{FF2B5EF4-FFF2-40B4-BE49-F238E27FC236}">
                    <a16:creationId xmlns:a16="http://schemas.microsoft.com/office/drawing/2014/main" id="{00000000-0008-0000-1D00-000068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73" name="Option Button 105" hidden="1">
                <a:extLst>
                  <a:ext uri="{63B3BB69-23CF-44E3-9099-C40C66FF867C}">
                    <a14:compatExt spid="_x0000_s160873"/>
                  </a:ext>
                  <a:ext uri="{FF2B5EF4-FFF2-40B4-BE49-F238E27FC236}">
                    <a16:creationId xmlns:a16="http://schemas.microsoft.com/office/drawing/2014/main" id="{00000000-0008-0000-1D00-000069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74" name="Option Button 106" hidden="1">
                <a:extLst>
                  <a:ext uri="{63B3BB69-23CF-44E3-9099-C40C66FF867C}">
                    <a14:compatExt spid="_x0000_s160874"/>
                  </a:ext>
                  <a:ext uri="{FF2B5EF4-FFF2-40B4-BE49-F238E27FC236}">
                    <a16:creationId xmlns:a16="http://schemas.microsoft.com/office/drawing/2014/main" id="{00000000-0008-0000-1D00-00006A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75" name="Option Button 107" hidden="1">
                <a:extLst>
                  <a:ext uri="{63B3BB69-23CF-44E3-9099-C40C66FF867C}">
                    <a14:compatExt spid="_x0000_s160875"/>
                  </a:ext>
                  <a:ext uri="{FF2B5EF4-FFF2-40B4-BE49-F238E27FC236}">
                    <a16:creationId xmlns:a16="http://schemas.microsoft.com/office/drawing/2014/main" id="{00000000-0008-0000-1D00-00006B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76" name="Group Box 108" hidden="1">
                <a:extLst>
                  <a:ext uri="{63B3BB69-23CF-44E3-9099-C40C66FF867C}">
                    <a14:compatExt spid="_x0000_s160876"/>
                  </a:ext>
                  <a:ext uri="{FF2B5EF4-FFF2-40B4-BE49-F238E27FC236}">
                    <a16:creationId xmlns:a16="http://schemas.microsoft.com/office/drawing/2014/main" id="{00000000-0008-0000-1D00-00006C740200}"/>
                  </a:ext>
                </a:extLst>
              </xdr:cNvPr>
              <xdr:cNvSpPr/>
            </xdr:nvSpPr>
            <xdr:spPr bwMode="auto">
              <a:xfrm>
                <a:off x="2994676"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1E00-000030000000}"/>
                </a:ext>
              </a:extLst>
            </xdr:cNvPr>
            <xdr:cNvGrpSpPr/>
          </xdr:nvGrpSpPr>
          <xdr:grpSpPr>
            <a:xfrm>
              <a:off x="3696269" y="47175761"/>
              <a:ext cx="1956179" cy="2445224"/>
              <a:chOff x="2994687" y="2201920"/>
              <a:chExt cx="1960968" cy="1646928"/>
            </a:xfrm>
          </xdr:grpSpPr>
          <xdr:sp macro="" textlink="">
            <xdr:nvSpPr>
              <xdr:cNvPr id="160877" name="Option Button 109" descr="Case d'option 47" hidden="1">
                <a:extLst>
                  <a:ext uri="{63B3BB69-23CF-44E3-9099-C40C66FF867C}">
                    <a14:compatExt spid="_x0000_s160877"/>
                  </a:ext>
                  <a:ext uri="{FF2B5EF4-FFF2-40B4-BE49-F238E27FC236}">
                    <a16:creationId xmlns:a16="http://schemas.microsoft.com/office/drawing/2014/main" id="{00000000-0008-0000-1D00-00006D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78" name="Option Button 110" hidden="1">
                <a:extLst>
                  <a:ext uri="{63B3BB69-23CF-44E3-9099-C40C66FF867C}">
                    <a14:compatExt spid="_x0000_s160878"/>
                  </a:ext>
                  <a:ext uri="{FF2B5EF4-FFF2-40B4-BE49-F238E27FC236}">
                    <a16:creationId xmlns:a16="http://schemas.microsoft.com/office/drawing/2014/main" id="{00000000-0008-0000-1D00-00006E740200}"/>
                  </a:ext>
                </a:extLst>
              </xdr:cNvPr>
              <xdr:cNvSpPr/>
            </xdr:nvSpPr>
            <xdr:spPr bwMode="auto">
              <a:xfrm>
                <a:off x="3102128" y="2452914"/>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79" name="Option Button 111" hidden="1">
                <a:extLst>
                  <a:ext uri="{63B3BB69-23CF-44E3-9099-C40C66FF867C}">
                    <a14:compatExt spid="_x0000_s160879"/>
                  </a:ext>
                  <a:ext uri="{FF2B5EF4-FFF2-40B4-BE49-F238E27FC236}">
                    <a16:creationId xmlns:a16="http://schemas.microsoft.com/office/drawing/2014/main" id="{00000000-0008-0000-1D00-00006F740200}"/>
                  </a:ext>
                </a:extLst>
              </xdr:cNvPr>
              <xdr:cNvSpPr/>
            </xdr:nvSpPr>
            <xdr:spPr bwMode="auto">
              <a:xfrm>
                <a:off x="3102128" y="2642951"/>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80" name="Option Button 112" hidden="1">
                <a:extLst>
                  <a:ext uri="{63B3BB69-23CF-44E3-9099-C40C66FF867C}">
                    <a14:compatExt spid="_x0000_s160880"/>
                  </a:ext>
                  <a:ext uri="{FF2B5EF4-FFF2-40B4-BE49-F238E27FC236}">
                    <a16:creationId xmlns:a16="http://schemas.microsoft.com/office/drawing/2014/main" id="{00000000-0008-0000-1D00-000070740200}"/>
                  </a:ext>
                </a:extLst>
              </xdr:cNvPr>
              <xdr:cNvSpPr/>
            </xdr:nvSpPr>
            <xdr:spPr bwMode="auto">
              <a:xfrm>
                <a:off x="3102128" y="2810128"/>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81" name="Group Box 113" hidden="1">
                <a:extLst>
                  <a:ext uri="{63B3BB69-23CF-44E3-9099-C40C66FF867C}">
                    <a14:compatExt spid="_x0000_s160881"/>
                  </a:ext>
                  <a:ext uri="{FF2B5EF4-FFF2-40B4-BE49-F238E27FC236}">
                    <a16:creationId xmlns:a16="http://schemas.microsoft.com/office/drawing/2014/main" id="{00000000-0008-0000-1D00-000071740200}"/>
                  </a:ext>
                </a:extLst>
              </xdr:cNvPr>
              <xdr:cNvSpPr/>
            </xdr:nvSpPr>
            <xdr:spPr bwMode="auto">
              <a:xfrm>
                <a:off x="2994687" y="2201920"/>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1E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1E00-000034000000}"/>
                </a:ext>
              </a:extLst>
            </xdr:cNvPr>
            <xdr:cNvGrpSpPr/>
          </xdr:nvGrpSpPr>
          <xdr:grpSpPr>
            <a:xfrm>
              <a:off x="3696269" y="57104507"/>
              <a:ext cx="1956179" cy="1649105"/>
              <a:chOff x="2995472" y="3846772"/>
              <a:chExt cx="1960181" cy="1644868"/>
            </a:xfrm>
          </xdr:grpSpPr>
          <xdr:sp macro="" textlink="">
            <xdr:nvSpPr>
              <xdr:cNvPr id="160887" name="Option Button 119" hidden="1">
                <a:extLst>
                  <a:ext uri="{63B3BB69-23CF-44E3-9099-C40C66FF867C}">
                    <a14:compatExt spid="_x0000_s160887"/>
                  </a:ext>
                  <a:ext uri="{FF2B5EF4-FFF2-40B4-BE49-F238E27FC236}">
                    <a16:creationId xmlns:a16="http://schemas.microsoft.com/office/drawing/2014/main" id="{00000000-0008-0000-1D00-000077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88" name="Option Button 120" hidden="1">
                <a:extLst>
                  <a:ext uri="{63B3BB69-23CF-44E3-9099-C40C66FF867C}">
                    <a14:compatExt spid="_x0000_s160888"/>
                  </a:ext>
                  <a:ext uri="{FF2B5EF4-FFF2-40B4-BE49-F238E27FC236}">
                    <a16:creationId xmlns:a16="http://schemas.microsoft.com/office/drawing/2014/main" id="{00000000-0008-0000-1D00-000078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89" name="Option Button 121" hidden="1">
                <a:extLst>
                  <a:ext uri="{63B3BB69-23CF-44E3-9099-C40C66FF867C}">
                    <a14:compatExt spid="_x0000_s160889"/>
                  </a:ext>
                  <a:ext uri="{FF2B5EF4-FFF2-40B4-BE49-F238E27FC236}">
                    <a16:creationId xmlns:a16="http://schemas.microsoft.com/office/drawing/2014/main" id="{00000000-0008-0000-1D00-000079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90" name="Option Button 122" hidden="1">
                <a:extLst>
                  <a:ext uri="{63B3BB69-23CF-44E3-9099-C40C66FF867C}">
                    <a14:compatExt spid="_x0000_s160890"/>
                  </a:ext>
                  <a:ext uri="{FF2B5EF4-FFF2-40B4-BE49-F238E27FC236}">
                    <a16:creationId xmlns:a16="http://schemas.microsoft.com/office/drawing/2014/main" id="{00000000-0008-0000-1D00-00007A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91" name="Group Box 123" hidden="1">
                <a:extLst>
                  <a:ext uri="{63B3BB69-23CF-44E3-9099-C40C66FF867C}">
                    <a14:compatExt spid="_x0000_s160891"/>
                  </a:ext>
                  <a:ext uri="{FF2B5EF4-FFF2-40B4-BE49-F238E27FC236}">
                    <a16:creationId xmlns:a16="http://schemas.microsoft.com/office/drawing/2014/main" id="{00000000-0008-0000-1D00-00007B740200}"/>
                  </a:ext>
                </a:extLst>
              </xdr:cNvPr>
              <xdr:cNvSpPr/>
            </xdr:nvSpPr>
            <xdr:spPr bwMode="auto">
              <a:xfrm>
                <a:off x="2995472" y="3846772"/>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1E00-000035000000}"/>
                </a:ext>
              </a:extLst>
            </xdr:cNvPr>
            <xdr:cNvGrpSpPr/>
          </xdr:nvGrpSpPr>
          <xdr:grpSpPr>
            <a:xfrm>
              <a:off x="3696269" y="55455403"/>
              <a:ext cx="1956179" cy="1651159"/>
              <a:chOff x="2994691" y="2201914"/>
              <a:chExt cx="1960968" cy="1646922"/>
            </a:xfrm>
          </xdr:grpSpPr>
          <xdr:sp macro="" textlink="">
            <xdr:nvSpPr>
              <xdr:cNvPr id="160892" name="Option Button 124" descr="Case d'option 47" hidden="1">
                <a:extLst>
                  <a:ext uri="{63B3BB69-23CF-44E3-9099-C40C66FF867C}">
                    <a14:compatExt spid="_x0000_s160892"/>
                  </a:ext>
                  <a:ext uri="{FF2B5EF4-FFF2-40B4-BE49-F238E27FC236}">
                    <a16:creationId xmlns:a16="http://schemas.microsoft.com/office/drawing/2014/main" id="{00000000-0008-0000-1D00-00007C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93" name="Option Button 125" hidden="1">
                <a:extLst>
                  <a:ext uri="{63B3BB69-23CF-44E3-9099-C40C66FF867C}">
                    <a14:compatExt spid="_x0000_s160893"/>
                  </a:ext>
                  <a:ext uri="{FF2B5EF4-FFF2-40B4-BE49-F238E27FC236}">
                    <a16:creationId xmlns:a16="http://schemas.microsoft.com/office/drawing/2014/main" id="{00000000-0008-0000-1D00-00007D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94" name="Option Button 126" hidden="1">
                <a:extLst>
                  <a:ext uri="{63B3BB69-23CF-44E3-9099-C40C66FF867C}">
                    <a14:compatExt spid="_x0000_s160894"/>
                  </a:ext>
                  <a:ext uri="{FF2B5EF4-FFF2-40B4-BE49-F238E27FC236}">
                    <a16:creationId xmlns:a16="http://schemas.microsoft.com/office/drawing/2014/main" id="{00000000-0008-0000-1D00-00007E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95" name="Option Button 127" hidden="1">
                <a:extLst>
                  <a:ext uri="{63B3BB69-23CF-44E3-9099-C40C66FF867C}">
                    <a14:compatExt spid="_x0000_s160895"/>
                  </a:ext>
                  <a:ext uri="{FF2B5EF4-FFF2-40B4-BE49-F238E27FC236}">
                    <a16:creationId xmlns:a16="http://schemas.microsoft.com/office/drawing/2014/main" id="{00000000-0008-0000-1D00-00007F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896" name="Group Box 128" hidden="1">
                <a:extLst>
                  <a:ext uri="{63B3BB69-23CF-44E3-9099-C40C66FF867C}">
                    <a14:compatExt spid="_x0000_s160896"/>
                  </a:ext>
                  <a:ext uri="{FF2B5EF4-FFF2-40B4-BE49-F238E27FC236}">
                    <a16:creationId xmlns:a16="http://schemas.microsoft.com/office/drawing/2014/main" id="{00000000-0008-0000-1D00-000080740200}"/>
                  </a:ext>
                </a:extLst>
              </xdr:cNvPr>
              <xdr:cNvSpPr/>
            </xdr:nvSpPr>
            <xdr:spPr bwMode="auto">
              <a:xfrm>
                <a:off x="2994691"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1E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1E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1E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1E00-000039000000}"/>
                </a:ext>
              </a:extLst>
            </xdr:cNvPr>
            <xdr:cNvGrpSpPr/>
          </xdr:nvGrpSpPr>
          <xdr:grpSpPr>
            <a:xfrm>
              <a:off x="3696269" y="62051824"/>
              <a:ext cx="1956179" cy="1649104"/>
              <a:chOff x="2995472" y="3846772"/>
              <a:chExt cx="1960181" cy="1644867"/>
            </a:xfrm>
          </xdr:grpSpPr>
          <xdr:sp macro="" textlink="">
            <xdr:nvSpPr>
              <xdr:cNvPr id="160897" name="Option Button 129" hidden="1">
                <a:extLst>
                  <a:ext uri="{63B3BB69-23CF-44E3-9099-C40C66FF867C}">
                    <a14:compatExt spid="_x0000_s160897"/>
                  </a:ext>
                  <a:ext uri="{FF2B5EF4-FFF2-40B4-BE49-F238E27FC236}">
                    <a16:creationId xmlns:a16="http://schemas.microsoft.com/office/drawing/2014/main" id="{00000000-0008-0000-1D00-000081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98" name="Option Button 130" hidden="1">
                <a:extLst>
                  <a:ext uri="{63B3BB69-23CF-44E3-9099-C40C66FF867C}">
                    <a14:compatExt spid="_x0000_s160898"/>
                  </a:ext>
                  <a:ext uri="{FF2B5EF4-FFF2-40B4-BE49-F238E27FC236}">
                    <a16:creationId xmlns:a16="http://schemas.microsoft.com/office/drawing/2014/main" id="{00000000-0008-0000-1D00-000082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899" name="Option Button 131" hidden="1">
                <a:extLst>
                  <a:ext uri="{63B3BB69-23CF-44E3-9099-C40C66FF867C}">
                    <a14:compatExt spid="_x0000_s160899"/>
                  </a:ext>
                  <a:ext uri="{FF2B5EF4-FFF2-40B4-BE49-F238E27FC236}">
                    <a16:creationId xmlns:a16="http://schemas.microsoft.com/office/drawing/2014/main" id="{00000000-0008-0000-1D00-000083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00" name="Option Button 132" hidden="1">
                <a:extLst>
                  <a:ext uri="{63B3BB69-23CF-44E3-9099-C40C66FF867C}">
                    <a14:compatExt spid="_x0000_s160900"/>
                  </a:ext>
                  <a:ext uri="{FF2B5EF4-FFF2-40B4-BE49-F238E27FC236}">
                    <a16:creationId xmlns:a16="http://schemas.microsoft.com/office/drawing/2014/main" id="{00000000-0008-0000-1D00-000084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01" name="Group Box 133" hidden="1">
                <a:extLst>
                  <a:ext uri="{63B3BB69-23CF-44E3-9099-C40C66FF867C}">
                    <a14:compatExt spid="_x0000_s160901"/>
                  </a:ext>
                  <a:ext uri="{FF2B5EF4-FFF2-40B4-BE49-F238E27FC236}">
                    <a16:creationId xmlns:a16="http://schemas.microsoft.com/office/drawing/2014/main" id="{00000000-0008-0000-1D00-000085740200}"/>
                  </a:ext>
                </a:extLst>
              </xdr:cNvPr>
              <xdr:cNvSpPr/>
            </xdr:nvSpPr>
            <xdr:spPr bwMode="auto">
              <a:xfrm>
                <a:off x="2995472" y="3846772"/>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1E00-00003A000000}"/>
                </a:ext>
              </a:extLst>
            </xdr:cNvPr>
            <xdr:cNvGrpSpPr/>
          </xdr:nvGrpSpPr>
          <xdr:grpSpPr>
            <a:xfrm>
              <a:off x="3699437" y="60402716"/>
              <a:ext cx="1953011" cy="1651163"/>
              <a:chOff x="2994676" y="2201912"/>
              <a:chExt cx="1960968" cy="1646925"/>
            </a:xfrm>
          </xdr:grpSpPr>
          <xdr:sp macro="" textlink="">
            <xdr:nvSpPr>
              <xdr:cNvPr id="160902" name="Option Button 134" descr="Case d'option 47" hidden="1">
                <a:extLst>
                  <a:ext uri="{63B3BB69-23CF-44E3-9099-C40C66FF867C}">
                    <a14:compatExt spid="_x0000_s160902"/>
                  </a:ext>
                  <a:ext uri="{FF2B5EF4-FFF2-40B4-BE49-F238E27FC236}">
                    <a16:creationId xmlns:a16="http://schemas.microsoft.com/office/drawing/2014/main" id="{00000000-0008-0000-1D00-000086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903" name="Option Button 135" hidden="1">
                <a:extLst>
                  <a:ext uri="{63B3BB69-23CF-44E3-9099-C40C66FF867C}">
                    <a14:compatExt spid="_x0000_s160903"/>
                  </a:ext>
                  <a:ext uri="{FF2B5EF4-FFF2-40B4-BE49-F238E27FC236}">
                    <a16:creationId xmlns:a16="http://schemas.microsoft.com/office/drawing/2014/main" id="{00000000-0008-0000-1D00-000087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04" name="Option Button 136" hidden="1">
                <a:extLst>
                  <a:ext uri="{63B3BB69-23CF-44E3-9099-C40C66FF867C}">
                    <a14:compatExt spid="_x0000_s160904"/>
                  </a:ext>
                  <a:ext uri="{FF2B5EF4-FFF2-40B4-BE49-F238E27FC236}">
                    <a16:creationId xmlns:a16="http://schemas.microsoft.com/office/drawing/2014/main" id="{00000000-0008-0000-1D00-000088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05" name="Option Button 137" hidden="1">
                <a:extLst>
                  <a:ext uri="{63B3BB69-23CF-44E3-9099-C40C66FF867C}">
                    <a14:compatExt spid="_x0000_s160905"/>
                  </a:ext>
                  <a:ext uri="{FF2B5EF4-FFF2-40B4-BE49-F238E27FC236}">
                    <a16:creationId xmlns:a16="http://schemas.microsoft.com/office/drawing/2014/main" id="{00000000-0008-0000-1D00-000089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06" name="Group Box 138" hidden="1">
                <a:extLst>
                  <a:ext uri="{63B3BB69-23CF-44E3-9099-C40C66FF867C}">
                    <a14:compatExt spid="_x0000_s160906"/>
                  </a:ext>
                  <a:ext uri="{FF2B5EF4-FFF2-40B4-BE49-F238E27FC236}">
                    <a16:creationId xmlns:a16="http://schemas.microsoft.com/office/drawing/2014/main" id="{00000000-0008-0000-1D00-00008A740200}"/>
                  </a:ext>
                </a:extLst>
              </xdr:cNvPr>
              <xdr:cNvSpPr/>
            </xdr:nvSpPr>
            <xdr:spPr bwMode="auto">
              <a:xfrm>
                <a:off x="2994676"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1E00-00003B000000}"/>
                </a:ext>
              </a:extLst>
            </xdr:cNvPr>
            <xdr:cNvGrpSpPr/>
          </xdr:nvGrpSpPr>
          <xdr:grpSpPr>
            <a:xfrm>
              <a:off x="3696269" y="58753612"/>
              <a:ext cx="1956179" cy="1649104"/>
              <a:chOff x="2994687" y="2201919"/>
              <a:chExt cx="1960968" cy="1646929"/>
            </a:xfrm>
          </xdr:grpSpPr>
          <xdr:sp macro="" textlink="">
            <xdr:nvSpPr>
              <xdr:cNvPr id="160907" name="Option Button 139" descr="Case d'option 47" hidden="1">
                <a:extLst>
                  <a:ext uri="{63B3BB69-23CF-44E3-9099-C40C66FF867C}">
                    <a14:compatExt spid="_x0000_s160907"/>
                  </a:ext>
                  <a:ext uri="{FF2B5EF4-FFF2-40B4-BE49-F238E27FC236}">
                    <a16:creationId xmlns:a16="http://schemas.microsoft.com/office/drawing/2014/main" id="{00000000-0008-0000-1D00-00008B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908" name="Option Button 140" hidden="1">
                <a:extLst>
                  <a:ext uri="{63B3BB69-23CF-44E3-9099-C40C66FF867C}">
                    <a14:compatExt spid="_x0000_s160908"/>
                  </a:ext>
                  <a:ext uri="{FF2B5EF4-FFF2-40B4-BE49-F238E27FC236}">
                    <a16:creationId xmlns:a16="http://schemas.microsoft.com/office/drawing/2014/main" id="{00000000-0008-0000-1D00-00008C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09" name="Option Button 141" hidden="1">
                <a:extLst>
                  <a:ext uri="{63B3BB69-23CF-44E3-9099-C40C66FF867C}">
                    <a14:compatExt spid="_x0000_s160909"/>
                  </a:ext>
                  <a:ext uri="{FF2B5EF4-FFF2-40B4-BE49-F238E27FC236}">
                    <a16:creationId xmlns:a16="http://schemas.microsoft.com/office/drawing/2014/main" id="{00000000-0008-0000-1D00-00008D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10" name="Option Button 142" hidden="1">
                <a:extLst>
                  <a:ext uri="{63B3BB69-23CF-44E3-9099-C40C66FF867C}">
                    <a14:compatExt spid="_x0000_s160910"/>
                  </a:ext>
                  <a:ext uri="{FF2B5EF4-FFF2-40B4-BE49-F238E27FC236}">
                    <a16:creationId xmlns:a16="http://schemas.microsoft.com/office/drawing/2014/main" id="{00000000-0008-0000-1D00-00008E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11" name="Group Box 143" hidden="1">
                <a:extLst>
                  <a:ext uri="{63B3BB69-23CF-44E3-9099-C40C66FF867C}">
                    <a14:compatExt spid="_x0000_s160911"/>
                  </a:ext>
                  <a:ext uri="{FF2B5EF4-FFF2-40B4-BE49-F238E27FC236}">
                    <a16:creationId xmlns:a16="http://schemas.microsoft.com/office/drawing/2014/main" id="{00000000-0008-0000-1D00-00008F740200}"/>
                  </a:ext>
                </a:extLst>
              </xdr:cNvPr>
              <xdr:cNvSpPr/>
            </xdr:nvSpPr>
            <xdr:spPr bwMode="auto">
              <a:xfrm>
                <a:off x="2994687" y="2201919"/>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1E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1E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1E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1E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60913" name="Ellipse 160912">
          <a:extLst>
            <a:ext uri="{FF2B5EF4-FFF2-40B4-BE49-F238E27FC236}">
              <a16:creationId xmlns:a16="http://schemas.microsoft.com/office/drawing/2014/main" id="{00000000-0008-0000-1E00-00009174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60914" name="Groupe 160913">
              <a:extLst>
                <a:ext uri="{FF2B5EF4-FFF2-40B4-BE49-F238E27FC236}">
                  <a16:creationId xmlns:a16="http://schemas.microsoft.com/office/drawing/2014/main" id="{00000000-0008-0000-1E00-000092740200}"/>
                </a:ext>
              </a:extLst>
            </xdr:cNvPr>
            <xdr:cNvGrpSpPr/>
          </xdr:nvGrpSpPr>
          <xdr:grpSpPr>
            <a:xfrm>
              <a:off x="3696269" y="18549582"/>
              <a:ext cx="1956179" cy="1649105"/>
              <a:chOff x="2995472" y="3846812"/>
              <a:chExt cx="1960181" cy="1644869"/>
            </a:xfrm>
          </xdr:grpSpPr>
          <xdr:sp macro="" textlink="">
            <xdr:nvSpPr>
              <xdr:cNvPr id="11" name="Option Button 145" hidden="1">
                <a:extLst>
                  <a:ext uri="{63B3BB69-23CF-44E3-9099-C40C66FF867C}">
                    <a14:compatExt spid="_x0000_s160913"/>
                  </a:ext>
                  <a:ext uri="{FF2B5EF4-FFF2-40B4-BE49-F238E27FC236}">
                    <a16:creationId xmlns:a16="http://schemas.microsoft.com/office/drawing/2014/main" id="{00000000-0008-0000-1D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 name="Option Button 146" hidden="1">
                <a:extLst>
                  <a:ext uri="{63B3BB69-23CF-44E3-9099-C40C66FF867C}">
                    <a14:compatExt spid="_x0000_s160914"/>
                  </a:ext>
                  <a:ext uri="{FF2B5EF4-FFF2-40B4-BE49-F238E27FC236}">
                    <a16:creationId xmlns:a16="http://schemas.microsoft.com/office/drawing/2014/main" id="{00000000-0008-0000-1D00-0000180000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15" name="Option Button 147" hidden="1">
                <a:extLst>
                  <a:ext uri="{63B3BB69-23CF-44E3-9099-C40C66FF867C}">
                    <a14:compatExt spid="_x0000_s160915"/>
                  </a:ext>
                  <a:ext uri="{FF2B5EF4-FFF2-40B4-BE49-F238E27FC236}">
                    <a16:creationId xmlns:a16="http://schemas.microsoft.com/office/drawing/2014/main" id="{00000000-0008-0000-1D00-000093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16" name="Option Button 148" hidden="1">
                <a:extLst>
                  <a:ext uri="{63B3BB69-23CF-44E3-9099-C40C66FF867C}">
                    <a14:compatExt spid="_x0000_s160916"/>
                  </a:ext>
                  <a:ext uri="{FF2B5EF4-FFF2-40B4-BE49-F238E27FC236}">
                    <a16:creationId xmlns:a16="http://schemas.microsoft.com/office/drawing/2014/main" id="{00000000-0008-0000-1D00-000094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17" name="Group Box 149" hidden="1">
                <a:extLst>
                  <a:ext uri="{63B3BB69-23CF-44E3-9099-C40C66FF867C}">
                    <a14:compatExt spid="_x0000_s160917"/>
                  </a:ext>
                  <a:ext uri="{FF2B5EF4-FFF2-40B4-BE49-F238E27FC236}">
                    <a16:creationId xmlns:a16="http://schemas.microsoft.com/office/drawing/2014/main" id="{00000000-0008-0000-1D00-000095740200}"/>
                  </a:ext>
                </a:extLst>
              </xdr:cNvPr>
              <xdr:cNvSpPr/>
            </xdr:nvSpPr>
            <xdr:spPr bwMode="auto">
              <a:xfrm>
                <a:off x="2995472" y="3846812"/>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60920" name="ZoneTexte 1">
          <a:extLst>
            <a:ext uri="{FF2B5EF4-FFF2-40B4-BE49-F238E27FC236}">
              <a16:creationId xmlns:a16="http://schemas.microsoft.com/office/drawing/2014/main" id="{00000000-0008-0000-1E00-00009874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60921" name="ZoneTexte 1">
          <a:extLst>
            <a:ext uri="{FF2B5EF4-FFF2-40B4-BE49-F238E27FC236}">
              <a16:creationId xmlns:a16="http://schemas.microsoft.com/office/drawing/2014/main" id="{00000000-0008-0000-1E00-00009974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60928" name="ZoneTexte 1">
          <a:extLst>
            <a:ext uri="{FF2B5EF4-FFF2-40B4-BE49-F238E27FC236}">
              <a16:creationId xmlns:a16="http://schemas.microsoft.com/office/drawing/2014/main" id="{00000000-0008-0000-1E00-0000A074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160929" name="Groupe 160928">
              <a:extLst>
                <a:ext uri="{FF2B5EF4-FFF2-40B4-BE49-F238E27FC236}">
                  <a16:creationId xmlns:a16="http://schemas.microsoft.com/office/drawing/2014/main" id="{00000000-0008-0000-1E00-0000A1740200}"/>
                </a:ext>
              </a:extLst>
            </xdr:cNvPr>
            <xdr:cNvGrpSpPr/>
          </xdr:nvGrpSpPr>
          <xdr:grpSpPr>
            <a:xfrm>
              <a:off x="3696269" y="35745761"/>
              <a:ext cx="1956179" cy="2263254"/>
              <a:chOff x="2994687" y="2201913"/>
              <a:chExt cx="1960968" cy="1646922"/>
            </a:xfrm>
          </xdr:grpSpPr>
          <xdr:sp macro="" textlink="">
            <xdr:nvSpPr>
              <xdr:cNvPr id="160923" name="Option Button 155" descr="Case d'option 47" hidden="1">
                <a:extLst>
                  <a:ext uri="{63B3BB69-23CF-44E3-9099-C40C66FF867C}">
                    <a14:compatExt spid="_x0000_s160923"/>
                  </a:ext>
                  <a:ext uri="{FF2B5EF4-FFF2-40B4-BE49-F238E27FC236}">
                    <a16:creationId xmlns:a16="http://schemas.microsoft.com/office/drawing/2014/main" id="{00000000-0008-0000-1D00-00009B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924" name="Option Button 156" hidden="1">
                <a:extLst>
                  <a:ext uri="{63B3BB69-23CF-44E3-9099-C40C66FF867C}">
                    <a14:compatExt spid="_x0000_s160924"/>
                  </a:ext>
                  <a:ext uri="{FF2B5EF4-FFF2-40B4-BE49-F238E27FC236}">
                    <a16:creationId xmlns:a16="http://schemas.microsoft.com/office/drawing/2014/main" id="{00000000-0008-0000-1D00-00009C740200}"/>
                  </a:ext>
                </a:extLst>
              </xdr:cNvPr>
              <xdr:cNvSpPr/>
            </xdr:nvSpPr>
            <xdr:spPr bwMode="auto">
              <a:xfrm>
                <a:off x="3102128" y="2476884"/>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25" name="Option Button 157" hidden="1">
                <a:extLst>
                  <a:ext uri="{63B3BB69-23CF-44E3-9099-C40C66FF867C}">
                    <a14:compatExt spid="_x0000_s160925"/>
                  </a:ext>
                  <a:ext uri="{FF2B5EF4-FFF2-40B4-BE49-F238E27FC236}">
                    <a16:creationId xmlns:a16="http://schemas.microsoft.com/office/drawing/2014/main" id="{00000000-0008-0000-1D00-00009D740200}"/>
                  </a:ext>
                </a:extLst>
              </xdr:cNvPr>
              <xdr:cNvSpPr/>
            </xdr:nvSpPr>
            <xdr:spPr bwMode="auto">
              <a:xfrm>
                <a:off x="3102128" y="2690892"/>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26" name="Option Button 158" hidden="1">
                <a:extLst>
                  <a:ext uri="{63B3BB69-23CF-44E3-9099-C40C66FF867C}">
                    <a14:compatExt spid="_x0000_s160926"/>
                  </a:ext>
                  <a:ext uri="{FF2B5EF4-FFF2-40B4-BE49-F238E27FC236}">
                    <a16:creationId xmlns:a16="http://schemas.microsoft.com/office/drawing/2014/main" id="{00000000-0008-0000-1D00-00009E740200}"/>
                  </a:ext>
                </a:extLst>
              </xdr:cNvPr>
              <xdr:cNvSpPr/>
            </xdr:nvSpPr>
            <xdr:spPr bwMode="auto">
              <a:xfrm>
                <a:off x="3102128" y="2882038"/>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27" name="Group Box 159" hidden="1">
                <a:extLst>
                  <a:ext uri="{63B3BB69-23CF-44E3-9099-C40C66FF867C}">
                    <a14:compatExt spid="_x0000_s160927"/>
                  </a:ext>
                  <a:ext uri="{FF2B5EF4-FFF2-40B4-BE49-F238E27FC236}">
                    <a16:creationId xmlns:a16="http://schemas.microsoft.com/office/drawing/2014/main" id="{00000000-0008-0000-1D00-00009F740200}"/>
                  </a:ext>
                </a:extLst>
              </xdr:cNvPr>
              <xdr:cNvSpPr/>
            </xdr:nvSpPr>
            <xdr:spPr bwMode="auto">
              <a:xfrm>
                <a:off x="2994687" y="2201913"/>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160935" name="ZoneTexte 1">
          <a:extLst>
            <a:ext uri="{FF2B5EF4-FFF2-40B4-BE49-F238E27FC236}">
              <a16:creationId xmlns:a16="http://schemas.microsoft.com/office/drawing/2014/main" id="{00000000-0008-0000-1E00-0000A774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60936" name="ZoneTexte 1">
          <a:extLst>
            <a:ext uri="{FF2B5EF4-FFF2-40B4-BE49-F238E27FC236}">
              <a16:creationId xmlns:a16="http://schemas.microsoft.com/office/drawing/2014/main" id="{00000000-0008-0000-1E00-0000A874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49</xdr:row>
          <xdr:rowOff>0</xdr:rowOff>
        </xdr:from>
        <xdr:to>
          <xdr:col>8</xdr:col>
          <xdr:colOff>0</xdr:colOff>
          <xdr:row>50</xdr:row>
          <xdr:rowOff>0</xdr:rowOff>
        </xdr:to>
        <xdr:grpSp>
          <xdr:nvGrpSpPr>
            <xdr:cNvPr id="160937" name="Groupe 160936">
              <a:extLst>
                <a:ext uri="{FF2B5EF4-FFF2-40B4-BE49-F238E27FC236}">
                  <a16:creationId xmlns:a16="http://schemas.microsoft.com/office/drawing/2014/main" id="{00000000-0008-0000-1E00-0000A9740200}"/>
                </a:ext>
              </a:extLst>
            </xdr:cNvPr>
            <xdr:cNvGrpSpPr/>
          </xdr:nvGrpSpPr>
          <xdr:grpSpPr>
            <a:xfrm>
              <a:off x="3696269" y="39533015"/>
              <a:ext cx="1956179" cy="2126776"/>
              <a:chOff x="2994687" y="2201914"/>
              <a:chExt cx="1960968" cy="1646925"/>
            </a:xfrm>
          </xdr:grpSpPr>
          <xdr:sp macro="" textlink="">
            <xdr:nvSpPr>
              <xdr:cNvPr id="25" name="Option Button 160" descr="Case d'option 47" hidden="1">
                <a:extLst>
                  <a:ext uri="{63B3BB69-23CF-44E3-9099-C40C66FF867C}">
                    <a14:compatExt spid="_x0000_s160928"/>
                  </a:ext>
                  <a:ext uri="{FF2B5EF4-FFF2-40B4-BE49-F238E27FC236}">
                    <a16:creationId xmlns:a16="http://schemas.microsoft.com/office/drawing/2014/main" id="{00000000-0008-0000-1D00-000019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49" name="Option Button 161" hidden="1">
                <a:extLst>
                  <a:ext uri="{63B3BB69-23CF-44E3-9099-C40C66FF867C}">
                    <a14:compatExt spid="_x0000_s160929"/>
                  </a:ext>
                  <a:ext uri="{FF2B5EF4-FFF2-40B4-BE49-F238E27FC236}">
                    <a16:creationId xmlns:a16="http://schemas.microsoft.com/office/drawing/2014/main" id="{00000000-0008-0000-1D00-000031000000}"/>
                  </a:ext>
                </a:extLst>
              </xdr:cNvPr>
              <xdr:cNvSpPr/>
            </xdr:nvSpPr>
            <xdr:spPr bwMode="auto">
              <a:xfrm>
                <a:off x="3102128" y="2475880"/>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30" name="Option Button 162" hidden="1">
                <a:extLst>
                  <a:ext uri="{63B3BB69-23CF-44E3-9099-C40C66FF867C}">
                    <a14:compatExt spid="_x0000_s160930"/>
                  </a:ext>
                  <a:ext uri="{FF2B5EF4-FFF2-40B4-BE49-F238E27FC236}">
                    <a16:creationId xmlns:a16="http://schemas.microsoft.com/office/drawing/2014/main" id="{00000000-0008-0000-1D00-0000A2740200}"/>
                  </a:ext>
                </a:extLst>
              </xdr:cNvPr>
              <xdr:cNvSpPr/>
            </xdr:nvSpPr>
            <xdr:spPr bwMode="auto">
              <a:xfrm>
                <a:off x="3102128" y="2688883"/>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31" name="Option Button 163" hidden="1">
                <a:extLst>
                  <a:ext uri="{63B3BB69-23CF-44E3-9099-C40C66FF867C}">
                    <a14:compatExt spid="_x0000_s160931"/>
                  </a:ext>
                  <a:ext uri="{FF2B5EF4-FFF2-40B4-BE49-F238E27FC236}">
                    <a16:creationId xmlns:a16="http://schemas.microsoft.com/office/drawing/2014/main" id="{00000000-0008-0000-1D00-0000A3740200}"/>
                  </a:ext>
                </a:extLst>
              </xdr:cNvPr>
              <xdr:cNvSpPr/>
            </xdr:nvSpPr>
            <xdr:spPr bwMode="auto">
              <a:xfrm>
                <a:off x="3102128" y="2879025"/>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32" name="Group Box 164" hidden="1">
                <a:extLst>
                  <a:ext uri="{63B3BB69-23CF-44E3-9099-C40C66FF867C}">
                    <a14:compatExt spid="_x0000_s160932"/>
                  </a:ext>
                  <a:ext uri="{FF2B5EF4-FFF2-40B4-BE49-F238E27FC236}">
                    <a16:creationId xmlns:a16="http://schemas.microsoft.com/office/drawing/2014/main" id="{00000000-0008-0000-1D00-0000A4740200}"/>
                  </a:ext>
                </a:extLst>
              </xdr:cNvPr>
              <xdr:cNvSpPr/>
            </xdr:nvSpPr>
            <xdr:spPr bwMode="auto">
              <a:xfrm>
                <a:off x="2994687" y="2201914"/>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82</xdr:row>
      <xdr:rowOff>22860</xdr:rowOff>
    </xdr:from>
    <xdr:to>
      <xdr:col>9</xdr:col>
      <xdr:colOff>4532586</xdr:colOff>
      <xdr:row>82</xdr:row>
      <xdr:rowOff>2036380</xdr:rowOff>
    </xdr:to>
    <xdr:sp macro="" textlink="" fLocksText="0">
      <xdr:nvSpPr>
        <xdr:cNvPr id="160943" name="ZoneTexte 1">
          <a:extLst>
            <a:ext uri="{FF2B5EF4-FFF2-40B4-BE49-F238E27FC236}">
              <a16:creationId xmlns:a16="http://schemas.microsoft.com/office/drawing/2014/main" id="{00000000-0008-0000-1E00-0000AF74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60944" name="ZoneTexte 1">
          <a:extLst>
            <a:ext uri="{FF2B5EF4-FFF2-40B4-BE49-F238E27FC236}">
              <a16:creationId xmlns:a16="http://schemas.microsoft.com/office/drawing/2014/main" id="{00000000-0008-0000-1E00-0000B074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82</xdr:row>
          <xdr:rowOff>0</xdr:rowOff>
        </xdr:from>
        <xdr:to>
          <xdr:col>8</xdr:col>
          <xdr:colOff>0</xdr:colOff>
          <xdr:row>83</xdr:row>
          <xdr:rowOff>2058</xdr:rowOff>
        </xdr:to>
        <xdr:grpSp>
          <xdr:nvGrpSpPr>
            <xdr:cNvPr id="160951" name="Groupe 160950">
              <a:extLst>
                <a:ext uri="{FF2B5EF4-FFF2-40B4-BE49-F238E27FC236}">
                  <a16:creationId xmlns:a16="http://schemas.microsoft.com/office/drawing/2014/main" id="{00000000-0008-0000-1E00-0000B7740200}"/>
                </a:ext>
              </a:extLst>
            </xdr:cNvPr>
            <xdr:cNvGrpSpPr/>
          </xdr:nvGrpSpPr>
          <xdr:grpSpPr>
            <a:xfrm>
              <a:off x="3699437" y="63700925"/>
              <a:ext cx="1953011" cy="1649105"/>
              <a:chOff x="2994676" y="2201922"/>
              <a:chExt cx="1960968" cy="1646928"/>
            </a:xfrm>
          </xdr:grpSpPr>
          <xdr:sp macro="" textlink="">
            <xdr:nvSpPr>
              <xdr:cNvPr id="160938" name="Option Button 170" descr="Case d'option 47" hidden="1">
                <a:extLst>
                  <a:ext uri="{63B3BB69-23CF-44E3-9099-C40C66FF867C}">
                    <a14:compatExt spid="_x0000_s160938"/>
                  </a:ext>
                  <a:ext uri="{FF2B5EF4-FFF2-40B4-BE49-F238E27FC236}">
                    <a16:creationId xmlns:a16="http://schemas.microsoft.com/office/drawing/2014/main" id="{00000000-0008-0000-1D00-0000AA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939" name="Option Button 171" hidden="1">
                <a:extLst>
                  <a:ext uri="{63B3BB69-23CF-44E3-9099-C40C66FF867C}">
                    <a14:compatExt spid="_x0000_s160939"/>
                  </a:ext>
                  <a:ext uri="{FF2B5EF4-FFF2-40B4-BE49-F238E27FC236}">
                    <a16:creationId xmlns:a16="http://schemas.microsoft.com/office/drawing/2014/main" id="{00000000-0008-0000-1D00-0000AB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40" name="Option Button 172" hidden="1">
                <a:extLst>
                  <a:ext uri="{63B3BB69-23CF-44E3-9099-C40C66FF867C}">
                    <a14:compatExt spid="_x0000_s160940"/>
                  </a:ext>
                  <a:ext uri="{FF2B5EF4-FFF2-40B4-BE49-F238E27FC236}">
                    <a16:creationId xmlns:a16="http://schemas.microsoft.com/office/drawing/2014/main" id="{00000000-0008-0000-1D00-0000AC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41" name="Option Button 173" hidden="1">
                <a:extLst>
                  <a:ext uri="{63B3BB69-23CF-44E3-9099-C40C66FF867C}">
                    <a14:compatExt spid="_x0000_s160941"/>
                  </a:ext>
                  <a:ext uri="{FF2B5EF4-FFF2-40B4-BE49-F238E27FC236}">
                    <a16:creationId xmlns:a16="http://schemas.microsoft.com/office/drawing/2014/main" id="{00000000-0008-0000-1D00-0000AD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42" name="Group Box 174" hidden="1">
                <a:extLst>
                  <a:ext uri="{63B3BB69-23CF-44E3-9099-C40C66FF867C}">
                    <a14:compatExt spid="_x0000_s160942"/>
                  </a:ext>
                  <a:ext uri="{FF2B5EF4-FFF2-40B4-BE49-F238E27FC236}">
                    <a16:creationId xmlns:a16="http://schemas.microsoft.com/office/drawing/2014/main" id="{00000000-0008-0000-1D00-0000AE740200}"/>
                  </a:ext>
                </a:extLst>
              </xdr:cNvPr>
              <xdr:cNvSpPr/>
            </xdr:nvSpPr>
            <xdr:spPr bwMode="auto">
              <a:xfrm>
                <a:off x="2994676" y="2201922"/>
                <a:ext cx="1960968"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93</xdr:row>
      <xdr:rowOff>22860</xdr:rowOff>
    </xdr:from>
    <xdr:to>
      <xdr:col>9</xdr:col>
      <xdr:colOff>4503756</xdr:colOff>
      <xdr:row>94</xdr:row>
      <xdr:rowOff>0</xdr:rowOff>
    </xdr:to>
    <xdr:sp macro="" textlink="" fLocksText="0">
      <xdr:nvSpPr>
        <xdr:cNvPr id="160957" name="ZoneTexte 1">
          <a:extLst>
            <a:ext uri="{FF2B5EF4-FFF2-40B4-BE49-F238E27FC236}">
              <a16:creationId xmlns:a16="http://schemas.microsoft.com/office/drawing/2014/main" id="{00000000-0008-0000-1E00-0000BD74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160959" name="Groupe 160958">
              <a:extLst>
                <a:ext uri="{FF2B5EF4-FFF2-40B4-BE49-F238E27FC236}">
                  <a16:creationId xmlns:a16="http://schemas.microsoft.com/office/drawing/2014/main" id="{00000000-0008-0000-1E00-0000BF740200}"/>
                </a:ext>
              </a:extLst>
            </xdr:cNvPr>
            <xdr:cNvGrpSpPr/>
          </xdr:nvGrpSpPr>
          <xdr:grpSpPr>
            <a:xfrm>
              <a:off x="3696269" y="69171403"/>
              <a:ext cx="1956179" cy="1649104"/>
              <a:chOff x="2995472" y="3846771"/>
              <a:chExt cx="1960181" cy="1644867"/>
            </a:xfrm>
          </xdr:grpSpPr>
          <xdr:sp macro="" textlink="">
            <xdr:nvSpPr>
              <xdr:cNvPr id="160866" name="Option Button 175" hidden="1">
                <a:extLst>
                  <a:ext uri="{63B3BB69-23CF-44E3-9099-C40C66FF867C}">
                    <a14:compatExt spid="_x0000_s160943"/>
                  </a:ext>
                  <a:ext uri="{FF2B5EF4-FFF2-40B4-BE49-F238E27FC236}">
                    <a16:creationId xmlns:a16="http://schemas.microsoft.com/office/drawing/2014/main" id="{00000000-0008-0000-1D00-0000627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82" name="Option Button 176" hidden="1">
                <a:extLst>
                  <a:ext uri="{63B3BB69-23CF-44E3-9099-C40C66FF867C}">
                    <a14:compatExt spid="_x0000_s160944"/>
                  </a:ext>
                  <a:ext uri="{FF2B5EF4-FFF2-40B4-BE49-F238E27FC236}">
                    <a16:creationId xmlns:a16="http://schemas.microsoft.com/office/drawing/2014/main" id="{00000000-0008-0000-1D00-0000727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45" name="Option Button 177" hidden="1">
                <a:extLst>
                  <a:ext uri="{63B3BB69-23CF-44E3-9099-C40C66FF867C}">
                    <a14:compatExt spid="_x0000_s160945"/>
                  </a:ext>
                  <a:ext uri="{FF2B5EF4-FFF2-40B4-BE49-F238E27FC236}">
                    <a16:creationId xmlns:a16="http://schemas.microsoft.com/office/drawing/2014/main" id="{00000000-0008-0000-1D00-0000B17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46" name="Option Button 178" hidden="1">
                <a:extLst>
                  <a:ext uri="{63B3BB69-23CF-44E3-9099-C40C66FF867C}">
                    <a14:compatExt spid="_x0000_s160946"/>
                  </a:ext>
                  <a:ext uri="{FF2B5EF4-FFF2-40B4-BE49-F238E27FC236}">
                    <a16:creationId xmlns:a16="http://schemas.microsoft.com/office/drawing/2014/main" id="{00000000-0008-0000-1D00-0000B27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47" name="Group Box 179" hidden="1">
                <a:extLst>
                  <a:ext uri="{63B3BB69-23CF-44E3-9099-C40C66FF867C}">
                    <a14:compatExt spid="_x0000_s160947"/>
                  </a:ext>
                  <a:ext uri="{FF2B5EF4-FFF2-40B4-BE49-F238E27FC236}">
                    <a16:creationId xmlns:a16="http://schemas.microsoft.com/office/drawing/2014/main" id="{00000000-0008-0000-1D00-0000B3740200}"/>
                  </a:ext>
                </a:extLst>
              </xdr:cNvPr>
              <xdr:cNvSpPr/>
            </xdr:nvSpPr>
            <xdr:spPr bwMode="auto">
              <a:xfrm>
                <a:off x="2995472" y="3846771"/>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160964" name="Groupe 160963">
              <a:extLst>
                <a:ext uri="{FF2B5EF4-FFF2-40B4-BE49-F238E27FC236}">
                  <a16:creationId xmlns:a16="http://schemas.microsoft.com/office/drawing/2014/main" id="{00000000-0008-0000-1E00-0000C4740200}"/>
                </a:ext>
              </a:extLst>
            </xdr:cNvPr>
            <xdr:cNvGrpSpPr/>
          </xdr:nvGrpSpPr>
          <xdr:grpSpPr>
            <a:xfrm>
              <a:off x="3696269" y="67522299"/>
              <a:ext cx="1956179" cy="1651159"/>
              <a:chOff x="2994691" y="2201914"/>
              <a:chExt cx="1960968" cy="1646922"/>
            </a:xfrm>
          </xdr:grpSpPr>
          <xdr:sp macro="" textlink="">
            <xdr:nvSpPr>
              <xdr:cNvPr id="160948" name="Option Button 180" descr="Case d'option 47" hidden="1">
                <a:extLst>
                  <a:ext uri="{63B3BB69-23CF-44E3-9099-C40C66FF867C}">
                    <a14:compatExt spid="_x0000_s160948"/>
                  </a:ext>
                  <a:ext uri="{FF2B5EF4-FFF2-40B4-BE49-F238E27FC236}">
                    <a16:creationId xmlns:a16="http://schemas.microsoft.com/office/drawing/2014/main" id="{00000000-0008-0000-1D00-0000B4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949" name="Option Button 181" hidden="1">
                <a:extLst>
                  <a:ext uri="{63B3BB69-23CF-44E3-9099-C40C66FF867C}">
                    <a14:compatExt spid="_x0000_s160949"/>
                  </a:ext>
                  <a:ext uri="{FF2B5EF4-FFF2-40B4-BE49-F238E27FC236}">
                    <a16:creationId xmlns:a16="http://schemas.microsoft.com/office/drawing/2014/main" id="{00000000-0008-0000-1D00-0000B5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50" name="Option Button 182" hidden="1">
                <a:extLst>
                  <a:ext uri="{63B3BB69-23CF-44E3-9099-C40C66FF867C}">
                    <a14:compatExt spid="_x0000_s160950"/>
                  </a:ext>
                  <a:ext uri="{FF2B5EF4-FFF2-40B4-BE49-F238E27FC236}">
                    <a16:creationId xmlns:a16="http://schemas.microsoft.com/office/drawing/2014/main" id="{00000000-0008-0000-1D00-0000B6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883" name="Option Button 183" hidden="1">
                <a:extLst>
                  <a:ext uri="{63B3BB69-23CF-44E3-9099-C40C66FF867C}">
                    <a14:compatExt spid="_x0000_s160951"/>
                  </a:ext>
                  <a:ext uri="{FF2B5EF4-FFF2-40B4-BE49-F238E27FC236}">
                    <a16:creationId xmlns:a16="http://schemas.microsoft.com/office/drawing/2014/main" id="{00000000-0008-0000-1D00-000073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52" name="Group Box 184" hidden="1">
                <a:extLst>
                  <a:ext uri="{63B3BB69-23CF-44E3-9099-C40C66FF867C}">
                    <a14:compatExt spid="_x0000_s160952"/>
                  </a:ext>
                  <a:ext uri="{FF2B5EF4-FFF2-40B4-BE49-F238E27FC236}">
                    <a16:creationId xmlns:a16="http://schemas.microsoft.com/office/drawing/2014/main" id="{00000000-0008-0000-1D00-0000B8740200}"/>
                  </a:ext>
                </a:extLst>
              </xdr:cNvPr>
              <xdr:cNvSpPr/>
            </xdr:nvSpPr>
            <xdr:spPr bwMode="auto">
              <a:xfrm>
                <a:off x="2994691"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160970" name="ZoneTexte 1">
          <a:extLst>
            <a:ext uri="{FF2B5EF4-FFF2-40B4-BE49-F238E27FC236}">
              <a16:creationId xmlns:a16="http://schemas.microsoft.com/office/drawing/2014/main" id="{00000000-0008-0000-1E00-0000CA74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160971" name="ZoneTexte 1">
          <a:extLst>
            <a:ext uri="{FF2B5EF4-FFF2-40B4-BE49-F238E27FC236}">
              <a16:creationId xmlns:a16="http://schemas.microsoft.com/office/drawing/2014/main" id="{00000000-0008-0000-1E00-0000CB7402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60972" name="ZoneTexte 1">
          <a:extLst>
            <a:ext uri="{FF2B5EF4-FFF2-40B4-BE49-F238E27FC236}">
              <a16:creationId xmlns:a16="http://schemas.microsoft.com/office/drawing/2014/main" id="{00000000-0008-0000-1E00-0000CC74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160979" name="Groupe 160978">
              <a:extLst>
                <a:ext uri="{FF2B5EF4-FFF2-40B4-BE49-F238E27FC236}">
                  <a16:creationId xmlns:a16="http://schemas.microsoft.com/office/drawing/2014/main" id="{00000000-0008-0000-1E00-0000D3740200}"/>
                </a:ext>
              </a:extLst>
            </xdr:cNvPr>
            <xdr:cNvGrpSpPr/>
          </xdr:nvGrpSpPr>
          <xdr:grpSpPr>
            <a:xfrm>
              <a:off x="3699437" y="72469612"/>
              <a:ext cx="1953011" cy="1649104"/>
              <a:chOff x="2994676" y="2201918"/>
              <a:chExt cx="1960968" cy="1646927"/>
            </a:xfrm>
          </xdr:grpSpPr>
          <xdr:sp macro="" textlink="">
            <xdr:nvSpPr>
              <xdr:cNvPr id="160884" name="Option Button 190" descr="Case d'option 47" hidden="1">
                <a:extLst>
                  <a:ext uri="{63B3BB69-23CF-44E3-9099-C40C66FF867C}">
                    <a14:compatExt spid="_x0000_s160958"/>
                  </a:ext>
                  <a:ext uri="{FF2B5EF4-FFF2-40B4-BE49-F238E27FC236}">
                    <a16:creationId xmlns:a16="http://schemas.microsoft.com/office/drawing/2014/main" id="{00000000-0008-0000-1D00-000074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85" name="Option Button 191" hidden="1">
                <a:extLst>
                  <a:ext uri="{63B3BB69-23CF-44E3-9099-C40C66FF867C}">
                    <a14:compatExt spid="_x0000_s160959"/>
                  </a:ext>
                  <a:ext uri="{FF2B5EF4-FFF2-40B4-BE49-F238E27FC236}">
                    <a16:creationId xmlns:a16="http://schemas.microsoft.com/office/drawing/2014/main" id="{00000000-0008-0000-1D00-000075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60" name="Option Button 192" hidden="1">
                <a:extLst>
                  <a:ext uri="{63B3BB69-23CF-44E3-9099-C40C66FF867C}">
                    <a14:compatExt spid="_x0000_s160960"/>
                  </a:ext>
                  <a:ext uri="{FF2B5EF4-FFF2-40B4-BE49-F238E27FC236}">
                    <a16:creationId xmlns:a16="http://schemas.microsoft.com/office/drawing/2014/main" id="{00000000-0008-0000-1D00-0000C0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61" name="Option Button 193" hidden="1">
                <a:extLst>
                  <a:ext uri="{63B3BB69-23CF-44E3-9099-C40C66FF867C}">
                    <a14:compatExt spid="_x0000_s160961"/>
                  </a:ext>
                  <a:ext uri="{FF2B5EF4-FFF2-40B4-BE49-F238E27FC236}">
                    <a16:creationId xmlns:a16="http://schemas.microsoft.com/office/drawing/2014/main" id="{00000000-0008-0000-1D00-0000C1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62" name="Group Box 194" hidden="1">
                <a:extLst>
                  <a:ext uri="{63B3BB69-23CF-44E3-9099-C40C66FF867C}">
                    <a14:compatExt spid="_x0000_s160962"/>
                  </a:ext>
                  <a:ext uri="{FF2B5EF4-FFF2-40B4-BE49-F238E27FC236}">
                    <a16:creationId xmlns:a16="http://schemas.microsoft.com/office/drawing/2014/main" id="{00000000-0008-0000-1D00-0000C2740200}"/>
                  </a:ext>
                </a:extLst>
              </xdr:cNvPr>
              <xdr:cNvSpPr/>
            </xdr:nvSpPr>
            <xdr:spPr bwMode="auto">
              <a:xfrm>
                <a:off x="2994676" y="2201918"/>
                <a:ext cx="1960968" cy="164692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160985" name="Groupe 160984">
              <a:extLst>
                <a:ext uri="{FF2B5EF4-FFF2-40B4-BE49-F238E27FC236}">
                  <a16:creationId xmlns:a16="http://schemas.microsoft.com/office/drawing/2014/main" id="{00000000-0008-0000-1E00-0000D9740200}"/>
                </a:ext>
              </a:extLst>
            </xdr:cNvPr>
            <xdr:cNvGrpSpPr/>
          </xdr:nvGrpSpPr>
          <xdr:grpSpPr>
            <a:xfrm>
              <a:off x="3696269" y="70820507"/>
              <a:ext cx="1956179" cy="1649105"/>
              <a:chOff x="2994687" y="2201919"/>
              <a:chExt cx="1960968" cy="1646930"/>
            </a:xfrm>
          </xdr:grpSpPr>
          <xdr:sp macro="" textlink="">
            <xdr:nvSpPr>
              <xdr:cNvPr id="160963" name="Option Button 195" descr="Case d'option 47" hidden="1">
                <a:extLst>
                  <a:ext uri="{63B3BB69-23CF-44E3-9099-C40C66FF867C}">
                    <a14:compatExt spid="_x0000_s160963"/>
                  </a:ext>
                  <a:ext uri="{FF2B5EF4-FFF2-40B4-BE49-F238E27FC236}">
                    <a16:creationId xmlns:a16="http://schemas.microsoft.com/office/drawing/2014/main" id="{00000000-0008-0000-1D00-0000C3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886" name="Option Button 196" hidden="1">
                <a:extLst>
                  <a:ext uri="{63B3BB69-23CF-44E3-9099-C40C66FF867C}">
                    <a14:compatExt spid="_x0000_s160964"/>
                  </a:ext>
                  <a:ext uri="{FF2B5EF4-FFF2-40B4-BE49-F238E27FC236}">
                    <a16:creationId xmlns:a16="http://schemas.microsoft.com/office/drawing/2014/main" id="{00000000-0008-0000-1D00-000076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65" name="Option Button 197" hidden="1">
                <a:extLst>
                  <a:ext uri="{63B3BB69-23CF-44E3-9099-C40C66FF867C}">
                    <a14:compatExt spid="_x0000_s160965"/>
                  </a:ext>
                  <a:ext uri="{FF2B5EF4-FFF2-40B4-BE49-F238E27FC236}">
                    <a16:creationId xmlns:a16="http://schemas.microsoft.com/office/drawing/2014/main" id="{00000000-0008-0000-1D00-0000C5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66" name="Option Button 198" hidden="1">
                <a:extLst>
                  <a:ext uri="{63B3BB69-23CF-44E3-9099-C40C66FF867C}">
                    <a14:compatExt spid="_x0000_s160966"/>
                  </a:ext>
                  <a:ext uri="{FF2B5EF4-FFF2-40B4-BE49-F238E27FC236}">
                    <a16:creationId xmlns:a16="http://schemas.microsoft.com/office/drawing/2014/main" id="{00000000-0008-0000-1D00-0000C6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0967" name="Group Box 199" hidden="1">
                <a:extLst>
                  <a:ext uri="{63B3BB69-23CF-44E3-9099-C40C66FF867C}">
                    <a14:compatExt spid="_x0000_s160967"/>
                  </a:ext>
                  <a:ext uri="{FF2B5EF4-FFF2-40B4-BE49-F238E27FC236}">
                    <a16:creationId xmlns:a16="http://schemas.microsoft.com/office/drawing/2014/main" id="{00000000-0008-0000-1D00-0000C7740200}"/>
                  </a:ext>
                </a:extLst>
              </xdr:cNvPr>
              <xdr:cNvSpPr/>
            </xdr:nvSpPr>
            <xdr:spPr bwMode="auto">
              <a:xfrm>
                <a:off x="2994687" y="2201919"/>
                <a:ext cx="1960968"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160991" name="Ellipse 160990">
          <a:extLst>
            <a:ext uri="{FF2B5EF4-FFF2-40B4-BE49-F238E27FC236}">
              <a16:creationId xmlns:a16="http://schemas.microsoft.com/office/drawing/2014/main" id="{00000000-0008-0000-1E00-0000DF74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160992" name="ZoneTexte 1">
          <a:extLst>
            <a:ext uri="{FF2B5EF4-FFF2-40B4-BE49-F238E27FC236}">
              <a16:creationId xmlns:a16="http://schemas.microsoft.com/office/drawing/2014/main" id="{00000000-0008-0000-1E00-0000E07402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60993" name="ZoneTexte 1">
          <a:extLst>
            <a:ext uri="{FF2B5EF4-FFF2-40B4-BE49-F238E27FC236}">
              <a16:creationId xmlns:a16="http://schemas.microsoft.com/office/drawing/2014/main" id="{00000000-0008-0000-1E00-0000E174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161006" name="ZoneTexte 1">
          <a:extLst>
            <a:ext uri="{FF2B5EF4-FFF2-40B4-BE49-F238E27FC236}">
              <a16:creationId xmlns:a16="http://schemas.microsoft.com/office/drawing/2014/main" id="{00000000-0008-0000-1E00-0000EE74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161007" name="ZoneTexte 1">
          <a:extLst>
            <a:ext uri="{FF2B5EF4-FFF2-40B4-BE49-F238E27FC236}">
              <a16:creationId xmlns:a16="http://schemas.microsoft.com/office/drawing/2014/main" id="{00000000-0008-0000-1E00-0000EF7402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161020" name="ZoneTexte 1">
          <a:extLst>
            <a:ext uri="{FF2B5EF4-FFF2-40B4-BE49-F238E27FC236}">
              <a16:creationId xmlns:a16="http://schemas.microsoft.com/office/drawing/2014/main" id="{00000000-0008-0000-1E00-0000FC74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161021" name="ZoneTexte 1">
          <a:extLst>
            <a:ext uri="{FF2B5EF4-FFF2-40B4-BE49-F238E27FC236}">
              <a16:creationId xmlns:a16="http://schemas.microsoft.com/office/drawing/2014/main" id="{00000000-0008-0000-1E00-0000FD7402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61022" name="ZoneTexte 1">
          <a:extLst>
            <a:ext uri="{FF2B5EF4-FFF2-40B4-BE49-F238E27FC236}">
              <a16:creationId xmlns:a16="http://schemas.microsoft.com/office/drawing/2014/main" id="{00000000-0008-0000-1E00-0000FE74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161041" name="Ellipse 161040">
          <a:extLst>
            <a:ext uri="{FF2B5EF4-FFF2-40B4-BE49-F238E27FC236}">
              <a16:creationId xmlns:a16="http://schemas.microsoft.com/office/drawing/2014/main" id="{00000000-0008-0000-1E00-00001175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61042" name="ZoneTexte 1">
          <a:extLst>
            <a:ext uri="{FF2B5EF4-FFF2-40B4-BE49-F238E27FC236}">
              <a16:creationId xmlns:a16="http://schemas.microsoft.com/office/drawing/2014/main" id="{00000000-0008-0000-1E00-00001275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61043" name="ZoneTexte 1">
          <a:extLst>
            <a:ext uri="{FF2B5EF4-FFF2-40B4-BE49-F238E27FC236}">
              <a16:creationId xmlns:a16="http://schemas.microsoft.com/office/drawing/2014/main" id="{00000000-0008-0000-1E00-00001375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6</xdr:col>
          <xdr:colOff>2476500</xdr:colOff>
          <xdr:row>48</xdr:row>
          <xdr:rowOff>0</xdr:rowOff>
        </xdr:from>
        <xdr:to>
          <xdr:col>7</xdr:col>
          <xdr:colOff>1958837</xdr:colOff>
          <xdr:row>48</xdr:row>
          <xdr:rowOff>1522800</xdr:rowOff>
        </xdr:to>
        <xdr:grpSp>
          <xdr:nvGrpSpPr>
            <xdr:cNvPr id="161056" name="Groupe 161055">
              <a:extLst>
                <a:ext uri="{FF2B5EF4-FFF2-40B4-BE49-F238E27FC236}">
                  <a16:creationId xmlns:a16="http://schemas.microsoft.com/office/drawing/2014/main" id="{00000000-0008-0000-1E00-000020750200}"/>
                </a:ext>
              </a:extLst>
            </xdr:cNvPr>
            <xdr:cNvGrpSpPr/>
          </xdr:nvGrpSpPr>
          <xdr:grpSpPr>
            <a:xfrm>
              <a:off x="3693425" y="38009015"/>
              <a:ext cx="1961681" cy="1522800"/>
              <a:chOff x="2994670" y="2201912"/>
              <a:chExt cx="1960969" cy="1646924"/>
            </a:xfrm>
          </xdr:grpSpPr>
          <xdr:sp macro="" textlink="">
            <xdr:nvSpPr>
              <xdr:cNvPr id="161013" name="Option Button 245" descr="Case d'option 47" hidden="1">
                <a:extLst>
                  <a:ext uri="{63B3BB69-23CF-44E3-9099-C40C66FF867C}">
                    <a14:compatExt spid="_x0000_s161013"/>
                  </a:ext>
                  <a:ext uri="{FF2B5EF4-FFF2-40B4-BE49-F238E27FC236}">
                    <a16:creationId xmlns:a16="http://schemas.microsoft.com/office/drawing/2014/main" id="{00000000-0008-0000-1D00-0000F5740200}"/>
                  </a:ext>
                </a:extLst>
              </xdr:cNvPr>
              <xdr:cNvSpPr/>
            </xdr:nvSpPr>
            <xdr:spPr bwMode="auto">
              <a:xfrm>
                <a:off x="3102128" y="2270497"/>
                <a:ext cx="1394459"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1014" name="Option Button 246" hidden="1">
                <a:extLst>
                  <a:ext uri="{63B3BB69-23CF-44E3-9099-C40C66FF867C}">
                    <a14:compatExt spid="_x0000_s161014"/>
                  </a:ext>
                  <a:ext uri="{FF2B5EF4-FFF2-40B4-BE49-F238E27FC236}">
                    <a16:creationId xmlns:a16="http://schemas.microsoft.com/office/drawing/2014/main" id="{00000000-0008-0000-1D00-0000F6740200}"/>
                  </a:ext>
                </a:extLst>
              </xdr:cNvPr>
              <xdr:cNvSpPr/>
            </xdr:nvSpPr>
            <xdr:spPr bwMode="auto">
              <a:xfrm>
                <a:off x="3102128" y="2547065"/>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1015" name="Option Button 247" hidden="1">
                <a:extLst>
                  <a:ext uri="{63B3BB69-23CF-44E3-9099-C40C66FF867C}">
                    <a14:compatExt spid="_x0000_s161015"/>
                  </a:ext>
                  <a:ext uri="{FF2B5EF4-FFF2-40B4-BE49-F238E27FC236}">
                    <a16:creationId xmlns:a16="http://schemas.microsoft.com/office/drawing/2014/main" id="{00000000-0008-0000-1D00-0000F7740200}"/>
                  </a:ext>
                </a:extLst>
              </xdr:cNvPr>
              <xdr:cNvSpPr/>
            </xdr:nvSpPr>
            <xdr:spPr bwMode="auto">
              <a:xfrm>
                <a:off x="3102128" y="2831256"/>
                <a:ext cx="1853500" cy="1752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1016" name="Option Button 248" hidden="1">
                <a:extLst>
                  <a:ext uri="{63B3BB69-23CF-44E3-9099-C40C66FF867C}">
                    <a14:compatExt spid="_x0000_s161016"/>
                  </a:ext>
                  <a:ext uri="{FF2B5EF4-FFF2-40B4-BE49-F238E27FC236}">
                    <a16:creationId xmlns:a16="http://schemas.microsoft.com/office/drawing/2014/main" id="{00000000-0008-0000-1D00-0000F8740200}"/>
                  </a:ext>
                </a:extLst>
              </xdr:cNvPr>
              <xdr:cNvSpPr/>
            </xdr:nvSpPr>
            <xdr:spPr bwMode="auto">
              <a:xfrm>
                <a:off x="3102128" y="3092588"/>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1017" name="Group Box 249" hidden="1">
                <a:extLst>
                  <a:ext uri="{63B3BB69-23CF-44E3-9099-C40C66FF867C}">
                    <a14:compatExt spid="_x0000_s161017"/>
                  </a:ext>
                  <a:ext uri="{FF2B5EF4-FFF2-40B4-BE49-F238E27FC236}">
                    <a16:creationId xmlns:a16="http://schemas.microsoft.com/office/drawing/2014/main" id="{00000000-0008-0000-1D00-0000F9740200}"/>
                  </a:ext>
                </a:extLst>
              </xdr:cNvPr>
              <xdr:cNvSpPr/>
            </xdr:nvSpPr>
            <xdr:spPr bwMode="auto">
              <a:xfrm>
                <a:off x="2994670" y="2201912"/>
                <a:ext cx="1960969"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10952</xdr:colOff>
      <xdr:row>18</xdr:row>
      <xdr:rowOff>38468</xdr:rowOff>
    </xdr:from>
    <xdr:to>
      <xdr:col>9</xdr:col>
      <xdr:colOff>4529667</xdr:colOff>
      <xdr:row>18</xdr:row>
      <xdr:rowOff>1640468</xdr:rowOff>
    </xdr:to>
    <xdr:sp macro="" textlink="" fLocksText="0">
      <xdr:nvSpPr>
        <xdr:cNvPr id="161063" name="ZoneTexte 1">
          <a:extLst>
            <a:ext uri="{FF2B5EF4-FFF2-40B4-BE49-F238E27FC236}">
              <a16:creationId xmlns:a16="http://schemas.microsoft.com/office/drawing/2014/main" id="{00000000-0008-0000-1E00-000027750200}"/>
            </a:ext>
          </a:extLst>
        </xdr:cNvPr>
        <xdr:cNvSpPr txBox="1">
          <a:spLocks noChangeArrowheads="1"/>
        </xdr:cNvSpPr>
      </xdr:nvSpPr>
      <xdr:spPr bwMode="auto">
        <a:xfrm>
          <a:off x="6881444" y="1168082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0</xdr:colOff>
          <xdr:row>19</xdr:row>
          <xdr:rowOff>0</xdr:rowOff>
        </xdr:to>
        <xdr:sp macro="" textlink="">
          <xdr:nvSpPr>
            <xdr:cNvPr id="161018" name="Group Box 250" hidden="1">
              <a:extLst>
                <a:ext uri="{63B3BB69-23CF-44E3-9099-C40C66FF867C}">
                  <a14:compatExt spid="_x0000_s161018"/>
                </a:ext>
                <a:ext uri="{FF2B5EF4-FFF2-40B4-BE49-F238E27FC236}">
                  <a16:creationId xmlns:a16="http://schemas.microsoft.com/office/drawing/2014/main" id="{00000000-0008-0000-1D00-0000FA7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18</xdr:row>
          <xdr:rowOff>0</xdr:rowOff>
        </xdr:from>
        <xdr:to>
          <xdr:col>8</xdr:col>
          <xdr:colOff>2200</xdr:colOff>
          <xdr:row>19</xdr:row>
          <xdr:rowOff>344</xdr:rowOff>
        </xdr:to>
        <xdr:grpSp>
          <xdr:nvGrpSpPr>
            <xdr:cNvPr id="161065" name="Groupe 161064">
              <a:extLst>
                <a:ext uri="{FF2B5EF4-FFF2-40B4-BE49-F238E27FC236}">
                  <a16:creationId xmlns:a16="http://schemas.microsoft.com/office/drawing/2014/main" id="{00000000-0008-0000-1E00-000029750200}"/>
                </a:ext>
              </a:extLst>
            </xdr:cNvPr>
            <xdr:cNvGrpSpPr/>
          </xdr:nvGrpSpPr>
          <xdr:grpSpPr>
            <a:xfrm>
              <a:off x="3697726" y="14910179"/>
              <a:ext cx="1956922" cy="1649449"/>
              <a:chOff x="2994655" y="2234192"/>
              <a:chExt cx="1960973" cy="1614640"/>
            </a:xfrm>
          </xdr:grpSpPr>
          <xdr:sp macro="" textlink="">
            <xdr:nvSpPr>
              <xdr:cNvPr id="161019" name="Option Button 251" descr="Case d'option 47" hidden="1">
                <a:extLst>
                  <a:ext uri="{63B3BB69-23CF-44E3-9099-C40C66FF867C}">
                    <a14:compatExt spid="_x0000_s161019"/>
                  </a:ext>
                  <a:ext uri="{FF2B5EF4-FFF2-40B4-BE49-F238E27FC236}">
                    <a16:creationId xmlns:a16="http://schemas.microsoft.com/office/drawing/2014/main" id="{00000000-0008-0000-1D00-0000FB7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0912" name="Option Button 252" hidden="1">
                <a:extLst>
                  <a:ext uri="{63B3BB69-23CF-44E3-9099-C40C66FF867C}">
                    <a14:compatExt spid="_x0000_s161020"/>
                  </a:ext>
                  <a:ext uri="{FF2B5EF4-FFF2-40B4-BE49-F238E27FC236}">
                    <a16:creationId xmlns:a16="http://schemas.microsoft.com/office/drawing/2014/main" id="{00000000-0008-0000-1D00-0000907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0918" name="Option Button 253" hidden="1">
                <a:extLst>
                  <a:ext uri="{63B3BB69-23CF-44E3-9099-C40C66FF867C}">
                    <a14:compatExt spid="_x0000_s161021"/>
                  </a:ext>
                  <a:ext uri="{FF2B5EF4-FFF2-40B4-BE49-F238E27FC236}">
                    <a16:creationId xmlns:a16="http://schemas.microsoft.com/office/drawing/2014/main" id="{00000000-0008-0000-1D00-0000967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0919" name="Option Button 254" hidden="1">
                <a:extLst>
                  <a:ext uri="{63B3BB69-23CF-44E3-9099-C40C66FF867C}">
                    <a14:compatExt spid="_x0000_s161022"/>
                  </a:ext>
                  <a:ext uri="{FF2B5EF4-FFF2-40B4-BE49-F238E27FC236}">
                    <a16:creationId xmlns:a16="http://schemas.microsoft.com/office/drawing/2014/main" id="{00000000-0008-0000-1D00-0000977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1023" name="Group Box 255" hidden="1">
                <a:extLst>
                  <a:ext uri="{63B3BB69-23CF-44E3-9099-C40C66FF867C}">
                    <a14:compatExt spid="_x0000_s161023"/>
                  </a:ext>
                  <a:ext uri="{FF2B5EF4-FFF2-40B4-BE49-F238E27FC236}">
                    <a16:creationId xmlns:a16="http://schemas.microsoft.com/office/drawing/2014/main" id="{00000000-0008-0000-1D00-0000FF740200}"/>
                  </a:ext>
                </a:extLst>
              </xdr:cNvPr>
              <xdr:cNvSpPr/>
            </xdr:nvSpPr>
            <xdr:spPr bwMode="auto">
              <a:xfrm>
                <a:off x="2994655" y="2234192"/>
                <a:ext cx="1960970" cy="161464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4</xdr:rowOff>
        </xdr:from>
        <xdr:to>
          <xdr:col>8</xdr:col>
          <xdr:colOff>0</xdr:colOff>
          <xdr:row>18</xdr:row>
          <xdr:rowOff>1</xdr:rowOff>
        </xdr:to>
        <xdr:grpSp>
          <xdr:nvGrpSpPr>
            <xdr:cNvPr id="161071" name="Groupe 161070">
              <a:extLst>
                <a:ext uri="{FF2B5EF4-FFF2-40B4-BE49-F238E27FC236}">
                  <a16:creationId xmlns:a16="http://schemas.microsoft.com/office/drawing/2014/main" id="{00000000-0008-0000-1E00-00002F750200}"/>
                </a:ext>
              </a:extLst>
            </xdr:cNvPr>
            <xdr:cNvGrpSpPr/>
          </xdr:nvGrpSpPr>
          <xdr:grpSpPr>
            <a:xfrm>
              <a:off x="3696269" y="13261079"/>
              <a:ext cx="1956179" cy="1649101"/>
              <a:chOff x="2995472" y="3846812"/>
              <a:chExt cx="1960181" cy="1673557"/>
            </a:xfrm>
          </xdr:grpSpPr>
          <xdr:sp macro="" textlink="">
            <xdr:nvSpPr>
              <xdr:cNvPr id="161024" name="Option Button 256" hidden="1">
                <a:extLst>
                  <a:ext uri="{63B3BB69-23CF-44E3-9099-C40C66FF867C}">
                    <a14:compatExt spid="_x0000_s161024"/>
                  </a:ext>
                  <a:ext uri="{FF2B5EF4-FFF2-40B4-BE49-F238E27FC236}">
                    <a16:creationId xmlns:a16="http://schemas.microsoft.com/office/drawing/2014/main" id="{00000000-0008-0000-1D00-000000750200}"/>
                  </a:ext>
                </a:extLst>
              </xdr:cNvPr>
              <xdr:cNvSpPr/>
            </xdr:nvSpPr>
            <xdr:spPr bwMode="auto">
              <a:xfrm>
                <a:off x="3109748" y="3991565"/>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61025" name="Option Button 257" hidden="1">
                <a:extLst>
                  <a:ext uri="{63B3BB69-23CF-44E3-9099-C40C66FF867C}">
                    <a14:compatExt spid="_x0000_s161025"/>
                  </a:ext>
                  <a:ext uri="{FF2B5EF4-FFF2-40B4-BE49-F238E27FC236}">
                    <a16:creationId xmlns:a16="http://schemas.microsoft.com/office/drawing/2014/main" id="{00000000-0008-0000-1D00-000001750200}"/>
                  </a:ext>
                </a:extLst>
              </xdr:cNvPr>
              <xdr:cNvSpPr/>
            </xdr:nvSpPr>
            <xdr:spPr bwMode="auto">
              <a:xfrm>
                <a:off x="3109748" y="424302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61026" name="Option Button 258" hidden="1">
                <a:extLst>
                  <a:ext uri="{63B3BB69-23CF-44E3-9099-C40C66FF867C}">
                    <a14:compatExt spid="_x0000_s161026"/>
                  </a:ext>
                  <a:ext uri="{FF2B5EF4-FFF2-40B4-BE49-F238E27FC236}">
                    <a16:creationId xmlns:a16="http://schemas.microsoft.com/office/drawing/2014/main" id="{00000000-0008-0000-1D00-000002750200}"/>
                  </a:ext>
                </a:extLst>
              </xdr:cNvPr>
              <xdr:cNvSpPr/>
            </xdr:nvSpPr>
            <xdr:spPr bwMode="auto">
              <a:xfrm>
                <a:off x="3109748" y="448686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61027" name="Option Button 259" hidden="1">
                <a:extLst>
                  <a:ext uri="{63B3BB69-23CF-44E3-9099-C40C66FF867C}">
                    <a14:compatExt spid="_x0000_s161027"/>
                  </a:ext>
                  <a:ext uri="{FF2B5EF4-FFF2-40B4-BE49-F238E27FC236}">
                    <a16:creationId xmlns:a16="http://schemas.microsoft.com/office/drawing/2014/main" id="{00000000-0008-0000-1D00-000003750200}"/>
                  </a:ext>
                </a:extLst>
              </xdr:cNvPr>
              <xdr:cNvSpPr/>
            </xdr:nvSpPr>
            <xdr:spPr bwMode="auto">
              <a:xfrm>
                <a:off x="3109748" y="4768805"/>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61028" name="Group Box 260" hidden="1">
                <a:extLst>
                  <a:ext uri="{63B3BB69-23CF-44E3-9099-C40C66FF867C}">
                    <a14:compatExt spid="_x0000_s161028"/>
                  </a:ext>
                  <a:ext uri="{FF2B5EF4-FFF2-40B4-BE49-F238E27FC236}">
                    <a16:creationId xmlns:a16="http://schemas.microsoft.com/office/drawing/2014/main" id="{00000000-0008-0000-1D00-000004750200}"/>
                  </a:ext>
                </a:extLst>
              </xdr:cNvPr>
              <xdr:cNvSpPr/>
            </xdr:nvSpPr>
            <xdr:spPr bwMode="auto">
              <a:xfrm>
                <a:off x="2995472" y="3846812"/>
                <a:ext cx="1960181" cy="167355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22746</xdr:colOff>
      <xdr:row>12</xdr:row>
      <xdr:rowOff>22746</xdr:rowOff>
    </xdr:from>
    <xdr:to>
      <xdr:col>9</xdr:col>
      <xdr:colOff>4571656</xdr:colOff>
      <xdr:row>12</xdr:row>
      <xdr:rowOff>1627565</xdr:rowOff>
    </xdr:to>
    <xdr:sp macro="" textlink="" fLocksText="0">
      <xdr:nvSpPr>
        <xdr:cNvPr id="160922" name="ZoneTexte 160921">
          <a:extLst>
            <a:ext uri="{FF2B5EF4-FFF2-40B4-BE49-F238E27FC236}">
              <a16:creationId xmlns:a16="http://schemas.microsoft.com/office/drawing/2014/main" id="{B2F7C0B2-2EA2-47C6-A3B1-D05519F00F37}"/>
            </a:ext>
          </a:extLst>
        </xdr:cNvPr>
        <xdr:cNvSpPr txBox="1">
          <a:spLocks noChangeArrowheads="1"/>
        </xdr:cNvSpPr>
      </xdr:nvSpPr>
      <xdr:spPr bwMode="auto">
        <a:xfrm>
          <a:off x="6892119" y="503829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160933" name="ZoneTexte 160932">
          <a:extLst>
            <a:ext uri="{FF2B5EF4-FFF2-40B4-BE49-F238E27FC236}">
              <a16:creationId xmlns:a16="http://schemas.microsoft.com/office/drawing/2014/main" id="{F568ADC8-5DAD-4C12-AC88-C3FCEC0A18FB}"/>
            </a:ext>
          </a:extLst>
        </xdr:cNvPr>
        <xdr:cNvSpPr txBox="1">
          <a:spLocks noChangeArrowheads="1"/>
        </xdr:cNvSpPr>
      </xdr:nvSpPr>
      <xdr:spPr bwMode="auto">
        <a:xfrm>
          <a:off x="6892119" y="2022143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1887940</xdr:rowOff>
    </xdr:to>
    <xdr:sp macro="" textlink="" fLocksText="0">
      <xdr:nvSpPr>
        <xdr:cNvPr id="160953" name="ZoneTexte 160952">
          <a:extLst>
            <a:ext uri="{FF2B5EF4-FFF2-40B4-BE49-F238E27FC236}">
              <a16:creationId xmlns:a16="http://schemas.microsoft.com/office/drawing/2014/main" id="{D43EA55B-F2A2-4D62-B55A-EC4602AF987C}"/>
            </a:ext>
          </a:extLst>
        </xdr:cNvPr>
        <xdr:cNvSpPr txBox="1">
          <a:spLocks noChangeArrowheads="1"/>
        </xdr:cNvSpPr>
      </xdr:nvSpPr>
      <xdr:spPr bwMode="auto">
        <a:xfrm>
          <a:off x="6892119" y="30684716"/>
          <a:ext cx="4548910" cy="1865194"/>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160954" name="ZoneTexte 160953">
          <a:extLst>
            <a:ext uri="{FF2B5EF4-FFF2-40B4-BE49-F238E27FC236}">
              <a16:creationId xmlns:a16="http://schemas.microsoft.com/office/drawing/2014/main" id="{42D2209C-B30B-495C-8DC2-10B29A50C0FA}"/>
            </a:ext>
          </a:extLst>
        </xdr:cNvPr>
        <xdr:cNvSpPr txBox="1">
          <a:spLocks noChangeArrowheads="1"/>
        </xdr:cNvSpPr>
      </xdr:nvSpPr>
      <xdr:spPr bwMode="auto">
        <a:xfrm>
          <a:off x="6892119" y="4554940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34119</xdr:colOff>
      <xdr:row>78</xdr:row>
      <xdr:rowOff>22746</xdr:rowOff>
    </xdr:from>
    <xdr:to>
      <xdr:col>9</xdr:col>
      <xdr:colOff>4583029</xdr:colOff>
      <xdr:row>78</xdr:row>
      <xdr:rowOff>1627565</xdr:rowOff>
    </xdr:to>
    <xdr:sp macro="" textlink="" fLocksText="0">
      <xdr:nvSpPr>
        <xdr:cNvPr id="160955" name="ZoneTexte 160954">
          <a:extLst>
            <a:ext uri="{FF2B5EF4-FFF2-40B4-BE49-F238E27FC236}">
              <a16:creationId xmlns:a16="http://schemas.microsoft.com/office/drawing/2014/main" id="{5CEFF38C-96B3-4071-A736-8C44BBE908DE}"/>
            </a:ext>
          </a:extLst>
        </xdr:cNvPr>
        <xdr:cNvSpPr txBox="1">
          <a:spLocks noChangeArrowheads="1"/>
        </xdr:cNvSpPr>
      </xdr:nvSpPr>
      <xdr:spPr bwMode="auto">
        <a:xfrm>
          <a:off x="6903492" y="57127253"/>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94</xdr:row>
      <xdr:rowOff>22746</xdr:rowOff>
    </xdr:from>
    <xdr:to>
      <xdr:col>9</xdr:col>
      <xdr:colOff>4571656</xdr:colOff>
      <xdr:row>94</xdr:row>
      <xdr:rowOff>1627565</xdr:rowOff>
    </xdr:to>
    <xdr:sp macro="" textlink="" fLocksText="0">
      <xdr:nvSpPr>
        <xdr:cNvPr id="160956" name="ZoneTexte 160955">
          <a:extLst>
            <a:ext uri="{FF2B5EF4-FFF2-40B4-BE49-F238E27FC236}">
              <a16:creationId xmlns:a16="http://schemas.microsoft.com/office/drawing/2014/main" id="{DD0A1F58-0D20-47EE-9655-3EFF9BC1990F}"/>
            </a:ext>
          </a:extLst>
        </xdr:cNvPr>
        <xdr:cNvSpPr txBox="1">
          <a:spLocks noChangeArrowheads="1"/>
        </xdr:cNvSpPr>
      </xdr:nvSpPr>
      <xdr:spPr bwMode="auto">
        <a:xfrm>
          <a:off x="6892119" y="69194149"/>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996461</xdr:colOff>
      <xdr:row>21</xdr:row>
      <xdr:rowOff>102577</xdr:rowOff>
    </xdr:from>
    <xdr:to>
      <xdr:col>6</xdr:col>
      <xdr:colOff>4060336</xdr:colOff>
      <xdr:row>22</xdr:row>
      <xdr:rowOff>130330</xdr:rowOff>
    </xdr:to>
    <xdr:sp macro="[0]!CalculMaturiteVF" textlink="">
      <xdr:nvSpPr>
        <xdr:cNvPr id="2" name="Rectangle : coins arrondis 1">
          <a:extLst>
            <a:ext uri="{FF2B5EF4-FFF2-40B4-BE49-F238E27FC236}">
              <a16:creationId xmlns:a16="http://schemas.microsoft.com/office/drawing/2014/main" id="{00000000-0008-0000-1F00-000002000000}"/>
            </a:ext>
          </a:extLst>
        </xdr:cNvPr>
        <xdr:cNvSpPr/>
      </xdr:nvSpPr>
      <xdr:spPr>
        <a:xfrm>
          <a:off x="3546230" y="8382000"/>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20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20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2000-000005000000}"/>
                </a:ext>
              </a:extLst>
            </xdr:cNvPr>
            <xdr:cNvGrpSpPr/>
          </xdr:nvGrpSpPr>
          <xdr:grpSpPr>
            <a:xfrm>
              <a:off x="3696269" y="5015552"/>
              <a:ext cx="1956179" cy="1649105"/>
              <a:chOff x="2995473" y="3846822"/>
              <a:chExt cx="1960181" cy="1644869"/>
            </a:xfrm>
          </xdr:grpSpPr>
          <xdr:sp macro="" textlink="">
            <xdr:nvSpPr>
              <xdr:cNvPr id="193537" name="Option Button 1" hidden="1">
                <a:extLst>
                  <a:ext uri="{63B3BB69-23CF-44E3-9099-C40C66FF867C}">
                    <a14:compatExt spid="_x0000_s193537"/>
                  </a:ext>
                  <a:ext uri="{FF2B5EF4-FFF2-40B4-BE49-F238E27FC236}">
                    <a16:creationId xmlns:a16="http://schemas.microsoft.com/office/drawing/2014/main" id="{00000000-0008-0000-1F00-000001F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38" name="Option Button 2" hidden="1">
                <a:extLst>
                  <a:ext uri="{63B3BB69-23CF-44E3-9099-C40C66FF867C}">
                    <a14:compatExt spid="_x0000_s193538"/>
                  </a:ext>
                  <a:ext uri="{FF2B5EF4-FFF2-40B4-BE49-F238E27FC236}">
                    <a16:creationId xmlns:a16="http://schemas.microsoft.com/office/drawing/2014/main" id="{00000000-0008-0000-1F00-000002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39" name="Option Button 3" hidden="1">
                <a:extLst>
                  <a:ext uri="{63B3BB69-23CF-44E3-9099-C40C66FF867C}">
                    <a14:compatExt spid="_x0000_s193539"/>
                  </a:ext>
                  <a:ext uri="{FF2B5EF4-FFF2-40B4-BE49-F238E27FC236}">
                    <a16:creationId xmlns:a16="http://schemas.microsoft.com/office/drawing/2014/main" id="{00000000-0008-0000-1F00-000003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40" name="Option Button 4" hidden="1">
                <a:extLst>
                  <a:ext uri="{63B3BB69-23CF-44E3-9099-C40C66FF867C}">
                    <a14:compatExt spid="_x0000_s193540"/>
                  </a:ext>
                  <a:ext uri="{FF2B5EF4-FFF2-40B4-BE49-F238E27FC236}">
                    <a16:creationId xmlns:a16="http://schemas.microsoft.com/office/drawing/2014/main" id="{00000000-0008-0000-1F00-000004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41" name="Group Box 5" hidden="1">
                <a:extLst>
                  <a:ext uri="{63B3BB69-23CF-44E3-9099-C40C66FF867C}">
                    <a14:compatExt spid="_x0000_s193541"/>
                  </a:ext>
                  <a:ext uri="{FF2B5EF4-FFF2-40B4-BE49-F238E27FC236}">
                    <a16:creationId xmlns:a16="http://schemas.microsoft.com/office/drawing/2014/main" id="{00000000-0008-0000-1F00-000005F40200}"/>
                  </a:ext>
                </a:extLst>
              </xdr:cNvPr>
              <xdr:cNvSpPr/>
            </xdr:nvSpPr>
            <xdr:spPr bwMode="auto">
              <a:xfrm>
                <a:off x="2995473" y="3846822"/>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1549830</xdr:rowOff>
    </xdr:to>
    <xdr:sp macro="" textlink="" fLocksText="0">
      <xdr:nvSpPr>
        <xdr:cNvPr id="6" name="ZoneTexte 1">
          <a:extLst>
            <a:ext uri="{FF2B5EF4-FFF2-40B4-BE49-F238E27FC236}">
              <a16:creationId xmlns:a16="http://schemas.microsoft.com/office/drawing/2014/main" id="{00000000-0008-0000-2000-000006000000}"/>
            </a:ext>
          </a:extLst>
        </xdr:cNvPr>
        <xdr:cNvSpPr txBox="1">
          <a:spLocks noChangeArrowheads="1"/>
        </xdr:cNvSpPr>
      </xdr:nvSpPr>
      <xdr:spPr bwMode="auto">
        <a:xfrm>
          <a:off x="6881550" y="8301537"/>
          <a:ext cx="4518715" cy="15269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20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20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8</xdr:col>
          <xdr:colOff>0</xdr:colOff>
          <xdr:row>17</xdr:row>
          <xdr:rowOff>0</xdr:rowOff>
        </xdr:to>
        <xdr:sp macro="" textlink="">
          <xdr:nvSpPr>
            <xdr:cNvPr id="193542" name="Group Box 6" hidden="1">
              <a:extLst>
                <a:ext uri="{63B3BB69-23CF-44E3-9099-C40C66FF867C}">
                  <a14:compatExt spid="_x0000_s193542"/>
                </a:ext>
                <a:ext uri="{FF2B5EF4-FFF2-40B4-BE49-F238E27FC236}">
                  <a16:creationId xmlns:a16="http://schemas.microsoft.com/office/drawing/2014/main" id="{00000000-0008-0000-1F00-000006F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2000-00000A000000}"/>
                </a:ext>
              </a:extLst>
            </xdr:cNvPr>
            <xdr:cNvGrpSpPr/>
          </xdr:nvGrpSpPr>
          <xdr:grpSpPr>
            <a:xfrm>
              <a:off x="3696269" y="3366450"/>
              <a:ext cx="1957768" cy="1651160"/>
              <a:chOff x="3693197" y="3303812"/>
              <a:chExt cx="1959428" cy="1648421"/>
            </a:xfrm>
          </xdr:grpSpPr>
          <xdr:sp macro="" textlink="">
            <xdr:nvSpPr>
              <xdr:cNvPr id="193543" name="Group Box 7" hidden="1">
                <a:extLst>
                  <a:ext uri="{63B3BB69-23CF-44E3-9099-C40C66FF867C}">
                    <a14:compatExt spid="_x0000_s193543"/>
                  </a:ext>
                  <a:ext uri="{FF2B5EF4-FFF2-40B4-BE49-F238E27FC236}">
                    <a16:creationId xmlns:a16="http://schemas.microsoft.com/office/drawing/2014/main" id="{00000000-0008-0000-1F00-000007F40200}"/>
                  </a:ext>
                </a:extLst>
              </xdr:cNvPr>
              <xdr:cNvSpPr/>
            </xdr:nvSpPr>
            <xdr:spPr bwMode="auto">
              <a:xfrm>
                <a:off x="3693197" y="3303812"/>
                <a:ext cx="1959426" cy="1648421"/>
              </a:xfrm>
              <a:prstGeom prst="rect">
                <a:avLst/>
              </a:prstGeom>
              <a:noFill/>
              <a:ln w="9525">
                <a:miter lim="800000"/>
                <a:headEnd/>
                <a:tailEnd/>
              </a:ln>
              <a:extLst>
                <a:ext uri="{909E8E84-426E-40DD-AFC4-6F175D3DCCD1}">
                  <a14:hiddenFill>
                    <a:noFill/>
                  </a14:hiddenFill>
                </a:ext>
              </a:extLst>
            </xdr:spPr>
          </xdr:sp>
          <xdr:sp macro="" textlink="">
            <xdr:nvSpPr>
              <xdr:cNvPr id="193544" name="Option Button 8" descr="Case d'option 47" hidden="1">
                <a:extLst>
                  <a:ext uri="{63B3BB69-23CF-44E3-9099-C40C66FF867C}">
                    <a14:compatExt spid="_x0000_s193544"/>
                  </a:ext>
                  <a:ext uri="{FF2B5EF4-FFF2-40B4-BE49-F238E27FC236}">
                    <a16:creationId xmlns:a16="http://schemas.microsoft.com/office/drawing/2014/main" id="{00000000-0008-0000-1F00-000008F402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45" name="Option Button 9" hidden="1">
                <a:extLst>
                  <a:ext uri="{63B3BB69-23CF-44E3-9099-C40C66FF867C}">
                    <a14:compatExt spid="_x0000_s193545"/>
                  </a:ext>
                  <a:ext uri="{FF2B5EF4-FFF2-40B4-BE49-F238E27FC236}">
                    <a16:creationId xmlns:a16="http://schemas.microsoft.com/office/drawing/2014/main" id="{00000000-0008-0000-1F00-000009F402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46" name="Option Button 10" hidden="1">
                <a:extLst>
                  <a:ext uri="{63B3BB69-23CF-44E3-9099-C40C66FF867C}">
                    <a14:compatExt spid="_x0000_s193546"/>
                  </a:ext>
                  <a:ext uri="{FF2B5EF4-FFF2-40B4-BE49-F238E27FC236}">
                    <a16:creationId xmlns:a16="http://schemas.microsoft.com/office/drawing/2014/main" id="{00000000-0008-0000-1F00-00000AF402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47" name="Option Button 11" hidden="1">
                <a:extLst>
                  <a:ext uri="{63B3BB69-23CF-44E3-9099-C40C66FF867C}">
                    <a14:compatExt spid="_x0000_s193547"/>
                  </a:ext>
                  <a:ext uri="{FF2B5EF4-FFF2-40B4-BE49-F238E27FC236}">
                    <a16:creationId xmlns:a16="http://schemas.microsoft.com/office/drawing/2014/main" id="{00000000-0008-0000-1F00-00000BF402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16</xdr:row>
          <xdr:rowOff>0</xdr:rowOff>
        </xdr:from>
        <xdr:to>
          <xdr:col>8</xdr:col>
          <xdr:colOff>2200</xdr:colOff>
          <xdr:row>17</xdr:row>
          <xdr:rowOff>344</xdr:rowOff>
        </xdr:to>
        <xdr:grpSp>
          <xdr:nvGrpSpPr>
            <xdr:cNvPr id="12" name="Groupe 11">
              <a:extLst>
                <a:ext uri="{FF2B5EF4-FFF2-40B4-BE49-F238E27FC236}">
                  <a16:creationId xmlns:a16="http://schemas.microsoft.com/office/drawing/2014/main" id="{00000000-0008-0000-2000-00000C000000}"/>
                </a:ext>
              </a:extLst>
            </xdr:cNvPr>
            <xdr:cNvGrpSpPr/>
          </xdr:nvGrpSpPr>
          <xdr:grpSpPr>
            <a:xfrm>
              <a:off x="3697726" y="11611970"/>
              <a:ext cx="1956922" cy="1649105"/>
              <a:chOff x="2994655" y="2234214"/>
              <a:chExt cx="1960973" cy="1614638"/>
            </a:xfrm>
          </xdr:grpSpPr>
          <xdr:sp macro="" textlink="">
            <xdr:nvSpPr>
              <xdr:cNvPr id="193553" name="Option Button 17" descr="Case d'option 47" hidden="1">
                <a:extLst>
                  <a:ext uri="{63B3BB69-23CF-44E3-9099-C40C66FF867C}">
                    <a14:compatExt spid="_x0000_s193553"/>
                  </a:ext>
                  <a:ext uri="{FF2B5EF4-FFF2-40B4-BE49-F238E27FC236}">
                    <a16:creationId xmlns:a16="http://schemas.microsoft.com/office/drawing/2014/main" id="{00000000-0008-0000-1F00-000011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54" name="Option Button 18" hidden="1">
                <a:extLst>
                  <a:ext uri="{63B3BB69-23CF-44E3-9099-C40C66FF867C}">
                    <a14:compatExt spid="_x0000_s193554"/>
                  </a:ext>
                  <a:ext uri="{FF2B5EF4-FFF2-40B4-BE49-F238E27FC236}">
                    <a16:creationId xmlns:a16="http://schemas.microsoft.com/office/drawing/2014/main" id="{00000000-0008-0000-1F00-000012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55" name="Option Button 19" hidden="1">
                <a:extLst>
                  <a:ext uri="{63B3BB69-23CF-44E3-9099-C40C66FF867C}">
                    <a14:compatExt spid="_x0000_s193555"/>
                  </a:ext>
                  <a:ext uri="{FF2B5EF4-FFF2-40B4-BE49-F238E27FC236}">
                    <a16:creationId xmlns:a16="http://schemas.microsoft.com/office/drawing/2014/main" id="{00000000-0008-0000-1F00-000013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56" name="Option Button 20" hidden="1">
                <a:extLst>
                  <a:ext uri="{63B3BB69-23CF-44E3-9099-C40C66FF867C}">
                    <a14:compatExt spid="_x0000_s193556"/>
                  </a:ext>
                  <a:ext uri="{FF2B5EF4-FFF2-40B4-BE49-F238E27FC236}">
                    <a16:creationId xmlns:a16="http://schemas.microsoft.com/office/drawing/2014/main" id="{00000000-0008-0000-1F00-000014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57" name="Group Box 21" hidden="1">
                <a:extLst>
                  <a:ext uri="{63B3BB69-23CF-44E3-9099-C40C66FF867C}">
                    <a14:compatExt spid="_x0000_s193557"/>
                  </a:ext>
                  <a:ext uri="{FF2B5EF4-FFF2-40B4-BE49-F238E27FC236}">
                    <a16:creationId xmlns:a16="http://schemas.microsoft.com/office/drawing/2014/main" id="{00000000-0008-0000-1F00-000015F40200}"/>
                  </a:ext>
                </a:extLst>
              </xdr:cNvPr>
              <xdr:cNvSpPr/>
            </xdr:nvSpPr>
            <xdr:spPr bwMode="auto">
              <a:xfrm>
                <a:off x="2994655" y="2234214"/>
                <a:ext cx="1960970" cy="161463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2000-00000D000000}"/>
                </a:ext>
              </a:extLst>
            </xdr:cNvPr>
            <xdr:cNvGrpSpPr/>
          </xdr:nvGrpSpPr>
          <xdr:grpSpPr>
            <a:xfrm>
              <a:off x="3696269" y="9962870"/>
              <a:ext cx="1956179" cy="1649101"/>
              <a:chOff x="2995473" y="3846786"/>
              <a:chExt cx="1960181" cy="1673559"/>
            </a:xfrm>
          </xdr:grpSpPr>
          <xdr:sp macro="" textlink="">
            <xdr:nvSpPr>
              <xdr:cNvPr id="193558" name="Option Button 22" hidden="1">
                <a:extLst>
                  <a:ext uri="{63B3BB69-23CF-44E3-9099-C40C66FF867C}">
                    <a14:compatExt spid="_x0000_s193558"/>
                  </a:ext>
                  <a:ext uri="{FF2B5EF4-FFF2-40B4-BE49-F238E27FC236}">
                    <a16:creationId xmlns:a16="http://schemas.microsoft.com/office/drawing/2014/main" id="{00000000-0008-0000-1F00-000016F402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59" name="Option Button 23" hidden="1">
                <a:extLst>
                  <a:ext uri="{63B3BB69-23CF-44E3-9099-C40C66FF867C}">
                    <a14:compatExt spid="_x0000_s193559"/>
                  </a:ext>
                  <a:ext uri="{FF2B5EF4-FFF2-40B4-BE49-F238E27FC236}">
                    <a16:creationId xmlns:a16="http://schemas.microsoft.com/office/drawing/2014/main" id="{00000000-0008-0000-1F00-000017F40200}"/>
                  </a:ext>
                </a:extLst>
              </xdr:cNvPr>
              <xdr:cNvSpPr/>
            </xdr:nvSpPr>
            <xdr:spPr bwMode="auto">
              <a:xfrm>
                <a:off x="3109748" y="424302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60" name="Option Button 24" hidden="1">
                <a:extLst>
                  <a:ext uri="{63B3BB69-23CF-44E3-9099-C40C66FF867C}">
                    <a14:compatExt spid="_x0000_s193560"/>
                  </a:ext>
                  <a:ext uri="{FF2B5EF4-FFF2-40B4-BE49-F238E27FC236}">
                    <a16:creationId xmlns:a16="http://schemas.microsoft.com/office/drawing/2014/main" id="{00000000-0008-0000-1F00-000018F40200}"/>
                  </a:ext>
                </a:extLst>
              </xdr:cNvPr>
              <xdr:cNvSpPr/>
            </xdr:nvSpPr>
            <xdr:spPr bwMode="auto">
              <a:xfrm>
                <a:off x="3109748" y="448686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61" name="Option Button 25" hidden="1">
                <a:extLst>
                  <a:ext uri="{63B3BB69-23CF-44E3-9099-C40C66FF867C}">
                    <a14:compatExt spid="_x0000_s193561"/>
                  </a:ext>
                  <a:ext uri="{FF2B5EF4-FFF2-40B4-BE49-F238E27FC236}">
                    <a16:creationId xmlns:a16="http://schemas.microsoft.com/office/drawing/2014/main" id="{00000000-0008-0000-1F00-000019F402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62" name="Group Box 26" hidden="1">
                <a:extLst>
                  <a:ext uri="{63B3BB69-23CF-44E3-9099-C40C66FF867C}">
                    <a14:compatExt spid="_x0000_s193562"/>
                  </a:ext>
                  <a:ext uri="{FF2B5EF4-FFF2-40B4-BE49-F238E27FC236}">
                    <a16:creationId xmlns:a16="http://schemas.microsoft.com/office/drawing/2014/main" id="{00000000-0008-0000-1F00-00001AF40200}"/>
                  </a:ext>
                </a:extLst>
              </xdr:cNvPr>
              <xdr:cNvSpPr/>
            </xdr:nvSpPr>
            <xdr:spPr bwMode="auto">
              <a:xfrm>
                <a:off x="2995473" y="3846786"/>
                <a:ext cx="1960181" cy="167355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2000-00000E000000}"/>
                </a:ext>
              </a:extLst>
            </xdr:cNvPr>
            <xdr:cNvGrpSpPr/>
          </xdr:nvGrpSpPr>
          <xdr:grpSpPr>
            <a:xfrm>
              <a:off x="3696269" y="8313761"/>
              <a:ext cx="1956179" cy="1651163"/>
              <a:chOff x="2991502" y="2201912"/>
              <a:chExt cx="1964147" cy="1646925"/>
            </a:xfrm>
            <a:solidFill>
              <a:schemeClr val="accent1"/>
            </a:solidFill>
          </xdr:grpSpPr>
          <xdr:sp macro="" textlink="">
            <xdr:nvSpPr>
              <xdr:cNvPr id="193563" name="Option Button 27" descr="Case d'option 47" hidden="1">
                <a:extLst>
                  <a:ext uri="{63B3BB69-23CF-44E3-9099-C40C66FF867C}">
                    <a14:compatExt spid="_x0000_s193563"/>
                  </a:ext>
                  <a:ext uri="{FF2B5EF4-FFF2-40B4-BE49-F238E27FC236}">
                    <a16:creationId xmlns:a16="http://schemas.microsoft.com/office/drawing/2014/main" id="{00000000-0008-0000-1F00-00001B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64" name="Option Button 28" hidden="1">
                <a:extLst>
                  <a:ext uri="{63B3BB69-23CF-44E3-9099-C40C66FF867C}">
                    <a14:compatExt spid="_x0000_s193564"/>
                  </a:ext>
                  <a:ext uri="{FF2B5EF4-FFF2-40B4-BE49-F238E27FC236}">
                    <a16:creationId xmlns:a16="http://schemas.microsoft.com/office/drawing/2014/main" id="{00000000-0008-0000-1F00-00001CF402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65" name="Option Button 29" hidden="1">
                <a:extLst>
                  <a:ext uri="{63B3BB69-23CF-44E3-9099-C40C66FF867C}">
                    <a14:compatExt spid="_x0000_s193565"/>
                  </a:ext>
                  <a:ext uri="{FF2B5EF4-FFF2-40B4-BE49-F238E27FC236}">
                    <a16:creationId xmlns:a16="http://schemas.microsoft.com/office/drawing/2014/main" id="{00000000-0008-0000-1F00-00001D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66" name="Option Button 30" hidden="1">
                <a:extLst>
                  <a:ext uri="{63B3BB69-23CF-44E3-9099-C40C66FF867C}">
                    <a14:compatExt spid="_x0000_s193566"/>
                  </a:ext>
                  <a:ext uri="{FF2B5EF4-FFF2-40B4-BE49-F238E27FC236}">
                    <a16:creationId xmlns:a16="http://schemas.microsoft.com/office/drawing/2014/main" id="{00000000-0008-0000-1F00-00001E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67" name="Group Box 31" hidden="1">
                <a:extLst>
                  <a:ext uri="{63B3BB69-23CF-44E3-9099-C40C66FF867C}">
                    <a14:compatExt spid="_x0000_s193567"/>
                  </a:ext>
                  <a:ext uri="{FF2B5EF4-FFF2-40B4-BE49-F238E27FC236}">
                    <a16:creationId xmlns:a16="http://schemas.microsoft.com/office/drawing/2014/main" id="{00000000-0008-0000-1F00-00001FF40200}"/>
                  </a:ext>
                </a:extLst>
              </xdr:cNvPr>
              <xdr:cNvSpPr/>
            </xdr:nvSpPr>
            <xdr:spPr bwMode="auto">
              <a:xfrm>
                <a:off x="2991502" y="2201912"/>
                <a:ext cx="196414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2000-00000F000000}"/>
                </a:ext>
              </a:extLst>
            </xdr:cNvPr>
            <xdr:cNvGrpSpPr/>
          </xdr:nvGrpSpPr>
          <xdr:grpSpPr>
            <a:xfrm>
              <a:off x="3696269" y="6664657"/>
              <a:ext cx="1956179" cy="1649104"/>
              <a:chOff x="2994693" y="2201920"/>
              <a:chExt cx="1960968" cy="1646929"/>
            </a:xfrm>
          </xdr:grpSpPr>
          <xdr:sp macro="" textlink="">
            <xdr:nvSpPr>
              <xdr:cNvPr id="193568" name="Option Button 32" descr="Case d'option 47" hidden="1">
                <a:extLst>
                  <a:ext uri="{63B3BB69-23CF-44E3-9099-C40C66FF867C}">
                    <a14:compatExt spid="_x0000_s193568"/>
                  </a:ext>
                  <a:ext uri="{FF2B5EF4-FFF2-40B4-BE49-F238E27FC236}">
                    <a16:creationId xmlns:a16="http://schemas.microsoft.com/office/drawing/2014/main" id="{00000000-0008-0000-1F00-000020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69" name="Option Button 33" hidden="1">
                <a:extLst>
                  <a:ext uri="{63B3BB69-23CF-44E3-9099-C40C66FF867C}">
                    <a14:compatExt spid="_x0000_s193569"/>
                  </a:ext>
                  <a:ext uri="{FF2B5EF4-FFF2-40B4-BE49-F238E27FC236}">
                    <a16:creationId xmlns:a16="http://schemas.microsoft.com/office/drawing/2014/main" id="{00000000-0008-0000-1F00-000021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70" name="Option Button 34" hidden="1">
                <a:extLst>
                  <a:ext uri="{63B3BB69-23CF-44E3-9099-C40C66FF867C}">
                    <a14:compatExt spid="_x0000_s193570"/>
                  </a:ext>
                  <a:ext uri="{FF2B5EF4-FFF2-40B4-BE49-F238E27FC236}">
                    <a16:creationId xmlns:a16="http://schemas.microsoft.com/office/drawing/2014/main" id="{00000000-0008-0000-1F00-000022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71" name="Option Button 35" hidden="1">
                <a:extLst>
                  <a:ext uri="{63B3BB69-23CF-44E3-9099-C40C66FF867C}">
                    <a14:compatExt spid="_x0000_s193571"/>
                  </a:ext>
                  <a:ext uri="{FF2B5EF4-FFF2-40B4-BE49-F238E27FC236}">
                    <a16:creationId xmlns:a16="http://schemas.microsoft.com/office/drawing/2014/main" id="{00000000-0008-0000-1F00-000023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72" name="Group Box 36" hidden="1">
                <a:extLst>
                  <a:ext uri="{63B3BB69-23CF-44E3-9099-C40C66FF867C}">
                    <a14:compatExt spid="_x0000_s193572"/>
                  </a:ext>
                  <a:ext uri="{FF2B5EF4-FFF2-40B4-BE49-F238E27FC236}">
                    <a16:creationId xmlns:a16="http://schemas.microsoft.com/office/drawing/2014/main" id="{00000000-0008-0000-1F00-000024F40200}"/>
                  </a:ext>
                </a:extLst>
              </xdr:cNvPr>
              <xdr:cNvSpPr/>
            </xdr:nvSpPr>
            <xdr:spPr bwMode="auto">
              <a:xfrm>
                <a:off x="2994693" y="2201920"/>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20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2000-000012000000}"/>
                </a:ext>
              </a:extLst>
            </xdr:cNvPr>
            <xdr:cNvGrpSpPr/>
          </xdr:nvGrpSpPr>
          <xdr:grpSpPr>
            <a:xfrm>
              <a:off x="3696269" y="17127940"/>
              <a:ext cx="1956179" cy="1774209"/>
              <a:chOff x="2995473" y="3846793"/>
              <a:chExt cx="1960181" cy="1644872"/>
            </a:xfrm>
          </xdr:grpSpPr>
          <xdr:sp macro="" textlink="">
            <xdr:nvSpPr>
              <xdr:cNvPr id="193573" name="Option Button 37" hidden="1">
                <a:extLst>
                  <a:ext uri="{63B3BB69-23CF-44E3-9099-C40C66FF867C}">
                    <a14:compatExt spid="_x0000_s193573"/>
                  </a:ext>
                  <a:ext uri="{FF2B5EF4-FFF2-40B4-BE49-F238E27FC236}">
                    <a16:creationId xmlns:a16="http://schemas.microsoft.com/office/drawing/2014/main" id="{00000000-0008-0000-1F00-000025F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74" name="Option Button 38" hidden="1">
                <a:extLst>
                  <a:ext uri="{63B3BB69-23CF-44E3-9099-C40C66FF867C}">
                    <a14:compatExt spid="_x0000_s193574"/>
                  </a:ext>
                  <a:ext uri="{FF2B5EF4-FFF2-40B4-BE49-F238E27FC236}">
                    <a16:creationId xmlns:a16="http://schemas.microsoft.com/office/drawing/2014/main" id="{00000000-0008-0000-1F00-000026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75" name="Option Button 39" hidden="1">
                <a:extLst>
                  <a:ext uri="{63B3BB69-23CF-44E3-9099-C40C66FF867C}">
                    <a14:compatExt spid="_x0000_s193575"/>
                  </a:ext>
                  <a:ext uri="{FF2B5EF4-FFF2-40B4-BE49-F238E27FC236}">
                    <a16:creationId xmlns:a16="http://schemas.microsoft.com/office/drawing/2014/main" id="{00000000-0008-0000-1F00-000027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76" name="Option Button 40" hidden="1">
                <a:extLst>
                  <a:ext uri="{63B3BB69-23CF-44E3-9099-C40C66FF867C}">
                    <a14:compatExt spid="_x0000_s193576"/>
                  </a:ext>
                  <a:ext uri="{FF2B5EF4-FFF2-40B4-BE49-F238E27FC236}">
                    <a16:creationId xmlns:a16="http://schemas.microsoft.com/office/drawing/2014/main" id="{00000000-0008-0000-1F00-000028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77" name="Group Box 41" hidden="1">
                <a:extLst>
                  <a:ext uri="{63B3BB69-23CF-44E3-9099-C40C66FF867C}">
                    <a14:compatExt spid="_x0000_s193577"/>
                  </a:ext>
                  <a:ext uri="{FF2B5EF4-FFF2-40B4-BE49-F238E27FC236}">
                    <a16:creationId xmlns:a16="http://schemas.microsoft.com/office/drawing/2014/main" id="{00000000-0008-0000-1F00-000029F40200}"/>
                  </a:ext>
                </a:extLst>
              </xdr:cNvPr>
              <xdr:cNvSpPr/>
            </xdr:nvSpPr>
            <xdr:spPr bwMode="auto">
              <a:xfrm>
                <a:off x="2995473" y="3846793"/>
                <a:ext cx="1960181" cy="164487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20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20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20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20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20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2000-00001A000000}"/>
                </a:ext>
              </a:extLst>
            </xdr:cNvPr>
            <xdr:cNvGrpSpPr/>
          </xdr:nvGrpSpPr>
          <xdr:grpSpPr>
            <a:xfrm>
              <a:off x="3696269" y="22689406"/>
              <a:ext cx="1956179" cy="1649101"/>
              <a:chOff x="2995473" y="3846816"/>
              <a:chExt cx="1960181" cy="1644865"/>
            </a:xfrm>
          </xdr:grpSpPr>
          <xdr:sp macro="" textlink="">
            <xdr:nvSpPr>
              <xdr:cNvPr id="193589" name="Option Button 53" hidden="1">
                <a:extLst>
                  <a:ext uri="{63B3BB69-23CF-44E3-9099-C40C66FF867C}">
                    <a14:compatExt spid="_x0000_s193589"/>
                  </a:ext>
                  <a:ext uri="{FF2B5EF4-FFF2-40B4-BE49-F238E27FC236}">
                    <a16:creationId xmlns:a16="http://schemas.microsoft.com/office/drawing/2014/main" id="{00000000-0008-0000-1F00-000035F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90" name="Option Button 54" hidden="1">
                <a:extLst>
                  <a:ext uri="{63B3BB69-23CF-44E3-9099-C40C66FF867C}">
                    <a14:compatExt spid="_x0000_s193590"/>
                  </a:ext>
                  <a:ext uri="{FF2B5EF4-FFF2-40B4-BE49-F238E27FC236}">
                    <a16:creationId xmlns:a16="http://schemas.microsoft.com/office/drawing/2014/main" id="{00000000-0008-0000-1F00-000036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91" name="Option Button 55" hidden="1">
                <a:extLst>
                  <a:ext uri="{63B3BB69-23CF-44E3-9099-C40C66FF867C}">
                    <a14:compatExt spid="_x0000_s193591"/>
                  </a:ext>
                  <a:ext uri="{FF2B5EF4-FFF2-40B4-BE49-F238E27FC236}">
                    <a16:creationId xmlns:a16="http://schemas.microsoft.com/office/drawing/2014/main" id="{00000000-0008-0000-1F00-000037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92" name="Option Button 56" hidden="1">
                <a:extLst>
                  <a:ext uri="{63B3BB69-23CF-44E3-9099-C40C66FF867C}">
                    <a14:compatExt spid="_x0000_s193592"/>
                  </a:ext>
                  <a:ext uri="{FF2B5EF4-FFF2-40B4-BE49-F238E27FC236}">
                    <a16:creationId xmlns:a16="http://schemas.microsoft.com/office/drawing/2014/main" id="{00000000-0008-0000-1F00-000038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93" name="Group Box 57" hidden="1">
                <a:extLst>
                  <a:ext uri="{63B3BB69-23CF-44E3-9099-C40C66FF867C}">
                    <a14:compatExt spid="_x0000_s193593"/>
                  </a:ext>
                  <a:ext uri="{FF2B5EF4-FFF2-40B4-BE49-F238E27FC236}">
                    <a16:creationId xmlns:a16="http://schemas.microsoft.com/office/drawing/2014/main" id="{00000000-0008-0000-1F00-000039F40200}"/>
                  </a:ext>
                </a:extLst>
              </xdr:cNvPr>
              <xdr:cNvSpPr/>
            </xdr:nvSpPr>
            <xdr:spPr bwMode="auto">
              <a:xfrm>
                <a:off x="2995473" y="3846816"/>
                <a:ext cx="1960181" cy="164486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559</xdr:colOff>
          <xdr:row>30</xdr:row>
          <xdr:rowOff>307</xdr:rowOff>
        </xdr:from>
        <xdr:to>
          <xdr:col>7</xdr:col>
          <xdr:colOff>1958959</xdr:colOff>
          <xdr:row>31</xdr:row>
          <xdr:rowOff>2058</xdr:rowOff>
        </xdr:to>
        <xdr:grpSp>
          <xdr:nvGrpSpPr>
            <xdr:cNvPr id="27" name="Groupe 26">
              <a:extLst>
                <a:ext uri="{FF2B5EF4-FFF2-40B4-BE49-F238E27FC236}">
                  <a16:creationId xmlns:a16="http://schemas.microsoft.com/office/drawing/2014/main" id="{00000000-0008-0000-2000-00001B000000}"/>
                </a:ext>
              </a:extLst>
            </xdr:cNvPr>
            <xdr:cNvGrpSpPr/>
          </xdr:nvGrpSpPr>
          <xdr:grpSpPr>
            <a:xfrm>
              <a:off x="3696828" y="20551561"/>
              <a:ext cx="1958400" cy="2139900"/>
              <a:chOff x="2994658" y="2201916"/>
              <a:chExt cx="1960970" cy="1646925"/>
            </a:xfrm>
          </xdr:grpSpPr>
          <xdr:sp macro="" textlink="">
            <xdr:nvSpPr>
              <xdr:cNvPr id="193594" name="Option Button 58" descr="Case d'option 47" hidden="1">
                <a:extLst>
                  <a:ext uri="{63B3BB69-23CF-44E3-9099-C40C66FF867C}">
                    <a14:compatExt spid="_x0000_s193594"/>
                  </a:ext>
                  <a:ext uri="{FF2B5EF4-FFF2-40B4-BE49-F238E27FC236}">
                    <a16:creationId xmlns:a16="http://schemas.microsoft.com/office/drawing/2014/main" id="{00000000-0008-0000-1F00-00003AF402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595" name="Option Button 59" hidden="1">
                <a:extLst>
                  <a:ext uri="{63B3BB69-23CF-44E3-9099-C40C66FF867C}">
                    <a14:compatExt spid="_x0000_s193595"/>
                  </a:ext>
                  <a:ext uri="{FF2B5EF4-FFF2-40B4-BE49-F238E27FC236}">
                    <a16:creationId xmlns:a16="http://schemas.microsoft.com/office/drawing/2014/main" id="{00000000-0008-0000-1F00-00003BF40200}"/>
                  </a:ext>
                </a:extLst>
              </xdr:cNvPr>
              <xdr:cNvSpPr/>
            </xdr:nvSpPr>
            <xdr:spPr bwMode="auto">
              <a:xfrm>
                <a:off x="3102128" y="250255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596" name="Option Button 60" hidden="1">
                <a:extLst>
                  <a:ext uri="{63B3BB69-23CF-44E3-9099-C40C66FF867C}">
                    <a14:compatExt spid="_x0000_s193596"/>
                  </a:ext>
                  <a:ext uri="{FF2B5EF4-FFF2-40B4-BE49-F238E27FC236}">
                    <a16:creationId xmlns:a16="http://schemas.microsoft.com/office/drawing/2014/main" id="{00000000-0008-0000-1F00-00003CF40200}"/>
                  </a:ext>
                </a:extLst>
              </xdr:cNvPr>
              <xdr:cNvSpPr/>
            </xdr:nvSpPr>
            <xdr:spPr bwMode="auto">
              <a:xfrm>
                <a:off x="3102128" y="2742236"/>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597" name="Option Button 61" hidden="1">
                <a:extLst>
                  <a:ext uri="{63B3BB69-23CF-44E3-9099-C40C66FF867C}">
                    <a14:compatExt spid="_x0000_s193597"/>
                  </a:ext>
                  <a:ext uri="{FF2B5EF4-FFF2-40B4-BE49-F238E27FC236}">
                    <a16:creationId xmlns:a16="http://schemas.microsoft.com/office/drawing/2014/main" id="{00000000-0008-0000-1F00-00003DF40200}"/>
                  </a:ext>
                </a:extLst>
              </xdr:cNvPr>
              <xdr:cNvSpPr/>
            </xdr:nvSpPr>
            <xdr:spPr bwMode="auto">
              <a:xfrm>
                <a:off x="3102128" y="2959054"/>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598" name="Group Box 62" hidden="1">
                <a:extLst>
                  <a:ext uri="{63B3BB69-23CF-44E3-9099-C40C66FF867C}">
                    <a14:compatExt spid="_x0000_s193598"/>
                  </a:ext>
                  <a:ext uri="{FF2B5EF4-FFF2-40B4-BE49-F238E27FC236}">
                    <a16:creationId xmlns:a16="http://schemas.microsoft.com/office/drawing/2014/main" id="{00000000-0008-0000-1F00-00003EF40200}"/>
                  </a:ext>
                </a:extLst>
              </xdr:cNvPr>
              <xdr:cNvSpPr/>
            </xdr:nvSpPr>
            <xdr:spPr bwMode="auto">
              <a:xfrm>
                <a:off x="2994658" y="2201916"/>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2000-00001C000000}"/>
                </a:ext>
              </a:extLst>
            </xdr:cNvPr>
            <xdr:cNvGrpSpPr/>
          </xdr:nvGrpSpPr>
          <xdr:grpSpPr>
            <a:xfrm>
              <a:off x="3696269" y="18902149"/>
              <a:ext cx="1956179" cy="1649105"/>
              <a:chOff x="2994693" y="2201920"/>
              <a:chExt cx="1960968" cy="1646923"/>
            </a:xfrm>
          </xdr:grpSpPr>
          <xdr:sp macro="" textlink="">
            <xdr:nvSpPr>
              <xdr:cNvPr id="193599" name="Option Button 63" descr="Case d'option 47" hidden="1">
                <a:extLst>
                  <a:ext uri="{63B3BB69-23CF-44E3-9099-C40C66FF867C}">
                    <a14:compatExt spid="_x0000_s193599"/>
                  </a:ext>
                  <a:ext uri="{FF2B5EF4-FFF2-40B4-BE49-F238E27FC236}">
                    <a16:creationId xmlns:a16="http://schemas.microsoft.com/office/drawing/2014/main" id="{00000000-0008-0000-1F00-00003F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00" name="Option Button 64" hidden="1">
                <a:extLst>
                  <a:ext uri="{63B3BB69-23CF-44E3-9099-C40C66FF867C}">
                    <a14:compatExt spid="_x0000_s193600"/>
                  </a:ext>
                  <a:ext uri="{FF2B5EF4-FFF2-40B4-BE49-F238E27FC236}">
                    <a16:creationId xmlns:a16="http://schemas.microsoft.com/office/drawing/2014/main" id="{00000000-0008-0000-1F00-000040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01" name="Option Button 65" hidden="1">
                <a:extLst>
                  <a:ext uri="{63B3BB69-23CF-44E3-9099-C40C66FF867C}">
                    <a14:compatExt spid="_x0000_s193601"/>
                  </a:ext>
                  <a:ext uri="{FF2B5EF4-FFF2-40B4-BE49-F238E27FC236}">
                    <a16:creationId xmlns:a16="http://schemas.microsoft.com/office/drawing/2014/main" id="{00000000-0008-0000-1F00-000041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02" name="Option Button 66" hidden="1">
                <a:extLst>
                  <a:ext uri="{63B3BB69-23CF-44E3-9099-C40C66FF867C}">
                    <a14:compatExt spid="_x0000_s193602"/>
                  </a:ext>
                  <a:ext uri="{FF2B5EF4-FFF2-40B4-BE49-F238E27FC236}">
                    <a16:creationId xmlns:a16="http://schemas.microsoft.com/office/drawing/2014/main" id="{00000000-0008-0000-1F00-000042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03" name="Group Box 67" hidden="1">
                <a:extLst>
                  <a:ext uri="{63B3BB69-23CF-44E3-9099-C40C66FF867C}">
                    <a14:compatExt spid="_x0000_s193603"/>
                  </a:ext>
                  <a:ext uri="{FF2B5EF4-FFF2-40B4-BE49-F238E27FC236}">
                    <a16:creationId xmlns:a16="http://schemas.microsoft.com/office/drawing/2014/main" id="{00000000-0008-0000-1F00-000043F40200}"/>
                  </a:ext>
                </a:extLst>
              </xdr:cNvPr>
              <xdr:cNvSpPr/>
            </xdr:nvSpPr>
            <xdr:spPr bwMode="auto">
              <a:xfrm>
                <a:off x="2994693" y="2201920"/>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20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2000-00001E000000}"/>
                </a:ext>
              </a:extLst>
            </xdr:cNvPr>
            <xdr:cNvGrpSpPr/>
          </xdr:nvGrpSpPr>
          <xdr:grpSpPr>
            <a:xfrm>
              <a:off x="3696269" y="26556269"/>
              <a:ext cx="1956179" cy="2151577"/>
              <a:chOff x="2994697" y="2201917"/>
              <a:chExt cx="1960968" cy="1646922"/>
            </a:xfrm>
          </xdr:grpSpPr>
          <xdr:sp macro="" textlink="">
            <xdr:nvSpPr>
              <xdr:cNvPr id="193604" name="Option Button 68" descr="Case d'option 47" hidden="1">
                <a:extLst>
                  <a:ext uri="{63B3BB69-23CF-44E3-9099-C40C66FF867C}">
                    <a14:compatExt spid="_x0000_s193604"/>
                  </a:ext>
                  <a:ext uri="{FF2B5EF4-FFF2-40B4-BE49-F238E27FC236}">
                    <a16:creationId xmlns:a16="http://schemas.microsoft.com/office/drawing/2014/main" id="{00000000-0008-0000-1F00-000044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05" name="Option Button 69" hidden="1">
                <a:extLst>
                  <a:ext uri="{63B3BB69-23CF-44E3-9099-C40C66FF867C}">
                    <a14:compatExt spid="_x0000_s193605"/>
                  </a:ext>
                  <a:ext uri="{FF2B5EF4-FFF2-40B4-BE49-F238E27FC236}">
                    <a16:creationId xmlns:a16="http://schemas.microsoft.com/office/drawing/2014/main" id="{00000000-0008-0000-1F00-000045F40200}"/>
                  </a:ext>
                </a:extLst>
              </xdr:cNvPr>
              <xdr:cNvSpPr/>
            </xdr:nvSpPr>
            <xdr:spPr bwMode="auto">
              <a:xfrm>
                <a:off x="3102128" y="2502655"/>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06" name="Option Button 70" hidden="1">
                <a:extLst>
                  <a:ext uri="{63B3BB69-23CF-44E3-9099-C40C66FF867C}">
                    <a14:compatExt spid="_x0000_s193606"/>
                  </a:ext>
                  <a:ext uri="{FF2B5EF4-FFF2-40B4-BE49-F238E27FC236}">
                    <a16:creationId xmlns:a16="http://schemas.microsoft.com/office/drawing/2014/main" id="{00000000-0008-0000-1F00-000046F40200}"/>
                  </a:ext>
                </a:extLst>
              </xdr:cNvPr>
              <xdr:cNvSpPr/>
            </xdr:nvSpPr>
            <xdr:spPr bwMode="auto">
              <a:xfrm>
                <a:off x="3102128" y="2742434"/>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07" name="Option Button 71" hidden="1">
                <a:extLst>
                  <a:ext uri="{63B3BB69-23CF-44E3-9099-C40C66FF867C}">
                    <a14:compatExt spid="_x0000_s193607"/>
                  </a:ext>
                  <a:ext uri="{FF2B5EF4-FFF2-40B4-BE49-F238E27FC236}">
                    <a16:creationId xmlns:a16="http://schemas.microsoft.com/office/drawing/2014/main" id="{00000000-0008-0000-1F00-000047F40200}"/>
                  </a:ext>
                </a:extLst>
              </xdr:cNvPr>
              <xdr:cNvSpPr/>
            </xdr:nvSpPr>
            <xdr:spPr bwMode="auto">
              <a:xfrm>
                <a:off x="3102128" y="2959352"/>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08" name="Group Box 72" hidden="1">
                <a:extLst>
                  <a:ext uri="{63B3BB69-23CF-44E3-9099-C40C66FF867C}">
                    <a14:compatExt spid="_x0000_s193608"/>
                  </a:ext>
                  <a:ext uri="{FF2B5EF4-FFF2-40B4-BE49-F238E27FC236}">
                    <a16:creationId xmlns:a16="http://schemas.microsoft.com/office/drawing/2014/main" id="{00000000-0008-0000-1F00-000048F40200}"/>
                  </a:ext>
                </a:extLst>
              </xdr:cNvPr>
              <xdr:cNvSpPr/>
            </xdr:nvSpPr>
            <xdr:spPr bwMode="auto">
              <a:xfrm>
                <a:off x="2994697" y="220191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20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2000-000021000000}"/>
                </a:ext>
              </a:extLst>
            </xdr:cNvPr>
            <xdr:cNvGrpSpPr/>
          </xdr:nvGrpSpPr>
          <xdr:grpSpPr>
            <a:xfrm>
              <a:off x="3696269" y="28705791"/>
              <a:ext cx="1956179" cy="1649105"/>
              <a:chOff x="2995473" y="3846769"/>
              <a:chExt cx="1960181" cy="1644868"/>
            </a:xfrm>
          </xdr:grpSpPr>
          <xdr:sp macro="" textlink="">
            <xdr:nvSpPr>
              <xdr:cNvPr id="193609" name="Option Button 73" hidden="1">
                <a:extLst>
                  <a:ext uri="{63B3BB69-23CF-44E3-9099-C40C66FF867C}">
                    <a14:compatExt spid="_x0000_s193609"/>
                  </a:ext>
                  <a:ext uri="{FF2B5EF4-FFF2-40B4-BE49-F238E27FC236}">
                    <a16:creationId xmlns:a16="http://schemas.microsoft.com/office/drawing/2014/main" id="{00000000-0008-0000-1F00-000049F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10" name="Option Button 74" hidden="1">
                <a:extLst>
                  <a:ext uri="{63B3BB69-23CF-44E3-9099-C40C66FF867C}">
                    <a14:compatExt spid="_x0000_s193610"/>
                  </a:ext>
                  <a:ext uri="{FF2B5EF4-FFF2-40B4-BE49-F238E27FC236}">
                    <a16:creationId xmlns:a16="http://schemas.microsoft.com/office/drawing/2014/main" id="{00000000-0008-0000-1F00-00004A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11" name="Option Button 75" hidden="1">
                <a:extLst>
                  <a:ext uri="{63B3BB69-23CF-44E3-9099-C40C66FF867C}">
                    <a14:compatExt spid="_x0000_s193611"/>
                  </a:ext>
                  <a:ext uri="{FF2B5EF4-FFF2-40B4-BE49-F238E27FC236}">
                    <a16:creationId xmlns:a16="http://schemas.microsoft.com/office/drawing/2014/main" id="{00000000-0008-0000-1F00-00004B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12" name="Option Button 76" hidden="1">
                <a:extLst>
                  <a:ext uri="{63B3BB69-23CF-44E3-9099-C40C66FF867C}">
                    <a14:compatExt spid="_x0000_s193612"/>
                  </a:ext>
                  <a:ext uri="{FF2B5EF4-FFF2-40B4-BE49-F238E27FC236}">
                    <a16:creationId xmlns:a16="http://schemas.microsoft.com/office/drawing/2014/main" id="{00000000-0008-0000-1F00-00004C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13" name="Group Box 77" hidden="1">
                <a:extLst>
                  <a:ext uri="{63B3BB69-23CF-44E3-9099-C40C66FF867C}">
                    <a14:compatExt spid="_x0000_s193613"/>
                  </a:ext>
                  <a:ext uri="{FF2B5EF4-FFF2-40B4-BE49-F238E27FC236}">
                    <a16:creationId xmlns:a16="http://schemas.microsoft.com/office/drawing/2014/main" id="{00000000-0008-0000-1F00-00004DF40200}"/>
                  </a:ext>
                </a:extLst>
              </xdr:cNvPr>
              <xdr:cNvSpPr/>
            </xdr:nvSpPr>
            <xdr:spPr bwMode="auto">
              <a:xfrm>
                <a:off x="2995473" y="3846769"/>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20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20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2000-000024000000}"/>
                </a:ext>
              </a:extLst>
            </xdr:cNvPr>
            <xdr:cNvGrpSpPr/>
          </xdr:nvGrpSpPr>
          <xdr:grpSpPr>
            <a:xfrm>
              <a:off x="3696506" y="32004000"/>
              <a:ext cx="1955942" cy="1522150"/>
              <a:chOff x="2994693" y="2201918"/>
              <a:chExt cx="1960968" cy="1646925"/>
            </a:xfrm>
          </xdr:grpSpPr>
          <xdr:sp macro="" textlink="">
            <xdr:nvSpPr>
              <xdr:cNvPr id="193614" name="Option Button 78" descr="Case d'option 47" hidden="1">
                <a:extLst>
                  <a:ext uri="{63B3BB69-23CF-44E3-9099-C40C66FF867C}">
                    <a14:compatExt spid="_x0000_s193614"/>
                  </a:ext>
                  <a:ext uri="{FF2B5EF4-FFF2-40B4-BE49-F238E27FC236}">
                    <a16:creationId xmlns:a16="http://schemas.microsoft.com/office/drawing/2014/main" id="{00000000-0008-0000-1F00-00004E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15" name="Option Button 79" hidden="1">
                <a:extLst>
                  <a:ext uri="{63B3BB69-23CF-44E3-9099-C40C66FF867C}">
                    <a14:compatExt spid="_x0000_s193615"/>
                  </a:ext>
                  <a:ext uri="{FF2B5EF4-FFF2-40B4-BE49-F238E27FC236}">
                    <a16:creationId xmlns:a16="http://schemas.microsoft.com/office/drawing/2014/main" id="{00000000-0008-0000-1F00-00004F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16" name="Option Button 80" hidden="1">
                <a:extLst>
                  <a:ext uri="{63B3BB69-23CF-44E3-9099-C40C66FF867C}">
                    <a14:compatExt spid="_x0000_s193616"/>
                  </a:ext>
                  <a:ext uri="{FF2B5EF4-FFF2-40B4-BE49-F238E27FC236}">
                    <a16:creationId xmlns:a16="http://schemas.microsoft.com/office/drawing/2014/main" id="{00000000-0008-0000-1F00-000050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17" name="Option Button 81" hidden="1">
                <a:extLst>
                  <a:ext uri="{63B3BB69-23CF-44E3-9099-C40C66FF867C}">
                    <a14:compatExt spid="_x0000_s193617"/>
                  </a:ext>
                  <a:ext uri="{FF2B5EF4-FFF2-40B4-BE49-F238E27FC236}">
                    <a16:creationId xmlns:a16="http://schemas.microsoft.com/office/drawing/2014/main" id="{00000000-0008-0000-1F00-000051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18" name="Group Box 82" hidden="1">
                <a:extLst>
                  <a:ext uri="{63B3BB69-23CF-44E3-9099-C40C66FF867C}">
                    <a14:compatExt spid="_x0000_s193618"/>
                  </a:ext>
                  <a:ext uri="{FF2B5EF4-FFF2-40B4-BE49-F238E27FC236}">
                    <a16:creationId xmlns:a16="http://schemas.microsoft.com/office/drawing/2014/main" id="{00000000-0008-0000-1F00-000052F40200}"/>
                  </a:ext>
                </a:extLst>
              </xdr:cNvPr>
              <xdr:cNvSpPr/>
            </xdr:nvSpPr>
            <xdr:spPr bwMode="auto">
              <a:xfrm>
                <a:off x="2994693"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2000-000025000000}"/>
                </a:ext>
              </a:extLst>
            </xdr:cNvPr>
            <xdr:cNvGrpSpPr/>
          </xdr:nvGrpSpPr>
          <xdr:grpSpPr>
            <a:xfrm>
              <a:off x="3696269" y="30354896"/>
              <a:ext cx="1956179" cy="1649104"/>
              <a:chOff x="2994693" y="2201897"/>
              <a:chExt cx="1960968" cy="1646922"/>
            </a:xfrm>
          </xdr:grpSpPr>
          <xdr:sp macro="" textlink="">
            <xdr:nvSpPr>
              <xdr:cNvPr id="193619" name="Option Button 83" descr="Case d'option 47" hidden="1">
                <a:extLst>
                  <a:ext uri="{63B3BB69-23CF-44E3-9099-C40C66FF867C}">
                    <a14:compatExt spid="_x0000_s193619"/>
                  </a:ext>
                  <a:ext uri="{FF2B5EF4-FFF2-40B4-BE49-F238E27FC236}">
                    <a16:creationId xmlns:a16="http://schemas.microsoft.com/office/drawing/2014/main" id="{00000000-0008-0000-1F00-000053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20" name="Option Button 84" hidden="1">
                <a:extLst>
                  <a:ext uri="{63B3BB69-23CF-44E3-9099-C40C66FF867C}">
                    <a14:compatExt spid="_x0000_s193620"/>
                  </a:ext>
                  <a:ext uri="{FF2B5EF4-FFF2-40B4-BE49-F238E27FC236}">
                    <a16:creationId xmlns:a16="http://schemas.microsoft.com/office/drawing/2014/main" id="{00000000-0008-0000-1F00-000054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21" name="Option Button 85" hidden="1">
                <a:extLst>
                  <a:ext uri="{63B3BB69-23CF-44E3-9099-C40C66FF867C}">
                    <a14:compatExt spid="_x0000_s193621"/>
                  </a:ext>
                  <a:ext uri="{FF2B5EF4-FFF2-40B4-BE49-F238E27FC236}">
                    <a16:creationId xmlns:a16="http://schemas.microsoft.com/office/drawing/2014/main" id="{00000000-0008-0000-1F00-000055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22" name="Option Button 86" hidden="1">
                <a:extLst>
                  <a:ext uri="{63B3BB69-23CF-44E3-9099-C40C66FF867C}">
                    <a14:compatExt spid="_x0000_s193622"/>
                  </a:ext>
                  <a:ext uri="{FF2B5EF4-FFF2-40B4-BE49-F238E27FC236}">
                    <a16:creationId xmlns:a16="http://schemas.microsoft.com/office/drawing/2014/main" id="{00000000-0008-0000-1F00-000056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23" name="Group Box 87" hidden="1">
                <a:extLst>
                  <a:ext uri="{63B3BB69-23CF-44E3-9099-C40C66FF867C}">
                    <a14:compatExt spid="_x0000_s193623"/>
                  </a:ext>
                  <a:ext uri="{FF2B5EF4-FFF2-40B4-BE49-F238E27FC236}">
                    <a16:creationId xmlns:a16="http://schemas.microsoft.com/office/drawing/2014/main" id="{00000000-0008-0000-1F00-000057F40200}"/>
                  </a:ext>
                </a:extLst>
              </xdr:cNvPr>
              <xdr:cNvSpPr/>
            </xdr:nvSpPr>
            <xdr:spPr bwMode="auto">
              <a:xfrm>
                <a:off x="2994693" y="220189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20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2000-000028000000}"/>
                </a:ext>
              </a:extLst>
            </xdr:cNvPr>
            <xdr:cNvGrpSpPr/>
          </xdr:nvGrpSpPr>
          <xdr:grpSpPr>
            <a:xfrm>
              <a:off x="3696269" y="44639552"/>
              <a:ext cx="1956179" cy="1649105"/>
              <a:chOff x="2995473" y="3846774"/>
              <a:chExt cx="1960181" cy="1644868"/>
            </a:xfrm>
          </xdr:grpSpPr>
          <xdr:sp macro="" textlink="">
            <xdr:nvSpPr>
              <xdr:cNvPr id="193624" name="Option Button 88" hidden="1">
                <a:extLst>
                  <a:ext uri="{63B3BB69-23CF-44E3-9099-C40C66FF867C}">
                    <a14:compatExt spid="_x0000_s193624"/>
                  </a:ext>
                  <a:ext uri="{FF2B5EF4-FFF2-40B4-BE49-F238E27FC236}">
                    <a16:creationId xmlns:a16="http://schemas.microsoft.com/office/drawing/2014/main" id="{00000000-0008-0000-1F00-000058F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25" name="Option Button 89" hidden="1">
                <a:extLst>
                  <a:ext uri="{63B3BB69-23CF-44E3-9099-C40C66FF867C}">
                    <a14:compatExt spid="_x0000_s193625"/>
                  </a:ext>
                  <a:ext uri="{FF2B5EF4-FFF2-40B4-BE49-F238E27FC236}">
                    <a16:creationId xmlns:a16="http://schemas.microsoft.com/office/drawing/2014/main" id="{00000000-0008-0000-1F00-000059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26" name="Option Button 90" hidden="1">
                <a:extLst>
                  <a:ext uri="{63B3BB69-23CF-44E3-9099-C40C66FF867C}">
                    <a14:compatExt spid="_x0000_s193626"/>
                  </a:ext>
                  <a:ext uri="{FF2B5EF4-FFF2-40B4-BE49-F238E27FC236}">
                    <a16:creationId xmlns:a16="http://schemas.microsoft.com/office/drawing/2014/main" id="{00000000-0008-0000-1F00-00005A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27" name="Option Button 91" hidden="1">
                <a:extLst>
                  <a:ext uri="{63B3BB69-23CF-44E3-9099-C40C66FF867C}">
                    <a14:compatExt spid="_x0000_s193627"/>
                  </a:ext>
                  <a:ext uri="{FF2B5EF4-FFF2-40B4-BE49-F238E27FC236}">
                    <a16:creationId xmlns:a16="http://schemas.microsoft.com/office/drawing/2014/main" id="{00000000-0008-0000-1F00-00005B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28" name="Group Box 92" hidden="1">
                <a:extLst>
                  <a:ext uri="{63B3BB69-23CF-44E3-9099-C40C66FF867C}">
                    <a14:compatExt spid="_x0000_s193628"/>
                  </a:ext>
                  <a:ext uri="{FF2B5EF4-FFF2-40B4-BE49-F238E27FC236}">
                    <a16:creationId xmlns:a16="http://schemas.microsoft.com/office/drawing/2014/main" id="{00000000-0008-0000-1F00-00005CF40200}"/>
                  </a:ext>
                </a:extLst>
              </xdr:cNvPr>
              <xdr:cNvSpPr/>
            </xdr:nvSpPr>
            <xdr:spPr bwMode="auto">
              <a:xfrm>
                <a:off x="2995473" y="3846774"/>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2000-000029000000}"/>
                </a:ext>
              </a:extLst>
            </xdr:cNvPr>
            <xdr:cNvGrpSpPr/>
          </xdr:nvGrpSpPr>
          <xdr:grpSpPr>
            <a:xfrm>
              <a:off x="3696269" y="42990448"/>
              <a:ext cx="1956179" cy="1651159"/>
              <a:chOff x="2994697" y="2201915"/>
              <a:chExt cx="1960968" cy="1646922"/>
            </a:xfrm>
          </xdr:grpSpPr>
          <xdr:sp macro="" textlink="">
            <xdr:nvSpPr>
              <xdr:cNvPr id="193629" name="Option Button 93" descr="Case d'option 47" hidden="1">
                <a:extLst>
                  <a:ext uri="{63B3BB69-23CF-44E3-9099-C40C66FF867C}">
                    <a14:compatExt spid="_x0000_s193629"/>
                  </a:ext>
                  <a:ext uri="{FF2B5EF4-FFF2-40B4-BE49-F238E27FC236}">
                    <a16:creationId xmlns:a16="http://schemas.microsoft.com/office/drawing/2014/main" id="{00000000-0008-0000-1F00-00005D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30" name="Option Button 94" hidden="1">
                <a:extLst>
                  <a:ext uri="{63B3BB69-23CF-44E3-9099-C40C66FF867C}">
                    <a14:compatExt spid="_x0000_s193630"/>
                  </a:ext>
                  <a:ext uri="{FF2B5EF4-FFF2-40B4-BE49-F238E27FC236}">
                    <a16:creationId xmlns:a16="http://schemas.microsoft.com/office/drawing/2014/main" id="{00000000-0008-0000-1F00-00005E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31" name="Option Button 95" hidden="1">
                <a:extLst>
                  <a:ext uri="{63B3BB69-23CF-44E3-9099-C40C66FF867C}">
                    <a14:compatExt spid="_x0000_s193631"/>
                  </a:ext>
                  <a:ext uri="{FF2B5EF4-FFF2-40B4-BE49-F238E27FC236}">
                    <a16:creationId xmlns:a16="http://schemas.microsoft.com/office/drawing/2014/main" id="{00000000-0008-0000-1F00-00005F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32" name="Option Button 96" hidden="1">
                <a:extLst>
                  <a:ext uri="{63B3BB69-23CF-44E3-9099-C40C66FF867C}">
                    <a14:compatExt spid="_x0000_s193632"/>
                  </a:ext>
                  <a:ext uri="{FF2B5EF4-FFF2-40B4-BE49-F238E27FC236}">
                    <a16:creationId xmlns:a16="http://schemas.microsoft.com/office/drawing/2014/main" id="{00000000-0008-0000-1F00-000060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33" name="Group Box 97" hidden="1">
                <a:extLst>
                  <a:ext uri="{63B3BB69-23CF-44E3-9099-C40C66FF867C}">
                    <a14:compatExt spid="_x0000_s193633"/>
                  </a:ext>
                  <a:ext uri="{FF2B5EF4-FFF2-40B4-BE49-F238E27FC236}">
                    <a16:creationId xmlns:a16="http://schemas.microsoft.com/office/drawing/2014/main" id="{00000000-0008-0000-1F00-000061F40200}"/>
                  </a:ext>
                </a:extLst>
              </xdr:cNvPr>
              <xdr:cNvSpPr/>
            </xdr:nvSpPr>
            <xdr:spPr bwMode="auto">
              <a:xfrm>
                <a:off x="2994697" y="2201915"/>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20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20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20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20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2000-00002E000000}"/>
                </a:ext>
              </a:extLst>
            </xdr:cNvPr>
            <xdr:cNvGrpSpPr/>
          </xdr:nvGrpSpPr>
          <xdr:grpSpPr>
            <a:xfrm>
              <a:off x="3696269" y="49586869"/>
              <a:ext cx="1956179" cy="1649101"/>
              <a:chOff x="2995473" y="3846814"/>
              <a:chExt cx="1960181" cy="1644865"/>
            </a:xfrm>
          </xdr:grpSpPr>
          <xdr:sp macro="" textlink="">
            <xdr:nvSpPr>
              <xdr:cNvPr id="193635" name="Option Button 99" hidden="1">
                <a:extLst>
                  <a:ext uri="{63B3BB69-23CF-44E3-9099-C40C66FF867C}">
                    <a14:compatExt spid="_x0000_s193635"/>
                  </a:ext>
                  <a:ext uri="{FF2B5EF4-FFF2-40B4-BE49-F238E27FC236}">
                    <a16:creationId xmlns:a16="http://schemas.microsoft.com/office/drawing/2014/main" id="{00000000-0008-0000-1F00-000063F402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36" name="Option Button 100" hidden="1">
                <a:extLst>
                  <a:ext uri="{63B3BB69-23CF-44E3-9099-C40C66FF867C}">
                    <a14:compatExt spid="_x0000_s193636"/>
                  </a:ext>
                  <a:ext uri="{FF2B5EF4-FFF2-40B4-BE49-F238E27FC236}">
                    <a16:creationId xmlns:a16="http://schemas.microsoft.com/office/drawing/2014/main" id="{00000000-0008-0000-1F00-000064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37" name="Option Button 101" hidden="1">
                <a:extLst>
                  <a:ext uri="{63B3BB69-23CF-44E3-9099-C40C66FF867C}">
                    <a14:compatExt spid="_x0000_s193637"/>
                  </a:ext>
                  <a:ext uri="{FF2B5EF4-FFF2-40B4-BE49-F238E27FC236}">
                    <a16:creationId xmlns:a16="http://schemas.microsoft.com/office/drawing/2014/main" id="{00000000-0008-0000-1F00-000065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38" name="Option Button 102" hidden="1">
                <a:extLst>
                  <a:ext uri="{63B3BB69-23CF-44E3-9099-C40C66FF867C}">
                    <a14:compatExt spid="_x0000_s193638"/>
                  </a:ext>
                  <a:ext uri="{FF2B5EF4-FFF2-40B4-BE49-F238E27FC236}">
                    <a16:creationId xmlns:a16="http://schemas.microsoft.com/office/drawing/2014/main" id="{00000000-0008-0000-1F00-000066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39" name="Group Box 103" hidden="1">
                <a:extLst>
                  <a:ext uri="{63B3BB69-23CF-44E3-9099-C40C66FF867C}">
                    <a14:compatExt spid="_x0000_s193639"/>
                  </a:ext>
                  <a:ext uri="{FF2B5EF4-FFF2-40B4-BE49-F238E27FC236}">
                    <a16:creationId xmlns:a16="http://schemas.microsoft.com/office/drawing/2014/main" id="{00000000-0008-0000-1F00-000067F40200}"/>
                  </a:ext>
                </a:extLst>
              </xdr:cNvPr>
              <xdr:cNvSpPr/>
            </xdr:nvSpPr>
            <xdr:spPr bwMode="auto">
              <a:xfrm>
                <a:off x="2995473" y="3846814"/>
                <a:ext cx="1960181" cy="164486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2000-00002F000000}"/>
                </a:ext>
              </a:extLst>
            </xdr:cNvPr>
            <xdr:cNvGrpSpPr/>
          </xdr:nvGrpSpPr>
          <xdr:grpSpPr>
            <a:xfrm>
              <a:off x="3699437" y="47937761"/>
              <a:ext cx="1953011" cy="1651163"/>
              <a:chOff x="2994668" y="2201912"/>
              <a:chExt cx="1960968" cy="1646925"/>
            </a:xfrm>
          </xdr:grpSpPr>
          <xdr:sp macro="" textlink="">
            <xdr:nvSpPr>
              <xdr:cNvPr id="193640" name="Option Button 104" descr="Case d'option 47" hidden="1">
                <a:extLst>
                  <a:ext uri="{63B3BB69-23CF-44E3-9099-C40C66FF867C}">
                    <a14:compatExt spid="_x0000_s193640"/>
                  </a:ext>
                  <a:ext uri="{FF2B5EF4-FFF2-40B4-BE49-F238E27FC236}">
                    <a16:creationId xmlns:a16="http://schemas.microsoft.com/office/drawing/2014/main" id="{00000000-0008-0000-1F00-000068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41" name="Option Button 105" hidden="1">
                <a:extLst>
                  <a:ext uri="{63B3BB69-23CF-44E3-9099-C40C66FF867C}">
                    <a14:compatExt spid="_x0000_s193641"/>
                  </a:ext>
                  <a:ext uri="{FF2B5EF4-FFF2-40B4-BE49-F238E27FC236}">
                    <a16:creationId xmlns:a16="http://schemas.microsoft.com/office/drawing/2014/main" id="{00000000-0008-0000-1F00-000069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42" name="Option Button 106" hidden="1">
                <a:extLst>
                  <a:ext uri="{63B3BB69-23CF-44E3-9099-C40C66FF867C}">
                    <a14:compatExt spid="_x0000_s193642"/>
                  </a:ext>
                  <a:ext uri="{FF2B5EF4-FFF2-40B4-BE49-F238E27FC236}">
                    <a16:creationId xmlns:a16="http://schemas.microsoft.com/office/drawing/2014/main" id="{00000000-0008-0000-1F00-00006A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43" name="Option Button 107" hidden="1">
                <a:extLst>
                  <a:ext uri="{63B3BB69-23CF-44E3-9099-C40C66FF867C}">
                    <a14:compatExt spid="_x0000_s193643"/>
                  </a:ext>
                  <a:ext uri="{FF2B5EF4-FFF2-40B4-BE49-F238E27FC236}">
                    <a16:creationId xmlns:a16="http://schemas.microsoft.com/office/drawing/2014/main" id="{00000000-0008-0000-1F00-00006B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44" name="Group Box 108" hidden="1">
                <a:extLst>
                  <a:ext uri="{63B3BB69-23CF-44E3-9099-C40C66FF867C}">
                    <a14:compatExt spid="_x0000_s193644"/>
                  </a:ext>
                  <a:ext uri="{FF2B5EF4-FFF2-40B4-BE49-F238E27FC236}">
                    <a16:creationId xmlns:a16="http://schemas.microsoft.com/office/drawing/2014/main" id="{00000000-0008-0000-1F00-00006CF40200}"/>
                  </a:ext>
                </a:extLst>
              </xdr:cNvPr>
              <xdr:cNvSpPr/>
            </xdr:nvSpPr>
            <xdr:spPr bwMode="auto">
              <a:xfrm>
                <a:off x="2994668" y="220191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2000-000030000000}"/>
                </a:ext>
              </a:extLst>
            </xdr:cNvPr>
            <xdr:cNvGrpSpPr/>
          </xdr:nvGrpSpPr>
          <xdr:grpSpPr>
            <a:xfrm>
              <a:off x="3696269" y="46288657"/>
              <a:ext cx="1956179" cy="1649104"/>
              <a:chOff x="2994693" y="2201922"/>
              <a:chExt cx="1960968" cy="1646929"/>
            </a:xfrm>
          </xdr:grpSpPr>
          <xdr:sp macro="" textlink="">
            <xdr:nvSpPr>
              <xdr:cNvPr id="193645" name="Option Button 109" descr="Case d'option 47" hidden="1">
                <a:extLst>
                  <a:ext uri="{63B3BB69-23CF-44E3-9099-C40C66FF867C}">
                    <a14:compatExt spid="_x0000_s193645"/>
                  </a:ext>
                  <a:ext uri="{FF2B5EF4-FFF2-40B4-BE49-F238E27FC236}">
                    <a16:creationId xmlns:a16="http://schemas.microsoft.com/office/drawing/2014/main" id="{00000000-0008-0000-1F00-00006D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46" name="Option Button 110" hidden="1">
                <a:extLst>
                  <a:ext uri="{63B3BB69-23CF-44E3-9099-C40C66FF867C}">
                    <a14:compatExt spid="_x0000_s193646"/>
                  </a:ext>
                  <a:ext uri="{FF2B5EF4-FFF2-40B4-BE49-F238E27FC236}">
                    <a16:creationId xmlns:a16="http://schemas.microsoft.com/office/drawing/2014/main" id="{00000000-0008-0000-1F00-00006E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47" name="Option Button 111" hidden="1">
                <a:extLst>
                  <a:ext uri="{63B3BB69-23CF-44E3-9099-C40C66FF867C}">
                    <a14:compatExt spid="_x0000_s193647"/>
                  </a:ext>
                  <a:ext uri="{FF2B5EF4-FFF2-40B4-BE49-F238E27FC236}">
                    <a16:creationId xmlns:a16="http://schemas.microsoft.com/office/drawing/2014/main" id="{00000000-0008-0000-1F00-00006F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48" name="Option Button 112" hidden="1">
                <a:extLst>
                  <a:ext uri="{63B3BB69-23CF-44E3-9099-C40C66FF867C}">
                    <a14:compatExt spid="_x0000_s193648"/>
                  </a:ext>
                  <a:ext uri="{FF2B5EF4-FFF2-40B4-BE49-F238E27FC236}">
                    <a16:creationId xmlns:a16="http://schemas.microsoft.com/office/drawing/2014/main" id="{00000000-0008-0000-1F00-000070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49" name="Group Box 113" hidden="1">
                <a:extLst>
                  <a:ext uri="{63B3BB69-23CF-44E3-9099-C40C66FF867C}">
                    <a14:compatExt spid="_x0000_s193649"/>
                  </a:ext>
                  <a:ext uri="{FF2B5EF4-FFF2-40B4-BE49-F238E27FC236}">
                    <a16:creationId xmlns:a16="http://schemas.microsoft.com/office/drawing/2014/main" id="{00000000-0008-0000-1F00-000071F40200}"/>
                  </a:ext>
                </a:extLst>
              </xdr:cNvPr>
              <xdr:cNvSpPr/>
            </xdr:nvSpPr>
            <xdr:spPr bwMode="auto">
              <a:xfrm>
                <a:off x="2994693" y="2201922"/>
                <a:ext cx="1960968"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20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78</xdr:row>
      <xdr:rowOff>57150</xdr:rowOff>
    </xdr:from>
    <xdr:to>
      <xdr:col>9</xdr:col>
      <xdr:colOff>4451453</xdr:colOff>
      <xdr:row>79</xdr:row>
      <xdr:rowOff>0</xdr:rowOff>
    </xdr:to>
    <xdr:sp macro="" textlink="">
      <xdr:nvSpPr>
        <xdr:cNvPr id="51" name="ZoneTexte 1">
          <a:extLst>
            <a:ext uri="{FF2B5EF4-FFF2-40B4-BE49-F238E27FC236}">
              <a16:creationId xmlns:a16="http://schemas.microsoft.com/office/drawing/2014/main" id="{00000000-0008-0000-2000-000033000000}"/>
            </a:ext>
          </a:extLst>
        </xdr:cNvPr>
        <xdr:cNvSpPr txBox="1">
          <a:spLocks noChangeArrowheads="1"/>
        </xdr:cNvSpPr>
      </xdr:nvSpPr>
      <xdr:spPr bwMode="auto">
        <a:xfrm>
          <a:off x="6894195" y="6036945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20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20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20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20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20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20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20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93536" name="Ellipse 193535">
          <a:extLst>
            <a:ext uri="{FF2B5EF4-FFF2-40B4-BE49-F238E27FC236}">
              <a16:creationId xmlns:a16="http://schemas.microsoft.com/office/drawing/2014/main" id="{00000000-0008-0000-2000-000000F402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93681" name="Groupe 193680">
              <a:extLst>
                <a:ext uri="{FF2B5EF4-FFF2-40B4-BE49-F238E27FC236}">
                  <a16:creationId xmlns:a16="http://schemas.microsoft.com/office/drawing/2014/main" id="{00000000-0008-0000-2000-000091F40200}"/>
                </a:ext>
              </a:extLst>
            </xdr:cNvPr>
            <xdr:cNvGrpSpPr/>
          </xdr:nvGrpSpPr>
          <xdr:grpSpPr>
            <a:xfrm>
              <a:off x="3696269" y="15478836"/>
              <a:ext cx="1956179" cy="1649104"/>
              <a:chOff x="2995473" y="3846810"/>
              <a:chExt cx="1960181" cy="1644868"/>
            </a:xfrm>
          </xdr:grpSpPr>
          <xdr:sp macro="" textlink="">
            <xdr:nvSpPr>
              <xdr:cNvPr id="9" name="Option Button 145" hidden="1">
                <a:extLst>
                  <a:ext uri="{63B3BB69-23CF-44E3-9099-C40C66FF867C}">
                    <a14:compatExt spid="_x0000_s193681"/>
                  </a:ext>
                  <a:ext uri="{FF2B5EF4-FFF2-40B4-BE49-F238E27FC236}">
                    <a16:creationId xmlns:a16="http://schemas.microsoft.com/office/drawing/2014/main" id="{00000000-0008-0000-1F00-000009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82" name="Option Button 146" hidden="1">
                <a:extLst>
                  <a:ext uri="{63B3BB69-23CF-44E3-9099-C40C66FF867C}">
                    <a14:compatExt spid="_x0000_s193682"/>
                  </a:ext>
                  <a:ext uri="{FF2B5EF4-FFF2-40B4-BE49-F238E27FC236}">
                    <a16:creationId xmlns:a16="http://schemas.microsoft.com/office/drawing/2014/main" id="{00000000-0008-0000-1F00-000092F402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83" name="Option Button 147" hidden="1">
                <a:extLst>
                  <a:ext uri="{63B3BB69-23CF-44E3-9099-C40C66FF867C}">
                    <a14:compatExt spid="_x0000_s193683"/>
                  </a:ext>
                  <a:ext uri="{FF2B5EF4-FFF2-40B4-BE49-F238E27FC236}">
                    <a16:creationId xmlns:a16="http://schemas.microsoft.com/office/drawing/2014/main" id="{00000000-0008-0000-1F00-000093F402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84" name="Option Button 148" hidden="1">
                <a:extLst>
                  <a:ext uri="{63B3BB69-23CF-44E3-9099-C40C66FF867C}">
                    <a14:compatExt spid="_x0000_s193684"/>
                  </a:ext>
                  <a:ext uri="{FF2B5EF4-FFF2-40B4-BE49-F238E27FC236}">
                    <a16:creationId xmlns:a16="http://schemas.microsoft.com/office/drawing/2014/main" id="{00000000-0008-0000-1F00-000094F402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685" name="Group Box 149" hidden="1">
                <a:extLst>
                  <a:ext uri="{63B3BB69-23CF-44E3-9099-C40C66FF867C}">
                    <a14:compatExt spid="_x0000_s193685"/>
                  </a:ext>
                  <a:ext uri="{FF2B5EF4-FFF2-40B4-BE49-F238E27FC236}">
                    <a16:creationId xmlns:a16="http://schemas.microsoft.com/office/drawing/2014/main" id="{00000000-0008-0000-1F00-000095F40200}"/>
                  </a:ext>
                </a:extLst>
              </xdr:cNvPr>
              <xdr:cNvSpPr/>
            </xdr:nvSpPr>
            <xdr:spPr bwMode="auto">
              <a:xfrm>
                <a:off x="2995473" y="3846810"/>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93687" name="ZoneTexte 1">
          <a:extLst>
            <a:ext uri="{FF2B5EF4-FFF2-40B4-BE49-F238E27FC236}">
              <a16:creationId xmlns:a16="http://schemas.microsoft.com/office/drawing/2014/main" id="{00000000-0008-0000-2000-000097F402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93688" name="ZoneTexte 1">
          <a:extLst>
            <a:ext uri="{FF2B5EF4-FFF2-40B4-BE49-F238E27FC236}">
              <a16:creationId xmlns:a16="http://schemas.microsoft.com/office/drawing/2014/main" id="{00000000-0008-0000-2000-000098F402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93695" name="ZoneTexte 1">
          <a:extLst>
            <a:ext uri="{FF2B5EF4-FFF2-40B4-BE49-F238E27FC236}">
              <a16:creationId xmlns:a16="http://schemas.microsoft.com/office/drawing/2014/main" id="{00000000-0008-0000-2000-00009FF402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193696" name="Groupe 193695">
              <a:extLst>
                <a:ext uri="{FF2B5EF4-FFF2-40B4-BE49-F238E27FC236}">
                  <a16:creationId xmlns:a16="http://schemas.microsoft.com/office/drawing/2014/main" id="{00000000-0008-0000-2000-0000A0F40200}"/>
                </a:ext>
              </a:extLst>
            </xdr:cNvPr>
            <xdr:cNvGrpSpPr/>
          </xdr:nvGrpSpPr>
          <xdr:grpSpPr>
            <a:xfrm>
              <a:off x="3696269" y="33528000"/>
              <a:ext cx="1956179" cy="1649104"/>
              <a:chOff x="2994693" y="2201916"/>
              <a:chExt cx="1960968" cy="1646922"/>
            </a:xfrm>
          </xdr:grpSpPr>
          <xdr:sp macro="" textlink="">
            <xdr:nvSpPr>
              <xdr:cNvPr id="193691" name="Option Button 155" descr="Case d'option 47" hidden="1">
                <a:extLst>
                  <a:ext uri="{63B3BB69-23CF-44E3-9099-C40C66FF867C}">
                    <a14:compatExt spid="_x0000_s193691"/>
                  </a:ext>
                  <a:ext uri="{FF2B5EF4-FFF2-40B4-BE49-F238E27FC236}">
                    <a16:creationId xmlns:a16="http://schemas.microsoft.com/office/drawing/2014/main" id="{00000000-0008-0000-1F00-00009BF402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92" name="Option Button 156" hidden="1">
                <a:extLst>
                  <a:ext uri="{63B3BB69-23CF-44E3-9099-C40C66FF867C}">
                    <a14:compatExt spid="_x0000_s193692"/>
                  </a:ext>
                  <a:ext uri="{FF2B5EF4-FFF2-40B4-BE49-F238E27FC236}">
                    <a16:creationId xmlns:a16="http://schemas.microsoft.com/office/drawing/2014/main" id="{00000000-0008-0000-1F00-00009C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93" name="Option Button 157" hidden="1">
                <a:extLst>
                  <a:ext uri="{63B3BB69-23CF-44E3-9099-C40C66FF867C}">
                    <a14:compatExt spid="_x0000_s193693"/>
                  </a:ext>
                  <a:ext uri="{FF2B5EF4-FFF2-40B4-BE49-F238E27FC236}">
                    <a16:creationId xmlns:a16="http://schemas.microsoft.com/office/drawing/2014/main" id="{00000000-0008-0000-1F00-00009DF402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94" name="Option Button 158" hidden="1">
                <a:extLst>
                  <a:ext uri="{63B3BB69-23CF-44E3-9099-C40C66FF867C}">
                    <a14:compatExt spid="_x0000_s193694"/>
                  </a:ext>
                  <a:ext uri="{FF2B5EF4-FFF2-40B4-BE49-F238E27FC236}">
                    <a16:creationId xmlns:a16="http://schemas.microsoft.com/office/drawing/2014/main" id="{00000000-0008-0000-1F00-00009E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1" name="Group Box 159" hidden="1">
                <a:extLst>
                  <a:ext uri="{63B3BB69-23CF-44E3-9099-C40C66FF867C}">
                    <a14:compatExt spid="_x0000_s193695"/>
                  </a:ext>
                  <a:ext uri="{FF2B5EF4-FFF2-40B4-BE49-F238E27FC236}">
                    <a16:creationId xmlns:a16="http://schemas.microsoft.com/office/drawing/2014/main" id="{00000000-0008-0000-1F00-00000B000000}"/>
                  </a:ext>
                </a:extLst>
              </xdr:cNvPr>
              <xdr:cNvSpPr/>
            </xdr:nvSpPr>
            <xdr:spPr bwMode="auto">
              <a:xfrm>
                <a:off x="2994693" y="2201916"/>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193702" name="ZoneTexte 1">
          <a:extLst>
            <a:ext uri="{FF2B5EF4-FFF2-40B4-BE49-F238E27FC236}">
              <a16:creationId xmlns:a16="http://schemas.microsoft.com/office/drawing/2014/main" id="{00000000-0008-0000-2000-0000A6F402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93703" name="ZoneTexte 1">
          <a:extLst>
            <a:ext uri="{FF2B5EF4-FFF2-40B4-BE49-F238E27FC236}">
              <a16:creationId xmlns:a16="http://schemas.microsoft.com/office/drawing/2014/main" id="{00000000-0008-0000-2000-0000A7F402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49</xdr:row>
          <xdr:rowOff>0</xdr:rowOff>
        </xdr:from>
        <xdr:to>
          <xdr:col>8</xdr:col>
          <xdr:colOff>0</xdr:colOff>
          <xdr:row>50</xdr:row>
          <xdr:rowOff>0</xdr:rowOff>
        </xdr:to>
        <xdr:grpSp>
          <xdr:nvGrpSpPr>
            <xdr:cNvPr id="193704" name="Groupe 193703">
              <a:extLst>
                <a:ext uri="{FF2B5EF4-FFF2-40B4-BE49-F238E27FC236}">
                  <a16:creationId xmlns:a16="http://schemas.microsoft.com/office/drawing/2014/main" id="{00000000-0008-0000-2000-0000A8F40200}"/>
                </a:ext>
              </a:extLst>
            </xdr:cNvPr>
            <xdr:cNvGrpSpPr/>
          </xdr:nvGrpSpPr>
          <xdr:grpSpPr>
            <a:xfrm>
              <a:off x="3696269" y="37519970"/>
              <a:ext cx="1956179" cy="1649105"/>
              <a:chOff x="2994693" y="2201922"/>
              <a:chExt cx="1960968" cy="1646923"/>
            </a:xfrm>
          </xdr:grpSpPr>
          <xdr:sp macro="" textlink="">
            <xdr:nvSpPr>
              <xdr:cNvPr id="24" name="Option Button 160" descr="Case d'option 47" hidden="1">
                <a:extLst>
                  <a:ext uri="{63B3BB69-23CF-44E3-9099-C40C66FF867C}">
                    <a14:compatExt spid="_x0000_s193696"/>
                  </a:ext>
                  <a:ext uri="{FF2B5EF4-FFF2-40B4-BE49-F238E27FC236}">
                    <a16:creationId xmlns:a16="http://schemas.microsoft.com/office/drawing/2014/main" id="{00000000-0008-0000-1F00-000018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697" name="Option Button 161" hidden="1">
                <a:extLst>
                  <a:ext uri="{63B3BB69-23CF-44E3-9099-C40C66FF867C}">
                    <a14:compatExt spid="_x0000_s193697"/>
                  </a:ext>
                  <a:ext uri="{FF2B5EF4-FFF2-40B4-BE49-F238E27FC236}">
                    <a16:creationId xmlns:a16="http://schemas.microsoft.com/office/drawing/2014/main" id="{00000000-0008-0000-1F00-0000A1F402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698" name="Option Button 162" hidden="1">
                <a:extLst>
                  <a:ext uri="{63B3BB69-23CF-44E3-9099-C40C66FF867C}">
                    <a14:compatExt spid="_x0000_s193698"/>
                  </a:ext>
                  <a:ext uri="{FF2B5EF4-FFF2-40B4-BE49-F238E27FC236}">
                    <a16:creationId xmlns:a16="http://schemas.microsoft.com/office/drawing/2014/main" id="{00000000-0008-0000-1F00-0000A2F40200}"/>
                  </a:ext>
                </a:extLst>
              </xdr:cNvPr>
              <xdr:cNvSpPr/>
            </xdr:nvSpPr>
            <xdr:spPr bwMode="auto">
              <a:xfrm>
                <a:off x="3102128" y="2781037"/>
                <a:ext cx="1853500" cy="1752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699" name="Option Button 163" hidden="1">
                <a:extLst>
                  <a:ext uri="{63B3BB69-23CF-44E3-9099-C40C66FF867C}">
                    <a14:compatExt spid="_x0000_s193699"/>
                  </a:ext>
                  <a:ext uri="{FF2B5EF4-FFF2-40B4-BE49-F238E27FC236}">
                    <a16:creationId xmlns:a16="http://schemas.microsoft.com/office/drawing/2014/main" id="{00000000-0008-0000-1F00-0000A3F402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700" name="Group Box 164" hidden="1">
                <a:extLst>
                  <a:ext uri="{63B3BB69-23CF-44E3-9099-C40C66FF867C}">
                    <a14:compatExt spid="_x0000_s193700"/>
                  </a:ext>
                  <a:ext uri="{FF2B5EF4-FFF2-40B4-BE49-F238E27FC236}">
                    <a16:creationId xmlns:a16="http://schemas.microsoft.com/office/drawing/2014/main" id="{00000000-0008-0000-1F00-0000A4F40200}"/>
                  </a:ext>
                </a:extLst>
              </xdr:cNvPr>
              <xdr:cNvSpPr/>
            </xdr:nvSpPr>
            <xdr:spPr bwMode="auto">
              <a:xfrm>
                <a:off x="2994693" y="2201922"/>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82</xdr:row>
      <xdr:rowOff>22860</xdr:rowOff>
    </xdr:from>
    <xdr:to>
      <xdr:col>9</xdr:col>
      <xdr:colOff>4532586</xdr:colOff>
      <xdr:row>82</xdr:row>
      <xdr:rowOff>2036380</xdr:rowOff>
    </xdr:to>
    <xdr:sp macro="" textlink="" fLocksText="0">
      <xdr:nvSpPr>
        <xdr:cNvPr id="193710" name="ZoneTexte 1">
          <a:extLst>
            <a:ext uri="{FF2B5EF4-FFF2-40B4-BE49-F238E27FC236}">
              <a16:creationId xmlns:a16="http://schemas.microsoft.com/office/drawing/2014/main" id="{00000000-0008-0000-2000-0000AEF402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193711" name="ZoneTexte 1">
          <a:extLst>
            <a:ext uri="{FF2B5EF4-FFF2-40B4-BE49-F238E27FC236}">
              <a16:creationId xmlns:a16="http://schemas.microsoft.com/office/drawing/2014/main" id="{00000000-0008-0000-2000-0000AFF402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193724" name="ZoneTexte 1">
          <a:extLst>
            <a:ext uri="{FF2B5EF4-FFF2-40B4-BE49-F238E27FC236}">
              <a16:creationId xmlns:a16="http://schemas.microsoft.com/office/drawing/2014/main" id="{00000000-0008-0000-2000-0000BCF402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94</xdr:row>
      <xdr:rowOff>57150</xdr:rowOff>
    </xdr:from>
    <xdr:to>
      <xdr:col>9</xdr:col>
      <xdr:colOff>4451453</xdr:colOff>
      <xdr:row>95</xdr:row>
      <xdr:rowOff>0</xdr:rowOff>
    </xdr:to>
    <xdr:sp macro="" textlink="">
      <xdr:nvSpPr>
        <xdr:cNvPr id="193725" name="ZoneTexte 1">
          <a:extLst>
            <a:ext uri="{FF2B5EF4-FFF2-40B4-BE49-F238E27FC236}">
              <a16:creationId xmlns:a16="http://schemas.microsoft.com/office/drawing/2014/main" id="{00000000-0008-0000-2000-0000BDF40200}"/>
            </a:ext>
          </a:extLst>
        </xdr:cNvPr>
        <xdr:cNvSpPr txBox="1">
          <a:spLocks noChangeArrowheads="1"/>
        </xdr:cNvSpPr>
      </xdr:nvSpPr>
      <xdr:spPr bwMode="auto">
        <a:xfrm>
          <a:off x="6894195" y="740625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95</xdr:row>
      <xdr:rowOff>15675</xdr:rowOff>
    </xdr:from>
    <xdr:to>
      <xdr:col>9</xdr:col>
      <xdr:colOff>4503756</xdr:colOff>
      <xdr:row>96</xdr:row>
      <xdr:rowOff>0</xdr:rowOff>
    </xdr:to>
    <xdr:sp macro="" textlink="" fLocksText="0">
      <xdr:nvSpPr>
        <xdr:cNvPr id="193738" name="ZoneTexte 1">
          <a:extLst>
            <a:ext uri="{FF2B5EF4-FFF2-40B4-BE49-F238E27FC236}">
              <a16:creationId xmlns:a16="http://schemas.microsoft.com/office/drawing/2014/main" id="{00000000-0008-0000-2000-0000CAF402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193739" name="ZoneTexte 1">
          <a:extLst>
            <a:ext uri="{FF2B5EF4-FFF2-40B4-BE49-F238E27FC236}">
              <a16:creationId xmlns:a16="http://schemas.microsoft.com/office/drawing/2014/main" id="{00000000-0008-0000-2000-0000CBF402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193740" name="ZoneTexte 1">
          <a:extLst>
            <a:ext uri="{FF2B5EF4-FFF2-40B4-BE49-F238E27FC236}">
              <a16:creationId xmlns:a16="http://schemas.microsoft.com/office/drawing/2014/main" id="{00000000-0008-0000-2000-0000CCF402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90</xdr:row>
      <xdr:rowOff>165251</xdr:rowOff>
    </xdr:from>
    <xdr:to>
      <xdr:col>5</xdr:col>
      <xdr:colOff>462364</xdr:colOff>
      <xdr:row>91</xdr:row>
      <xdr:rowOff>415621</xdr:rowOff>
    </xdr:to>
    <xdr:sp macro="" textlink="">
      <xdr:nvSpPr>
        <xdr:cNvPr id="193759" name="Ellipse 193758">
          <a:extLst>
            <a:ext uri="{FF2B5EF4-FFF2-40B4-BE49-F238E27FC236}">
              <a16:creationId xmlns:a16="http://schemas.microsoft.com/office/drawing/2014/main" id="{00000000-0008-0000-2000-0000DFF402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193760" name="ZoneTexte 1">
          <a:extLst>
            <a:ext uri="{FF2B5EF4-FFF2-40B4-BE49-F238E27FC236}">
              <a16:creationId xmlns:a16="http://schemas.microsoft.com/office/drawing/2014/main" id="{00000000-0008-0000-2000-0000E0F402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193761" name="ZoneTexte 1">
          <a:extLst>
            <a:ext uri="{FF2B5EF4-FFF2-40B4-BE49-F238E27FC236}">
              <a16:creationId xmlns:a16="http://schemas.microsoft.com/office/drawing/2014/main" id="{00000000-0008-0000-2000-0000E1F402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193774" name="ZoneTexte 1">
          <a:extLst>
            <a:ext uri="{FF2B5EF4-FFF2-40B4-BE49-F238E27FC236}">
              <a16:creationId xmlns:a16="http://schemas.microsoft.com/office/drawing/2014/main" id="{00000000-0008-0000-2000-0000EEF402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193775" name="ZoneTexte 1">
          <a:extLst>
            <a:ext uri="{FF2B5EF4-FFF2-40B4-BE49-F238E27FC236}">
              <a16:creationId xmlns:a16="http://schemas.microsoft.com/office/drawing/2014/main" id="{00000000-0008-0000-2000-0000EFF402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193788" name="ZoneTexte 1">
          <a:extLst>
            <a:ext uri="{FF2B5EF4-FFF2-40B4-BE49-F238E27FC236}">
              <a16:creationId xmlns:a16="http://schemas.microsoft.com/office/drawing/2014/main" id="{00000000-0008-0000-2000-0000FCF402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193789" name="ZoneTexte 1">
          <a:extLst>
            <a:ext uri="{FF2B5EF4-FFF2-40B4-BE49-F238E27FC236}">
              <a16:creationId xmlns:a16="http://schemas.microsoft.com/office/drawing/2014/main" id="{00000000-0008-0000-2000-0000FDF402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193790" name="ZoneTexte 1">
          <a:extLst>
            <a:ext uri="{FF2B5EF4-FFF2-40B4-BE49-F238E27FC236}">
              <a16:creationId xmlns:a16="http://schemas.microsoft.com/office/drawing/2014/main" id="{00000000-0008-0000-2000-0000FEF402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193809" name="Ellipse 193808">
          <a:extLst>
            <a:ext uri="{FF2B5EF4-FFF2-40B4-BE49-F238E27FC236}">
              <a16:creationId xmlns:a16="http://schemas.microsoft.com/office/drawing/2014/main" id="{00000000-0008-0000-2000-000011F502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193810" name="ZoneTexte 1">
          <a:extLst>
            <a:ext uri="{FF2B5EF4-FFF2-40B4-BE49-F238E27FC236}">
              <a16:creationId xmlns:a16="http://schemas.microsoft.com/office/drawing/2014/main" id="{00000000-0008-0000-2000-000012F502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193811" name="ZoneTexte 1">
          <a:extLst>
            <a:ext uri="{FF2B5EF4-FFF2-40B4-BE49-F238E27FC236}">
              <a16:creationId xmlns:a16="http://schemas.microsoft.com/office/drawing/2014/main" id="{00000000-0008-0000-2000-000013F502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48</xdr:row>
          <xdr:rowOff>5683</xdr:rowOff>
        </xdr:from>
        <xdr:to>
          <xdr:col>8</xdr:col>
          <xdr:colOff>0</xdr:colOff>
          <xdr:row>49</xdr:row>
          <xdr:rowOff>5556</xdr:rowOff>
        </xdr:to>
        <xdr:grpSp>
          <xdr:nvGrpSpPr>
            <xdr:cNvPr id="193824" name="Groupe 193823">
              <a:extLst>
                <a:ext uri="{FF2B5EF4-FFF2-40B4-BE49-F238E27FC236}">
                  <a16:creationId xmlns:a16="http://schemas.microsoft.com/office/drawing/2014/main" id="{00000000-0008-0000-2000-000020F50200}"/>
                </a:ext>
              </a:extLst>
            </xdr:cNvPr>
            <xdr:cNvGrpSpPr/>
          </xdr:nvGrpSpPr>
          <xdr:grpSpPr>
            <a:xfrm>
              <a:off x="3696269" y="35182787"/>
              <a:ext cx="1956179" cy="2342739"/>
              <a:chOff x="2994693" y="2201906"/>
              <a:chExt cx="1960968" cy="1646923"/>
            </a:xfrm>
          </xdr:grpSpPr>
          <xdr:sp macro="" textlink="">
            <xdr:nvSpPr>
              <xdr:cNvPr id="193781" name="Option Button 245" descr="Case d'option 47" hidden="1">
                <a:extLst>
                  <a:ext uri="{63B3BB69-23CF-44E3-9099-C40C66FF867C}">
                    <a14:compatExt spid="_x0000_s193781"/>
                  </a:ext>
                  <a:ext uri="{FF2B5EF4-FFF2-40B4-BE49-F238E27FC236}">
                    <a16:creationId xmlns:a16="http://schemas.microsoft.com/office/drawing/2014/main" id="{00000000-0008-0000-1F00-0000F5F40200}"/>
                  </a:ext>
                </a:extLst>
              </xdr:cNvPr>
              <xdr:cNvSpPr/>
            </xdr:nvSpPr>
            <xdr:spPr bwMode="auto">
              <a:xfrm>
                <a:off x="3102128" y="2270497"/>
                <a:ext cx="1394459"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782" name="Option Button 246" hidden="1">
                <a:extLst>
                  <a:ext uri="{63B3BB69-23CF-44E3-9099-C40C66FF867C}">
                    <a14:compatExt spid="_x0000_s193782"/>
                  </a:ext>
                  <a:ext uri="{FF2B5EF4-FFF2-40B4-BE49-F238E27FC236}">
                    <a16:creationId xmlns:a16="http://schemas.microsoft.com/office/drawing/2014/main" id="{00000000-0008-0000-1F00-0000F6F40200}"/>
                  </a:ext>
                </a:extLst>
              </xdr:cNvPr>
              <xdr:cNvSpPr/>
            </xdr:nvSpPr>
            <xdr:spPr bwMode="auto">
              <a:xfrm>
                <a:off x="3102128" y="2466081"/>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3783" name="Option Button 247" hidden="1">
                <a:extLst>
                  <a:ext uri="{63B3BB69-23CF-44E3-9099-C40C66FF867C}">
                    <a14:compatExt spid="_x0000_s193783"/>
                  </a:ext>
                  <a:ext uri="{FF2B5EF4-FFF2-40B4-BE49-F238E27FC236}">
                    <a16:creationId xmlns:a16="http://schemas.microsoft.com/office/drawing/2014/main" id="{00000000-0008-0000-1F00-0000F7F40200}"/>
                  </a:ext>
                </a:extLst>
              </xdr:cNvPr>
              <xdr:cNvSpPr/>
            </xdr:nvSpPr>
            <xdr:spPr bwMode="auto">
              <a:xfrm>
                <a:off x="3102128" y="2669286"/>
                <a:ext cx="1853500" cy="1752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3784" name="Option Button 248" hidden="1">
                <a:extLst>
                  <a:ext uri="{63B3BB69-23CF-44E3-9099-C40C66FF867C}">
                    <a14:compatExt spid="_x0000_s193784"/>
                  </a:ext>
                  <a:ext uri="{FF2B5EF4-FFF2-40B4-BE49-F238E27FC236}">
                    <a16:creationId xmlns:a16="http://schemas.microsoft.com/office/drawing/2014/main" id="{00000000-0008-0000-1F00-0000F8F40200}"/>
                  </a:ext>
                </a:extLst>
              </xdr:cNvPr>
              <xdr:cNvSpPr/>
            </xdr:nvSpPr>
            <xdr:spPr bwMode="auto">
              <a:xfrm>
                <a:off x="3102128" y="2849632"/>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3785" name="Group Box 249" hidden="1">
                <a:extLst>
                  <a:ext uri="{63B3BB69-23CF-44E3-9099-C40C66FF867C}">
                    <a14:compatExt spid="_x0000_s193785"/>
                  </a:ext>
                  <a:ext uri="{FF2B5EF4-FFF2-40B4-BE49-F238E27FC236}">
                    <a16:creationId xmlns:a16="http://schemas.microsoft.com/office/drawing/2014/main" id="{00000000-0008-0000-1F00-0000F9F40200}"/>
                  </a:ext>
                </a:extLst>
              </xdr:cNvPr>
              <xdr:cNvSpPr/>
            </xdr:nvSpPr>
            <xdr:spPr bwMode="auto">
              <a:xfrm>
                <a:off x="2994693" y="2201906"/>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50</xdr:row>
      <xdr:rowOff>22859</xdr:rowOff>
    </xdr:from>
    <xdr:to>
      <xdr:col>9</xdr:col>
      <xdr:colOff>4572000</xdr:colOff>
      <xdr:row>51</xdr:row>
      <xdr:rowOff>0</xdr:rowOff>
    </xdr:to>
    <xdr:sp macro="" textlink="" fLocksText="0">
      <xdr:nvSpPr>
        <xdr:cNvPr id="193830" name="ZoneTexte 1">
          <a:extLst>
            <a:ext uri="{FF2B5EF4-FFF2-40B4-BE49-F238E27FC236}">
              <a16:creationId xmlns:a16="http://schemas.microsoft.com/office/drawing/2014/main" id="{00000000-0008-0000-2000-000026F50200}"/>
            </a:ext>
          </a:extLst>
        </xdr:cNvPr>
        <xdr:cNvSpPr txBox="1">
          <a:spLocks noChangeArrowheads="1"/>
        </xdr:cNvSpPr>
      </xdr:nvSpPr>
      <xdr:spPr bwMode="auto">
        <a:xfrm>
          <a:off x="6885569" y="3934205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50</xdr:row>
          <xdr:rowOff>2605</xdr:rowOff>
        </xdr:from>
        <xdr:to>
          <xdr:col>8</xdr:col>
          <xdr:colOff>0</xdr:colOff>
          <xdr:row>51</xdr:row>
          <xdr:rowOff>0</xdr:rowOff>
        </xdr:to>
        <xdr:grpSp>
          <xdr:nvGrpSpPr>
            <xdr:cNvPr id="193831" name="Groupe 193830">
              <a:extLst>
                <a:ext uri="{FF2B5EF4-FFF2-40B4-BE49-F238E27FC236}">
                  <a16:creationId xmlns:a16="http://schemas.microsoft.com/office/drawing/2014/main" id="{00000000-0008-0000-2000-000027F50200}"/>
                </a:ext>
              </a:extLst>
            </xdr:cNvPr>
            <xdr:cNvGrpSpPr/>
          </xdr:nvGrpSpPr>
          <xdr:grpSpPr>
            <a:xfrm>
              <a:off x="3696269" y="39171680"/>
              <a:ext cx="1956179" cy="1521395"/>
              <a:chOff x="2994693" y="2201908"/>
              <a:chExt cx="1960968" cy="1646924"/>
            </a:xfrm>
          </xdr:grpSpPr>
          <xdr:sp macro="" textlink="">
            <xdr:nvSpPr>
              <xdr:cNvPr id="193786" name="Option Button 250" descr="Case d'option 47" hidden="1">
                <a:extLst>
                  <a:ext uri="{63B3BB69-23CF-44E3-9099-C40C66FF867C}">
                    <a14:compatExt spid="_x0000_s193786"/>
                  </a:ext>
                  <a:ext uri="{FF2B5EF4-FFF2-40B4-BE49-F238E27FC236}">
                    <a16:creationId xmlns:a16="http://schemas.microsoft.com/office/drawing/2014/main" id="{00000000-0008-0000-1F00-0000FAF40200}"/>
                  </a:ext>
                </a:extLst>
              </xdr:cNvPr>
              <xdr:cNvSpPr/>
            </xdr:nvSpPr>
            <xdr:spPr bwMode="auto">
              <a:xfrm>
                <a:off x="3102128" y="2270497"/>
                <a:ext cx="1394459"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3787" name="Option Button 251" hidden="1">
                <a:extLst>
                  <a:ext uri="{63B3BB69-23CF-44E3-9099-C40C66FF867C}">
                    <a14:compatExt spid="_x0000_s193787"/>
                  </a:ext>
                  <a:ext uri="{FF2B5EF4-FFF2-40B4-BE49-F238E27FC236}">
                    <a16:creationId xmlns:a16="http://schemas.microsoft.com/office/drawing/2014/main" id="{00000000-0008-0000-1F00-0000FBF40200}"/>
                  </a:ext>
                </a:extLst>
              </xdr:cNvPr>
              <xdr:cNvSpPr/>
            </xdr:nvSpPr>
            <xdr:spPr bwMode="auto">
              <a:xfrm>
                <a:off x="3102128" y="2506718"/>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5" name="Option Button 252" hidden="1">
                <a:extLst>
                  <a:ext uri="{63B3BB69-23CF-44E3-9099-C40C66FF867C}">
                    <a14:compatExt spid="_x0000_s193788"/>
                  </a:ext>
                  <a:ext uri="{FF2B5EF4-FFF2-40B4-BE49-F238E27FC236}">
                    <a16:creationId xmlns:a16="http://schemas.microsoft.com/office/drawing/2014/main" id="{00000000-0008-0000-1F00-000019000000}"/>
                  </a:ext>
                </a:extLst>
              </xdr:cNvPr>
              <xdr:cNvSpPr/>
            </xdr:nvSpPr>
            <xdr:spPr bwMode="auto">
              <a:xfrm>
                <a:off x="3102128" y="2781037"/>
                <a:ext cx="1853500" cy="1752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49" name="Option Button 253" hidden="1">
                <a:extLst>
                  <a:ext uri="{63B3BB69-23CF-44E3-9099-C40C66FF867C}">
                    <a14:compatExt spid="_x0000_s193789"/>
                  </a:ext>
                  <a:ext uri="{FF2B5EF4-FFF2-40B4-BE49-F238E27FC236}">
                    <a16:creationId xmlns:a16="http://schemas.microsoft.com/office/drawing/2014/main" id="{00000000-0008-0000-1F00-0000310000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52" name="Group Box 254" hidden="1">
                <a:extLst>
                  <a:ext uri="{63B3BB69-23CF-44E3-9099-C40C66FF867C}">
                    <a14:compatExt spid="_x0000_s193790"/>
                  </a:ext>
                  <a:ext uri="{FF2B5EF4-FFF2-40B4-BE49-F238E27FC236}">
                    <a16:creationId xmlns:a16="http://schemas.microsoft.com/office/drawing/2014/main" id="{00000000-0008-0000-1F00-000034000000}"/>
                  </a:ext>
                </a:extLst>
              </xdr:cNvPr>
              <xdr:cNvSpPr/>
            </xdr:nvSpPr>
            <xdr:spPr bwMode="auto">
              <a:xfrm>
                <a:off x="2994693" y="2201908"/>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22746</xdr:colOff>
      <xdr:row>12</xdr:row>
      <xdr:rowOff>22746</xdr:rowOff>
    </xdr:from>
    <xdr:to>
      <xdr:col>9</xdr:col>
      <xdr:colOff>4571656</xdr:colOff>
      <xdr:row>12</xdr:row>
      <xdr:rowOff>1627565</xdr:rowOff>
    </xdr:to>
    <xdr:sp macro="" textlink="" fLocksText="0">
      <xdr:nvSpPr>
        <xdr:cNvPr id="53" name="ZoneTexte 52">
          <a:extLst>
            <a:ext uri="{FF2B5EF4-FFF2-40B4-BE49-F238E27FC236}">
              <a16:creationId xmlns:a16="http://schemas.microsoft.com/office/drawing/2014/main" id="{2D066442-587E-4526-A02C-37B50AF3B794}"/>
            </a:ext>
          </a:extLst>
        </xdr:cNvPr>
        <xdr:cNvSpPr txBox="1">
          <a:spLocks noChangeArrowheads="1"/>
        </xdr:cNvSpPr>
      </xdr:nvSpPr>
      <xdr:spPr bwMode="auto">
        <a:xfrm>
          <a:off x="6892119" y="503829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28</xdr:row>
      <xdr:rowOff>22746</xdr:rowOff>
    </xdr:from>
    <xdr:to>
      <xdr:col>9</xdr:col>
      <xdr:colOff>4571656</xdr:colOff>
      <xdr:row>28</xdr:row>
      <xdr:rowOff>1627565</xdr:rowOff>
    </xdr:to>
    <xdr:sp macro="" textlink="" fLocksText="0">
      <xdr:nvSpPr>
        <xdr:cNvPr id="57" name="ZoneTexte 56">
          <a:extLst>
            <a:ext uri="{FF2B5EF4-FFF2-40B4-BE49-F238E27FC236}">
              <a16:creationId xmlns:a16="http://schemas.microsoft.com/office/drawing/2014/main" id="{8EEC9B86-85F5-49BD-82C3-060FFA71ED93}"/>
            </a:ext>
          </a:extLst>
        </xdr:cNvPr>
        <xdr:cNvSpPr txBox="1">
          <a:spLocks noChangeArrowheads="1"/>
        </xdr:cNvSpPr>
      </xdr:nvSpPr>
      <xdr:spPr bwMode="auto">
        <a:xfrm>
          <a:off x="6892119" y="17150686"/>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44</xdr:row>
      <xdr:rowOff>22746</xdr:rowOff>
    </xdr:from>
    <xdr:to>
      <xdr:col>9</xdr:col>
      <xdr:colOff>4571656</xdr:colOff>
      <xdr:row>44</xdr:row>
      <xdr:rowOff>1627565</xdr:rowOff>
    </xdr:to>
    <xdr:sp macro="" textlink="" fLocksText="0">
      <xdr:nvSpPr>
        <xdr:cNvPr id="58" name="ZoneTexte 57">
          <a:extLst>
            <a:ext uri="{FF2B5EF4-FFF2-40B4-BE49-F238E27FC236}">
              <a16:creationId xmlns:a16="http://schemas.microsoft.com/office/drawing/2014/main" id="{273B99E0-1DF1-43A3-BB7F-8B2B25A756CE}"/>
            </a:ext>
          </a:extLst>
        </xdr:cNvPr>
        <xdr:cNvSpPr txBox="1">
          <a:spLocks noChangeArrowheads="1"/>
        </xdr:cNvSpPr>
      </xdr:nvSpPr>
      <xdr:spPr bwMode="auto">
        <a:xfrm>
          <a:off x="6892119" y="28728537"/>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22746</xdr:colOff>
      <xdr:row>60</xdr:row>
      <xdr:rowOff>22746</xdr:rowOff>
    </xdr:from>
    <xdr:to>
      <xdr:col>9</xdr:col>
      <xdr:colOff>4571656</xdr:colOff>
      <xdr:row>60</xdr:row>
      <xdr:rowOff>1627565</xdr:rowOff>
    </xdr:to>
    <xdr:sp macro="" textlink="" fLocksText="0">
      <xdr:nvSpPr>
        <xdr:cNvPr id="59" name="ZoneTexte 58">
          <a:extLst>
            <a:ext uri="{FF2B5EF4-FFF2-40B4-BE49-F238E27FC236}">
              <a16:creationId xmlns:a16="http://schemas.microsoft.com/office/drawing/2014/main" id="{985E6519-6F15-4BA0-86AE-B974594E1FBC}"/>
            </a:ext>
          </a:extLst>
        </xdr:cNvPr>
        <xdr:cNvSpPr txBox="1">
          <a:spLocks noChangeArrowheads="1"/>
        </xdr:cNvSpPr>
      </xdr:nvSpPr>
      <xdr:spPr bwMode="auto">
        <a:xfrm>
          <a:off x="6892119" y="44662298"/>
          <a:ext cx="4548910" cy="1604819"/>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1002632</xdr:colOff>
      <xdr:row>21</xdr:row>
      <xdr:rowOff>147050</xdr:rowOff>
    </xdr:from>
    <xdr:to>
      <xdr:col>6</xdr:col>
      <xdr:colOff>4066507</xdr:colOff>
      <xdr:row>22</xdr:row>
      <xdr:rowOff>177887</xdr:rowOff>
    </xdr:to>
    <xdr:sp macro="[0]!CalculMaturiteVF" textlink="">
      <xdr:nvSpPr>
        <xdr:cNvPr id="2" name="Rectangle : coins arrondis 1">
          <a:extLst>
            <a:ext uri="{FF2B5EF4-FFF2-40B4-BE49-F238E27FC236}">
              <a16:creationId xmlns:a16="http://schemas.microsoft.com/office/drawing/2014/main" id="{00000000-0008-0000-2100-000002000000}"/>
            </a:ext>
          </a:extLst>
        </xdr:cNvPr>
        <xdr:cNvSpPr/>
      </xdr:nvSpPr>
      <xdr:spPr>
        <a:xfrm>
          <a:off x="3569369" y="8194839"/>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271219</xdr:colOff>
      <xdr:row>3</xdr:row>
      <xdr:rowOff>206644</xdr:rowOff>
    </xdr:from>
    <xdr:to>
      <xdr:col>15</xdr:col>
      <xdr:colOff>387457</xdr:colOff>
      <xdr:row>18</xdr:row>
      <xdr:rowOff>12915</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22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12</xdr:row>
      <xdr:rowOff>57150</xdr:rowOff>
    </xdr:from>
    <xdr:to>
      <xdr:col>9</xdr:col>
      <xdr:colOff>4529666</xdr:colOff>
      <xdr:row>13</xdr:row>
      <xdr:rowOff>0</xdr:rowOff>
    </xdr:to>
    <xdr:sp macro="" textlink="">
      <xdr:nvSpPr>
        <xdr:cNvPr id="3" name="ZoneTexte 1">
          <a:extLst>
            <a:ext uri="{FF2B5EF4-FFF2-40B4-BE49-F238E27FC236}">
              <a16:creationId xmlns:a16="http://schemas.microsoft.com/office/drawing/2014/main" id="{00000000-0008-0000-2200-000003000000}"/>
            </a:ext>
          </a:extLst>
        </xdr:cNvPr>
        <xdr:cNvSpPr txBox="1">
          <a:spLocks noChangeArrowheads="1"/>
        </xdr:cNvSpPr>
      </xdr:nvSpPr>
      <xdr:spPr bwMode="auto">
        <a:xfrm>
          <a:off x="6894195" y="5078730"/>
          <a:ext cx="4501091"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22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2200-000005000000}"/>
                </a:ext>
              </a:extLst>
            </xdr:cNvPr>
            <xdr:cNvGrpSpPr/>
          </xdr:nvGrpSpPr>
          <xdr:grpSpPr>
            <a:xfrm>
              <a:off x="3706091" y="5045364"/>
              <a:ext cx="1962727" cy="1651000"/>
              <a:chOff x="2995447" y="3846801"/>
              <a:chExt cx="1960181" cy="1644869"/>
            </a:xfrm>
          </xdr:grpSpPr>
          <xdr:sp macro="" textlink="">
            <xdr:nvSpPr>
              <xdr:cNvPr id="76801" name="Option Button 1" hidden="1">
                <a:extLst>
                  <a:ext uri="{63B3BB69-23CF-44E3-9099-C40C66FF867C}">
                    <a14:compatExt spid="_x0000_s76801"/>
                  </a:ext>
                  <a:ext uri="{FF2B5EF4-FFF2-40B4-BE49-F238E27FC236}">
                    <a16:creationId xmlns:a16="http://schemas.microsoft.com/office/drawing/2014/main" id="{00000000-0008-0000-2100-000001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02" name="Option Button 2" hidden="1">
                <a:extLst>
                  <a:ext uri="{63B3BB69-23CF-44E3-9099-C40C66FF867C}">
                    <a14:compatExt spid="_x0000_s76802"/>
                  </a:ext>
                  <a:ext uri="{FF2B5EF4-FFF2-40B4-BE49-F238E27FC236}">
                    <a16:creationId xmlns:a16="http://schemas.microsoft.com/office/drawing/2014/main" id="{00000000-0008-0000-2100-000002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03" name="Option Button 3" hidden="1">
                <a:extLst>
                  <a:ext uri="{63B3BB69-23CF-44E3-9099-C40C66FF867C}">
                    <a14:compatExt spid="_x0000_s76803"/>
                  </a:ext>
                  <a:ext uri="{FF2B5EF4-FFF2-40B4-BE49-F238E27FC236}">
                    <a16:creationId xmlns:a16="http://schemas.microsoft.com/office/drawing/2014/main" id="{00000000-0008-0000-2100-000003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04" name="Option Button 4" hidden="1">
                <a:extLst>
                  <a:ext uri="{63B3BB69-23CF-44E3-9099-C40C66FF867C}">
                    <a14:compatExt spid="_x0000_s76804"/>
                  </a:ext>
                  <a:ext uri="{FF2B5EF4-FFF2-40B4-BE49-F238E27FC236}">
                    <a16:creationId xmlns:a16="http://schemas.microsoft.com/office/drawing/2014/main" id="{00000000-0008-0000-2100-000004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05" name="Group Box 5" hidden="1">
                <a:extLst>
                  <a:ext uri="{63B3BB69-23CF-44E3-9099-C40C66FF867C}">
                    <a14:compatExt spid="_x0000_s76805"/>
                  </a:ext>
                  <a:ext uri="{FF2B5EF4-FFF2-40B4-BE49-F238E27FC236}">
                    <a16:creationId xmlns:a16="http://schemas.microsoft.com/office/drawing/2014/main" id="{00000000-0008-0000-2100-0000052C0100}"/>
                  </a:ext>
                </a:extLst>
              </xdr:cNvPr>
              <xdr:cNvSpPr/>
            </xdr:nvSpPr>
            <xdr:spPr bwMode="auto">
              <a:xfrm>
                <a:off x="2995447" y="384680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22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22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22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22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8</xdr:col>
          <xdr:colOff>0</xdr:colOff>
          <xdr:row>17</xdr:row>
          <xdr:rowOff>0</xdr:rowOff>
        </xdr:to>
        <xdr:sp macro="" textlink="">
          <xdr:nvSpPr>
            <xdr:cNvPr id="76806" name="Group Box 6" hidden="1">
              <a:extLst>
                <a:ext uri="{63B3BB69-23CF-44E3-9099-C40C66FF867C}">
                  <a14:compatExt spid="_x0000_s76806"/>
                </a:ext>
                <a:ext uri="{FF2B5EF4-FFF2-40B4-BE49-F238E27FC236}">
                  <a16:creationId xmlns:a16="http://schemas.microsoft.com/office/drawing/2014/main" id="{00000000-0008-0000-2100-000006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2200-00000A000000}"/>
                </a:ext>
              </a:extLst>
            </xdr:cNvPr>
            <xdr:cNvGrpSpPr/>
          </xdr:nvGrpSpPr>
          <xdr:grpSpPr>
            <a:xfrm>
              <a:off x="3706091" y="3394366"/>
              <a:ext cx="1964316" cy="1653056"/>
              <a:chOff x="3693197" y="3303806"/>
              <a:chExt cx="1959428" cy="1648421"/>
            </a:xfrm>
          </xdr:grpSpPr>
          <xdr:sp macro="" textlink="">
            <xdr:nvSpPr>
              <xdr:cNvPr id="76807" name="Group Box 7" hidden="1">
                <a:extLst>
                  <a:ext uri="{63B3BB69-23CF-44E3-9099-C40C66FF867C}">
                    <a14:compatExt spid="_x0000_s76807"/>
                  </a:ext>
                  <a:ext uri="{FF2B5EF4-FFF2-40B4-BE49-F238E27FC236}">
                    <a16:creationId xmlns:a16="http://schemas.microsoft.com/office/drawing/2014/main" id="{00000000-0008-0000-2100-0000072C0100}"/>
                  </a:ext>
                </a:extLst>
              </xdr:cNvPr>
              <xdr:cNvSpPr/>
            </xdr:nvSpPr>
            <xdr:spPr bwMode="auto">
              <a:xfrm>
                <a:off x="3693197" y="3303806"/>
                <a:ext cx="1959426" cy="1648421"/>
              </a:xfrm>
              <a:prstGeom prst="rect">
                <a:avLst/>
              </a:prstGeom>
              <a:noFill/>
              <a:ln w="9525">
                <a:miter lim="800000"/>
                <a:headEnd/>
                <a:tailEnd/>
              </a:ln>
              <a:extLst>
                <a:ext uri="{909E8E84-426E-40DD-AFC4-6F175D3DCCD1}">
                  <a14:hiddenFill>
                    <a:noFill/>
                  </a14:hiddenFill>
                </a:ext>
              </a:extLst>
            </xdr:spPr>
          </xdr:sp>
          <xdr:sp macro="" textlink="">
            <xdr:nvSpPr>
              <xdr:cNvPr id="76808" name="Option Button 8" descr="Case d'option 47" hidden="1">
                <a:extLst>
                  <a:ext uri="{63B3BB69-23CF-44E3-9099-C40C66FF867C}">
                    <a14:compatExt spid="_x0000_s76808"/>
                  </a:ext>
                  <a:ext uri="{FF2B5EF4-FFF2-40B4-BE49-F238E27FC236}">
                    <a16:creationId xmlns:a16="http://schemas.microsoft.com/office/drawing/2014/main" id="{00000000-0008-0000-2100-0000082C01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09" name="Option Button 9" hidden="1">
                <a:extLst>
                  <a:ext uri="{63B3BB69-23CF-44E3-9099-C40C66FF867C}">
                    <a14:compatExt spid="_x0000_s76809"/>
                  </a:ext>
                  <a:ext uri="{FF2B5EF4-FFF2-40B4-BE49-F238E27FC236}">
                    <a16:creationId xmlns:a16="http://schemas.microsoft.com/office/drawing/2014/main" id="{00000000-0008-0000-2100-0000092C01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10" name="Option Button 10" hidden="1">
                <a:extLst>
                  <a:ext uri="{63B3BB69-23CF-44E3-9099-C40C66FF867C}">
                    <a14:compatExt spid="_x0000_s76810"/>
                  </a:ext>
                  <a:ext uri="{FF2B5EF4-FFF2-40B4-BE49-F238E27FC236}">
                    <a16:creationId xmlns:a16="http://schemas.microsoft.com/office/drawing/2014/main" id="{00000000-0008-0000-2100-00000A2C01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11" name="Option Button 11" hidden="1">
                <a:extLst>
                  <a:ext uri="{63B3BB69-23CF-44E3-9099-C40C66FF867C}">
                    <a14:compatExt spid="_x0000_s76811"/>
                  </a:ext>
                  <a:ext uri="{FF2B5EF4-FFF2-40B4-BE49-F238E27FC236}">
                    <a16:creationId xmlns:a16="http://schemas.microsoft.com/office/drawing/2014/main" id="{00000000-0008-0000-2100-00000B2C01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0</xdr:rowOff>
        </xdr:from>
        <xdr:to>
          <xdr:col>8</xdr:col>
          <xdr:colOff>0</xdr:colOff>
          <xdr:row>18</xdr:row>
          <xdr:rowOff>376</xdr:rowOff>
        </xdr:to>
        <xdr:grpSp>
          <xdr:nvGrpSpPr>
            <xdr:cNvPr id="11" name="Groupe 10">
              <a:extLst>
                <a:ext uri="{FF2B5EF4-FFF2-40B4-BE49-F238E27FC236}">
                  <a16:creationId xmlns:a16="http://schemas.microsoft.com/office/drawing/2014/main" id="{00000000-0008-0000-2200-00000B000000}"/>
                </a:ext>
              </a:extLst>
            </xdr:cNvPr>
            <xdr:cNvGrpSpPr/>
          </xdr:nvGrpSpPr>
          <xdr:grpSpPr>
            <a:xfrm>
              <a:off x="3706091" y="13300364"/>
              <a:ext cx="1962727" cy="1651376"/>
              <a:chOff x="2995447" y="3846779"/>
              <a:chExt cx="1960181" cy="1644870"/>
            </a:xfrm>
          </xdr:grpSpPr>
          <xdr:sp macro="" textlink="">
            <xdr:nvSpPr>
              <xdr:cNvPr id="76812" name="Option Button 12" hidden="1">
                <a:extLst>
                  <a:ext uri="{63B3BB69-23CF-44E3-9099-C40C66FF867C}">
                    <a14:compatExt spid="_x0000_s76812"/>
                  </a:ext>
                  <a:ext uri="{FF2B5EF4-FFF2-40B4-BE49-F238E27FC236}">
                    <a16:creationId xmlns:a16="http://schemas.microsoft.com/office/drawing/2014/main" id="{00000000-0008-0000-2100-00000C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13" name="Option Button 13" hidden="1">
                <a:extLst>
                  <a:ext uri="{63B3BB69-23CF-44E3-9099-C40C66FF867C}">
                    <a14:compatExt spid="_x0000_s76813"/>
                  </a:ext>
                  <a:ext uri="{FF2B5EF4-FFF2-40B4-BE49-F238E27FC236}">
                    <a16:creationId xmlns:a16="http://schemas.microsoft.com/office/drawing/2014/main" id="{00000000-0008-0000-2100-00000D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14" name="Option Button 14" hidden="1">
                <a:extLst>
                  <a:ext uri="{63B3BB69-23CF-44E3-9099-C40C66FF867C}">
                    <a14:compatExt spid="_x0000_s76814"/>
                  </a:ext>
                  <a:ext uri="{FF2B5EF4-FFF2-40B4-BE49-F238E27FC236}">
                    <a16:creationId xmlns:a16="http://schemas.microsoft.com/office/drawing/2014/main" id="{00000000-0008-0000-2100-00000E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15" name="Option Button 15" hidden="1">
                <a:extLst>
                  <a:ext uri="{63B3BB69-23CF-44E3-9099-C40C66FF867C}">
                    <a14:compatExt spid="_x0000_s76815"/>
                  </a:ext>
                  <a:ext uri="{FF2B5EF4-FFF2-40B4-BE49-F238E27FC236}">
                    <a16:creationId xmlns:a16="http://schemas.microsoft.com/office/drawing/2014/main" id="{00000000-0008-0000-2100-00000F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16" name="Group Box 16" hidden="1">
                <a:extLst>
                  <a:ext uri="{63B3BB69-23CF-44E3-9099-C40C66FF867C}">
                    <a14:compatExt spid="_x0000_s76816"/>
                  </a:ext>
                  <a:ext uri="{FF2B5EF4-FFF2-40B4-BE49-F238E27FC236}">
                    <a16:creationId xmlns:a16="http://schemas.microsoft.com/office/drawing/2014/main" id="{00000000-0008-0000-2100-0000102C0100}"/>
                  </a:ext>
                </a:extLst>
              </xdr:cNvPr>
              <xdr:cNvSpPr/>
            </xdr:nvSpPr>
            <xdr:spPr bwMode="auto">
              <a:xfrm>
                <a:off x="2995447" y="3846779"/>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16</xdr:row>
          <xdr:rowOff>0</xdr:rowOff>
        </xdr:from>
        <xdr:to>
          <xdr:col>8</xdr:col>
          <xdr:colOff>2200</xdr:colOff>
          <xdr:row>17</xdr:row>
          <xdr:rowOff>344</xdr:rowOff>
        </xdr:to>
        <xdr:grpSp>
          <xdr:nvGrpSpPr>
            <xdr:cNvPr id="12" name="Groupe 11">
              <a:extLst>
                <a:ext uri="{FF2B5EF4-FFF2-40B4-BE49-F238E27FC236}">
                  <a16:creationId xmlns:a16="http://schemas.microsoft.com/office/drawing/2014/main" id="{00000000-0008-0000-2200-00000C000000}"/>
                </a:ext>
              </a:extLst>
            </xdr:cNvPr>
            <xdr:cNvGrpSpPr/>
          </xdr:nvGrpSpPr>
          <xdr:grpSpPr>
            <a:xfrm>
              <a:off x="3707548" y="11649364"/>
              <a:ext cx="1963470" cy="1651344"/>
              <a:chOff x="2994655" y="2234198"/>
              <a:chExt cx="1960973" cy="1614638"/>
            </a:xfrm>
          </xdr:grpSpPr>
          <xdr:sp macro="" textlink="">
            <xdr:nvSpPr>
              <xdr:cNvPr id="76817" name="Option Button 17" descr="Case d'option 47" hidden="1">
                <a:extLst>
                  <a:ext uri="{63B3BB69-23CF-44E3-9099-C40C66FF867C}">
                    <a14:compatExt spid="_x0000_s76817"/>
                  </a:ext>
                  <a:ext uri="{FF2B5EF4-FFF2-40B4-BE49-F238E27FC236}">
                    <a16:creationId xmlns:a16="http://schemas.microsoft.com/office/drawing/2014/main" id="{00000000-0008-0000-2100-000011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18" name="Option Button 18" hidden="1">
                <a:extLst>
                  <a:ext uri="{63B3BB69-23CF-44E3-9099-C40C66FF867C}">
                    <a14:compatExt spid="_x0000_s76818"/>
                  </a:ext>
                  <a:ext uri="{FF2B5EF4-FFF2-40B4-BE49-F238E27FC236}">
                    <a16:creationId xmlns:a16="http://schemas.microsoft.com/office/drawing/2014/main" id="{00000000-0008-0000-2100-000012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19" name="Option Button 19" hidden="1">
                <a:extLst>
                  <a:ext uri="{63B3BB69-23CF-44E3-9099-C40C66FF867C}">
                    <a14:compatExt spid="_x0000_s76819"/>
                  </a:ext>
                  <a:ext uri="{FF2B5EF4-FFF2-40B4-BE49-F238E27FC236}">
                    <a16:creationId xmlns:a16="http://schemas.microsoft.com/office/drawing/2014/main" id="{00000000-0008-0000-2100-000013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20" name="Option Button 20" hidden="1">
                <a:extLst>
                  <a:ext uri="{63B3BB69-23CF-44E3-9099-C40C66FF867C}">
                    <a14:compatExt spid="_x0000_s76820"/>
                  </a:ext>
                  <a:ext uri="{FF2B5EF4-FFF2-40B4-BE49-F238E27FC236}">
                    <a16:creationId xmlns:a16="http://schemas.microsoft.com/office/drawing/2014/main" id="{00000000-0008-0000-2100-000014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21" name="Group Box 21" hidden="1">
                <a:extLst>
                  <a:ext uri="{63B3BB69-23CF-44E3-9099-C40C66FF867C}">
                    <a14:compatExt spid="_x0000_s76821"/>
                  </a:ext>
                  <a:ext uri="{FF2B5EF4-FFF2-40B4-BE49-F238E27FC236}">
                    <a16:creationId xmlns:a16="http://schemas.microsoft.com/office/drawing/2014/main" id="{00000000-0008-0000-2100-0000152C0100}"/>
                  </a:ext>
                </a:extLst>
              </xdr:cNvPr>
              <xdr:cNvSpPr/>
            </xdr:nvSpPr>
            <xdr:spPr bwMode="auto">
              <a:xfrm>
                <a:off x="2994655" y="2234198"/>
                <a:ext cx="1960970" cy="161463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2200-00000D000000}"/>
                </a:ext>
              </a:extLst>
            </xdr:cNvPr>
            <xdr:cNvGrpSpPr/>
          </xdr:nvGrpSpPr>
          <xdr:grpSpPr>
            <a:xfrm>
              <a:off x="3706091" y="9998368"/>
              <a:ext cx="1962727" cy="1650997"/>
              <a:chOff x="2995447" y="3846789"/>
              <a:chExt cx="1960181" cy="1673560"/>
            </a:xfrm>
          </xdr:grpSpPr>
          <xdr:sp macro="" textlink="">
            <xdr:nvSpPr>
              <xdr:cNvPr id="76822" name="Option Button 22" hidden="1">
                <a:extLst>
                  <a:ext uri="{63B3BB69-23CF-44E3-9099-C40C66FF867C}">
                    <a14:compatExt spid="_x0000_s76822"/>
                  </a:ext>
                  <a:ext uri="{FF2B5EF4-FFF2-40B4-BE49-F238E27FC236}">
                    <a16:creationId xmlns:a16="http://schemas.microsoft.com/office/drawing/2014/main" id="{00000000-0008-0000-2100-0000162C01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23" name="Option Button 23" hidden="1">
                <a:extLst>
                  <a:ext uri="{63B3BB69-23CF-44E3-9099-C40C66FF867C}">
                    <a14:compatExt spid="_x0000_s76823"/>
                  </a:ext>
                  <a:ext uri="{FF2B5EF4-FFF2-40B4-BE49-F238E27FC236}">
                    <a16:creationId xmlns:a16="http://schemas.microsoft.com/office/drawing/2014/main" id="{00000000-0008-0000-2100-0000172C0100}"/>
                  </a:ext>
                </a:extLst>
              </xdr:cNvPr>
              <xdr:cNvSpPr/>
            </xdr:nvSpPr>
            <xdr:spPr bwMode="auto">
              <a:xfrm>
                <a:off x="3109748" y="424302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24" name="Option Button 24" hidden="1">
                <a:extLst>
                  <a:ext uri="{63B3BB69-23CF-44E3-9099-C40C66FF867C}">
                    <a14:compatExt spid="_x0000_s76824"/>
                  </a:ext>
                  <a:ext uri="{FF2B5EF4-FFF2-40B4-BE49-F238E27FC236}">
                    <a16:creationId xmlns:a16="http://schemas.microsoft.com/office/drawing/2014/main" id="{00000000-0008-0000-2100-0000182C0100}"/>
                  </a:ext>
                </a:extLst>
              </xdr:cNvPr>
              <xdr:cNvSpPr/>
            </xdr:nvSpPr>
            <xdr:spPr bwMode="auto">
              <a:xfrm>
                <a:off x="3109748" y="448686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25" name="Option Button 25" hidden="1">
                <a:extLst>
                  <a:ext uri="{63B3BB69-23CF-44E3-9099-C40C66FF867C}">
                    <a14:compatExt spid="_x0000_s76825"/>
                  </a:ext>
                  <a:ext uri="{FF2B5EF4-FFF2-40B4-BE49-F238E27FC236}">
                    <a16:creationId xmlns:a16="http://schemas.microsoft.com/office/drawing/2014/main" id="{00000000-0008-0000-2100-0000192C01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26" name="Group Box 26" hidden="1">
                <a:extLst>
                  <a:ext uri="{63B3BB69-23CF-44E3-9099-C40C66FF867C}">
                    <a14:compatExt spid="_x0000_s76826"/>
                  </a:ext>
                  <a:ext uri="{FF2B5EF4-FFF2-40B4-BE49-F238E27FC236}">
                    <a16:creationId xmlns:a16="http://schemas.microsoft.com/office/drawing/2014/main" id="{00000000-0008-0000-2100-00001A2C0100}"/>
                  </a:ext>
                </a:extLst>
              </xdr:cNvPr>
              <xdr:cNvSpPr/>
            </xdr:nvSpPr>
            <xdr:spPr bwMode="auto">
              <a:xfrm>
                <a:off x="2995447" y="3846789"/>
                <a:ext cx="1960181" cy="167356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2200-00000E000000}"/>
                </a:ext>
              </a:extLst>
            </xdr:cNvPr>
            <xdr:cNvGrpSpPr/>
          </xdr:nvGrpSpPr>
          <xdr:grpSpPr>
            <a:xfrm>
              <a:off x="3706091" y="8347364"/>
              <a:ext cx="1962727" cy="1653058"/>
              <a:chOff x="2991529" y="2201918"/>
              <a:chExt cx="1964147" cy="1646925"/>
            </a:xfrm>
            <a:solidFill>
              <a:schemeClr val="accent1"/>
            </a:solidFill>
          </xdr:grpSpPr>
          <xdr:sp macro="" textlink="">
            <xdr:nvSpPr>
              <xdr:cNvPr id="76827" name="Option Button 27" descr="Case d'option 47" hidden="1">
                <a:extLst>
                  <a:ext uri="{63B3BB69-23CF-44E3-9099-C40C66FF867C}">
                    <a14:compatExt spid="_x0000_s76827"/>
                  </a:ext>
                  <a:ext uri="{FF2B5EF4-FFF2-40B4-BE49-F238E27FC236}">
                    <a16:creationId xmlns:a16="http://schemas.microsoft.com/office/drawing/2014/main" id="{00000000-0008-0000-2100-00001B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28" name="Option Button 28" hidden="1">
                <a:extLst>
                  <a:ext uri="{63B3BB69-23CF-44E3-9099-C40C66FF867C}">
                    <a14:compatExt spid="_x0000_s76828"/>
                  </a:ext>
                  <a:ext uri="{FF2B5EF4-FFF2-40B4-BE49-F238E27FC236}">
                    <a16:creationId xmlns:a16="http://schemas.microsoft.com/office/drawing/2014/main" id="{00000000-0008-0000-2100-00001C2C01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29" name="Option Button 29" hidden="1">
                <a:extLst>
                  <a:ext uri="{63B3BB69-23CF-44E3-9099-C40C66FF867C}">
                    <a14:compatExt spid="_x0000_s76829"/>
                  </a:ext>
                  <a:ext uri="{FF2B5EF4-FFF2-40B4-BE49-F238E27FC236}">
                    <a16:creationId xmlns:a16="http://schemas.microsoft.com/office/drawing/2014/main" id="{00000000-0008-0000-2100-00001D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30" name="Option Button 30" hidden="1">
                <a:extLst>
                  <a:ext uri="{63B3BB69-23CF-44E3-9099-C40C66FF867C}">
                    <a14:compatExt spid="_x0000_s76830"/>
                  </a:ext>
                  <a:ext uri="{FF2B5EF4-FFF2-40B4-BE49-F238E27FC236}">
                    <a16:creationId xmlns:a16="http://schemas.microsoft.com/office/drawing/2014/main" id="{00000000-0008-0000-2100-00001E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31" name="Group Box 31" hidden="1">
                <a:extLst>
                  <a:ext uri="{63B3BB69-23CF-44E3-9099-C40C66FF867C}">
                    <a14:compatExt spid="_x0000_s76831"/>
                  </a:ext>
                  <a:ext uri="{FF2B5EF4-FFF2-40B4-BE49-F238E27FC236}">
                    <a16:creationId xmlns:a16="http://schemas.microsoft.com/office/drawing/2014/main" id="{00000000-0008-0000-2100-00001F2C0100}"/>
                  </a:ext>
                </a:extLst>
              </xdr:cNvPr>
              <xdr:cNvSpPr/>
            </xdr:nvSpPr>
            <xdr:spPr bwMode="auto">
              <a:xfrm>
                <a:off x="2991529" y="2201918"/>
                <a:ext cx="196414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2200-00000F000000}"/>
                </a:ext>
              </a:extLst>
            </xdr:cNvPr>
            <xdr:cNvGrpSpPr/>
          </xdr:nvGrpSpPr>
          <xdr:grpSpPr>
            <a:xfrm>
              <a:off x="3706091" y="6696364"/>
              <a:ext cx="1962727" cy="1651000"/>
              <a:chOff x="2994693" y="2201920"/>
              <a:chExt cx="1960969" cy="1646929"/>
            </a:xfrm>
          </xdr:grpSpPr>
          <xdr:sp macro="" textlink="">
            <xdr:nvSpPr>
              <xdr:cNvPr id="76832" name="Option Button 32" descr="Case d'option 47" hidden="1">
                <a:extLst>
                  <a:ext uri="{63B3BB69-23CF-44E3-9099-C40C66FF867C}">
                    <a14:compatExt spid="_x0000_s76832"/>
                  </a:ext>
                  <a:ext uri="{FF2B5EF4-FFF2-40B4-BE49-F238E27FC236}">
                    <a16:creationId xmlns:a16="http://schemas.microsoft.com/office/drawing/2014/main" id="{00000000-0008-0000-2100-000020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33" name="Option Button 33" hidden="1">
                <a:extLst>
                  <a:ext uri="{63B3BB69-23CF-44E3-9099-C40C66FF867C}">
                    <a14:compatExt spid="_x0000_s76833"/>
                  </a:ext>
                  <a:ext uri="{FF2B5EF4-FFF2-40B4-BE49-F238E27FC236}">
                    <a16:creationId xmlns:a16="http://schemas.microsoft.com/office/drawing/2014/main" id="{00000000-0008-0000-2100-000021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34" name="Option Button 34" hidden="1">
                <a:extLst>
                  <a:ext uri="{63B3BB69-23CF-44E3-9099-C40C66FF867C}">
                    <a14:compatExt spid="_x0000_s76834"/>
                  </a:ext>
                  <a:ext uri="{FF2B5EF4-FFF2-40B4-BE49-F238E27FC236}">
                    <a16:creationId xmlns:a16="http://schemas.microsoft.com/office/drawing/2014/main" id="{00000000-0008-0000-2100-000022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35" name="Option Button 35" hidden="1">
                <a:extLst>
                  <a:ext uri="{63B3BB69-23CF-44E3-9099-C40C66FF867C}">
                    <a14:compatExt spid="_x0000_s76835"/>
                  </a:ext>
                  <a:ext uri="{FF2B5EF4-FFF2-40B4-BE49-F238E27FC236}">
                    <a16:creationId xmlns:a16="http://schemas.microsoft.com/office/drawing/2014/main" id="{00000000-0008-0000-2100-000023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36" name="Group Box 36" hidden="1">
                <a:extLst>
                  <a:ext uri="{63B3BB69-23CF-44E3-9099-C40C66FF867C}">
                    <a14:compatExt spid="_x0000_s76836"/>
                  </a:ext>
                  <a:ext uri="{FF2B5EF4-FFF2-40B4-BE49-F238E27FC236}">
                    <a16:creationId xmlns:a16="http://schemas.microsoft.com/office/drawing/2014/main" id="{00000000-0008-0000-2100-0000242C0100}"/>
                  </a:ext>
                </a:extLst>
              </xdr:cNvPr>
              <xdr:cNvSpPr/>
            </xdr:nvSpPr>
            <xdr:spPr bwMode="auto">
              <a:xfrm>
                <a:off x="2994693" y="2201920"/>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2200-000010000000}"/>
            </a:ext>
          </a:extLst>
        </xdr:cNvPr>
        <xdr:cNvSpPr txBox="1">
          <a:spLocks noChangeArrowheads="1"/>
        </xdr:cNvSpPr>
      </xdr:nvSpPr>
      <xdr:spPr bwMode="auto">
        <a:xfrm>
          <a:off x="6894195" y="1708404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28</xdr:row>
      <xdr:rowOff>57150</xdr:rowOff>
    </xdr:from>
    <xdr:to>
      <xdr:col>9</xdr:col>
      <xdr:colOff>4466962</xdr:colOff>
      <xdr:row>29</xdr:row>
      <xdr:rowOff>0</xdr:rowOff>
    </xdr:to>
    <xdr:sp macro="" textlink="">
      <xdr:nvSpPr>
        <xdr:cNvPr id="17" name="ZoneTexte 1">
          <a:extLst>
            <a:ext uri="{FF2B5EF4-FFF2-40B4-BE49-F238E27FC236}">
              <a16:creationId xmlns:a16="http://schemas.microsoft.com/office/drawing/2014/main" id="{00000000-0008-0000-2200-000011000000}"/>
            </a:ext>
          </a:extLst>
        </xdr:cNvPr>
        <xdr:cNvSpPr txBox="1">
          <a:spLocks noChangeArrowheads="1"/>
        </xdr:cNvSpPr>
      </xdr:nvSpPr>
      <xdr:spPr bwMode="auto">
        <a:xfrm>
          <a:off x="6894195" y="18764250"/>
          <a:ext cx="4438387"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2200-000012000000}"/>
                </a:ext>
              </a:extLst>
            </xdr:cNvPr>
            <xdr:cNvGrpSpPr/>
          </xdr:nvGrpSpPr>
          <xdr:grpSpPr>
            <a:xfrm>
              <a:off x="3706091" y="18830636"/>
              <a:ext cx="1962727" cy="1651000"/>
              <a:chOff x="2995447" y="3846798"/>
              <a:chExt cx="1960181" cy="1644869"/>
            </a:xfrm>
          </xdr:grpSpPr>
          <xdr:sp macro="" textlink="">
            <xdr:nvSpPr>
              <xdr:cNvPr id="76837" name="Option Button 37" hidden="1">
                <a:extLst>
                  <a:ext uri="{63B3BB69-23CF-44E3-9099-C40C66FF867C}">
                    <a14:compatExt spid="_x0000_s76837"/>
                  </a:ext>
                  <a:ext uri="{FF2B5EF4-FFF2-40B4-BE49-F238E27FC236}">
                    <a16:creationId xmlns:a16="http://schemas.microsoft.com/office/drawing/2014/main" id="{00000000-0008-0000-2100-000025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38" name="Option Button 38" hidden="1">
                <a:extLst>
                  <a:ext uri="{63B3BB69-23CF-44E3-9099-C40C66FF867C}">
                    <a14:compatExt spid="_x0000_s76838"/>
                  </a:ext>
                  <a:ext uri="{FF2B5EF4-FFF2-40B4-BE49-F238E27FC236}">
                    <a16:creationId xmlns:a16="http://schemas.microsoft.com/office/drawing/2014/main" id="{00000000-0008-0000-2100-000026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39" name="Option Button 39" hidden="1">
                <a:extLst>
                  <a:ext uri="{63B3BB69-23CF-44E3-9099-C40C66FF867C}">
                    <a14:compatExt spid="_x0000_s76839"/>
                  </a:ext>
                  <a:ext uri="{FF2B5EF4-FFF2-40B4-BE49-F238E27FC236}">
                    <a16:creationId xmlns:a16="http://schemas.microsoft.com/office/drawing/2014/main" id="{00000000-0008-0000-2100-000027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40" name="Option Button 40" hidden="1">
                <a:extLst>
                  <a:ext uri="{63B3BB69-23CF-44E3-9099-C40C66FF867C}">
                    <a14:compatExt spid="_x0000_s76840"/>
                  </a:ext>
                  <a:ext uri="{FF2B5EF4-FFF2-40B4-BE49-F238E27FC236}">
                    <a16:creationId xmlns:a16="http://schemas.microsoft.com/office/drawing/2014/main" id="{00000000-0008-0000-2100-000028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41" name="Group Box 41" hidden="1">
                <a:extLst>
                  <a:ext uri="{63B3BB69-23CF-44E3-9099-C40C66FF867C}">
                    <a14:compatExt spid="_x0000_s76841"/>
                  </a:ext>
                  <a:ext uri="{FF2B5EF4-FFF2-40B4-BE49-F238E27FC236}">
                    <a16:creationId xmlns:a16="http://schemas.microsoft.com/office/drawing/2014/main" id="{00000000-0008-0000-2100-0000292C0100}"/>
                  </a:ext>
                </a:extLst>
              </xdr:cNvPr>
              <xdr:cNvSpPr/>
            </xdr:nvSpPr>
            <xdr:spPr bwMode="auto">
              <a:xfrm>
                <a:off x="2995447" y="3846798"/>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2200-000013000000}"/>
            </a:ext>
          </a:extLst>
        </xdr:cNvPr>
        <xdr:cNvSpPr txBox="1">
          <a:spLocks noChangeArrowheads="1"/>
        </xdr:cNvSpPr>
      </xdr:nvSpPr>
      <xdr:spPr bwMode="auto">
        <a:xfrm>
          <a:off x="6894195" y="2036869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2200-000014000000}"/>
            </a:ext>
          </a:extLst>
        </xdr:cNvPr>
        <xdr:cNvSpPr txBox="1">
          <a:spLocks noChangeArrowheads="1"/>
        </xdr:cNvSpPr>
      </xdr:nvSpPr>
      <xdr:spPr bwMode="auto">
        <a:xfrm>
          <a:off x="6876256" y="2202180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2200-000015000000}"/>
            </a:ext>
          </a:extLst>
        </xdr:cNvPr>
        <xdr:cNvSpPr txBox="1">
          <a:spLocks noChangeArrowheads="1"/>
        </xdr:cNvSpPr>
      </xdr:nvSpPr>
      <xdr:spPr bwMode="auto">
        <a:xfrm>
          <a:off x="6876573" y="2366459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2200-000016000000}"/>
            </a:ext>
          </a:extLst>
        </xdr:cNvPr>
        <xdr:cNvSpPr txBox="1">
          <a:spLocks noChangeArrowheads="1"/>
        </xdr:cNvSpPr>
      </xdr:nvSpPr>
      <xdr:spPr bwMode="auto">
        <a:xfrm>
          <a:off x="6876573" y="2532924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2200-000017000000}"/>
            </a:ext>
          </a:extLst>
        </xdr:cNvPr>
        <xdr:cNvSpPr txBox="1">
          <a:spLocks noChangeArrowheads="1"/>
        </xdr:cNvSpPr>
      </xdr:nvSpPr>
      <xdr:spPr bwMode="auto">
        <a:xfrm>
          <a:off x="6881336" y="2694876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34</xdr:row>
          <xdr:rowOff>0</xdr:rowOff>
        </xdr:to>
        <xdr:sp macro="" textlink="">
          <xdr:nvSpPr>
            <xdr:cNvPr id="76842" name="Group Box 42" hidden="1">
              <a:extLst>
                <a:ext uri="{63B3BB69-23CF-44E3-9099-C40C66FF867C}">
                  <a14:compatExt spid="_x0000_s76842"/>
                </a:ext>
                <a:ext uri="{FF2B5EF4-FFF2-40B4-BE49-F238E27FC236}">
                  <a16:creationId xmlns:a16="http://schemas.microsoft.com/office/drawing/2014/main" id="{00000000-0008-0000-2100-00002A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3017</xdr:colOff>
          <xdr:row>33</xdr:row>
          <xdr:rowOff>550</xdr:rowOff>
        </xdr:from>
        <xdr:to>
          <xdr:col>8</xdr:col>
          <xdr:colOff>0</xdr:colOff>
          <xdr:row>34</xdr:row>
          <xdr:rowOff>550</xdr:rowOff>
        </xdr:to>
        <xdr:grpSp>
          <xdr:nvGrpSpPr>
            <xdr:cNvPr id="24" name="Groupe 23">
              <a:extLst>
                <a:ext uri="{FF2B5EF4-FFF2-40B4-BE49-F238E27FC236}">
                  <a16:creationId xmlns:a16="http://schemas.microsoft.com/office/drawing/2014/main" id="{00000000-0008-0000-2200-000018000000}"/>
                </a:ext>
              </a:extLst>
            </xdr:cNvPr>
            <xdr:cNvGrpSpPr/>
          </xdr:nvGrpSpPr>
          <xdr:grpSpPr>
            <a:xfrm>
              <a:off x="3709108" y="27086186"/>
              <a:ext cx="1959710" cy="1651000"/>
              <a:chOff x="2995406" y="3846800"/>
              <a:chExt cx="1960181" cy="1644867"/>
            </a:xfrm>
          </xdr:grpSpPr>
          <xdr:sp macro="" textlink="">
            <xdr:nvSpPr>
              <xdr:cNvPr id="76843" name="Option Button 43" hidden="1">
                <a:extLst>
                  <a:ext uri="{63B3BB69-23CF-44E3-9099-C40C66FF867C}">
                    <a14:compatExt spid="_x0000_s76843"/>
                  </a:ext>
                  <a:ext uri="{FF2B5EF4-FFF2-40B4-BE49-F238E27FC236}">
                    <a16:creationId xmlns:a16="http://schemas.microsoft.com/office/drawing/2014/main" id="{00000000-0008-0000-2100-00002B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44" name="Option Button 44" hidden="1">
                <a:extLst>
                  <a:ext uri="{63B3BB69-23CF-44E3-9099-C40C66FF867C}">
                    <a14:compatExt spid="_x0000_s76844"/>
                  </a:ext>
                  <a:ext uri="{FF2B5EF4-FFF2-40B4-BE49-F238E27FC236}">
                    <a16:creationId xmlns:a16="http://schemas.microsoft.com/office/drawing/2014/main" id="{00000000-0008-0000-2100-00002C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45" name="Option Button 45" hidden="1">
                <a:extLst>
                  <a:ext uri="{63B3BB69-23CF-44E3-9099-C40C66FF867C}">
                    <a14:compatExt spid="_x0000_s76845"/>
                  </a:ext>
                  <a:ext uri="{FF2B5EF4-FFF2-40B4-BE49-F238E27FC236}">
                    <a16:creationId xmlns:a16="http://schemas.microsoft.com/office/drawing/2014/main" id="{00000000-0008-0000-2100-00002D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46" name="Option Button 46" hidden="1">
                <a:extLst>
                  <a:ext uri="{63B3BB69-23CF-44E3-9099-C40C66FF867C}">
                    <a14:compatExt spid="_x0000_s76846"/>
                  </a:ext>
                  <a:ext uri="{FF2B5EF4-FFF2-40B4-BE49-F238E27FC236}">
                    <a16:creationId xmlns:a16="http://schemas.microsoft.com/office/drawing/2014/main" id="{00000000-0008-0000-2100-00002E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47" name="Group Box 47" hidden="1">
                <a:extLst>
                  <a:ext uri="{63B3BB69-23CF-44E3-9099-C40C66FF867C}">
                    <a14:compatExt spid="_x0000_s76847"/>
                  </a:ext>
                  <a:ext uri="{FF2B5EF4-FFF2-40B4-BE49-F238E27FC236}">
                    <a16:creationId xmlns:a16="http://schemas.microsoft.com/office/drawing/2014/main" id="{00000000-0008-0000-2100-00002F2C0100}"/>
                  </a:ext>
                </a:extLst>
              </xdr:cNvPr>
              <xdr:cNvSpPr/>
            </xdr:nvSpPr>
            <xdr:spPr bwMode="auto">
              <a:xfrm>
                <a:off x="2995406" y="3846800"/>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2200-000019000000}"/>
                </a:ext>
              </a:extLst>
            </xdr:cNvPr>
            <xdr:cNvGrpSpPr/>
          </xdr:nvGrpSpPr>
          <xdr:grpSpPr>
            <a:xfrm>
              <a:off x="3707548" y="25434636"/>
              <a:ext cx="1961871" cy="1651000"/>
              <a:chOff x="2994660" y="2201914"/>
              <a:chExt cx="1960968" cy="1646922"/>
            </a:xfrm>
          </xdr:grpSpPr>
          <xdr:sp macro="" textlink="">
            <xdr:nvSpPr>
              <xdr:cNvPr id="76848" name="Option Button 48" descr="Case d'option 47" hidden="1">
                <a:extLst>
                  <a:ext uri="{63B3BB69-23CF-44E3-9099-C40C66FF867C}">
                    <a14:compatExt spid="_x0000_s76848"/>
                  </a:ext>
                  <a:ext uri="{FF2B5EF4-FFF2-40B4-BE49-F238E27FC236}">
                    <a16:creationId xmlns:a16="http://schemas.microsoft.com/office/drawing/2014/main" id="{00000000-0008-0000-2100-000030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49" name="Option Button 49" hidden="1">
                <a:extLst>
                  <a:ext uri="{63B3BB69-23CF-44E3-9099-C40C66FF867C}">
                    <a14:compatExt spid="_x0000_s76849"/>
                  </a:ext>
                  <a:ext uri="{FF2B5EF4-FFF2-40B4-BE49-F238E27FC236}">
                    <a16:creationId xmlns:a16="http://schemas.microsoft.com/office/drawing/2014/main" id="{00000000-0008-0000-2100-000031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50" name="Option Button 50" hidden="1">
                <a:extLst>
                  <a:ext uri="{63B3BB69-23CF-44E3-9099-C40C66FF867C}">
                    <a14:compatExt spid="_x0000_s76850"/>
                  </a:ext>
                  <a:ext uri="{FF2B5EF4-FFF2-40B4-BE49-F238E27FC236}">
                    <a16:creationId xmlns:a16="http://schemas.microsoft.com/office/drawing/2014/main" id="{00000000-0008-0000-2100-000032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51" name="Option Button 51" hidden="1">
                <a:extLst>
                  <a:ext uri="{63B3BB69-23CF-44E3-9099-C40C66FF867C}">
                    <a14:compatExt spid="_x0000_s76851"/>
                  </a:ext>
                  <a:ext uri="{FF2B5EF4-FFF2-40B4-BE49-F238E27FC236}">
                    <a16:creationId xmlns:a16="http://schemas.microsoft.com/office/drawing/2014/main" id="{00000000-0008-0000-2100-000033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52" name="Group Box 52" hidden="1">
                <a:extLst>
                  <a:ext uri="{63B3BB69-23CF-44E3-9099-C40C66FF867C}">
                    <a14:compatExt spid="_x0000_s76852"/>
                  </a:ext>
                  <a:ext uri="{FF2B5EF4-FFF2-40B4-BE49-F238E27FC236}">
                    <a16:creationId xmlns:a16="http://schemas.microsoft.com/office/drawing/2014/main" id="{00000000-0008-0000-2100-0000342C0100}"/>
                  </a:ext>
                </a:extLst>
              </xdr:cNvPr>
              <xdr:cNvSpPr/>
            </xdr:nvSpPr>
            <xdr:spPr bwMode="auto">
              <a:xfrm>
                <a:off x="2994660" y="2201914"/>
                <a:ext cx="196095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2200-00001A000000}"/>
                </a:ext>
              </a:extLst>
            </xdr:cNvPr>
            <xdr:cNvGrpSpPr/>
          </xdr:nvGrpSpPr>
          <xdr:grpSpPr>
            <a:xfrm>
              <a:off x="3706091" y="23783639"/>
              <a:ext cx="1962727" cy="1651000"/>
              <a:chOff x="2995447" y="3846797"/>
              <a:chExt cx="1960181" cy="1644867"/>
            </a:xfrm>
          </xdr:grpSpPr>
          <xdr:sp macro="" textlink="">
            <xdr:nvSpPr>
              <xdr:cNvPr id="76853" name="Option Button 53" hidden="1">
                <a:extLst>
                  <a:ext uri="{63B3BB69-23CF-44E3-9099-C40C66FF867C}">
                    <a14:compatExt spid="_x0000_s76853"/>
                  </a:ext>
                  <a:ext uri="{FF2B5EF4-FFF2-40B4-BE49-F238E27FC236}">
                    <a16:creationId xmlns:a16="http://schemas.microsoft.com/office/drawing/2014/main" id="{00000000-0008-0000-2100-000035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54" name="Option Button 54" hidden="1">
                <a:extLst>
                  <a:ext uri="{63B3BB69-23CF-44E3-9099-C40C66FF867C}">
                    <a14:compatExt spid="_x0000_s76854"/>
                  </a:ext>
                  <a:ext uri="{FF2B5EF4-FFF2-40B4-BE49-F238E27FC236}">
                    <a16:creationId xmlns:a16="http://schemas.microsoft.com/office/drawing/2014/main" id="{00000000-0008-0000-2100-000036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55" name="Option Button 55" hidden="1">
                <a:extLst>
                  <a:ext uri="{63B3BB69-23CF-44E3-9099-C40C66FF867C}">
                    <a14:compatExt spid="_x0000_s76855"/>
                  </a:ext>
                  <a:ext uri="{FF2B5EF4-FFF2-40B4-BE49-F238E27FC236}">
                    <a16:creationId xmlns:a16="http://schemas.microsoft.com/office/drawing/2014/main" id="{00000000-0008-0000-2100-000037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56" name="Option Button 56" hidden="1">
                <a:extLst>
                  <a:ext uri="{63B3BB69-23CF-44E3-9099-C40C66FF867C}">
                    <a14:compatExt spid="_x0000_s76856"/>
                  </a:ext>
                  <a:ext uri="{FF2B5EF4-FFF2-40B4-BE49-F238E27FC236}">
                    <a16:creationId xmlns:a16="http://schemas.microsoft.com/office/drawing/2014/main" id="{00000000-0008-0000-2100-000038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57" name="Group Box 57" hidden="1">
                <a:extLst>
                  <a:ext uri="{63B3BB69-23CF-44E3-9099-C40C66FF867C}">
                    <a14:compatExt spid="_x0000_s76857"/>
                  </a:ext>
                  <a:ext uri="{FF2B5EF4-FFF2-40B4-BE49-F238E27FC236}">
                    <a16:creationId xmlns:a16="http://schemas.microsoft.com/office/drawing/2014/main" id="{00000000-0008-0000-2100-0000392C0100}"/>
                  </a:ext>
                </a:extLst>
              </xdr:cNvPr>
              <xdr:cNvSpPr/>
            </xdr:nvSpPr>
            <xdr:spPr bwMode="auto">
              <a:xfrm>
                <a:off x="2995447" y="3846797"/>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2200-00001B000000}"/>
                </a:ext>
              </a:extLst>
            </xdr:cNvPr>
            <xdr:cNvGrpSpPr/>
          </xdr:nvGrpSpPr>
          <xdr:grpSpPr>
            <a:xfrm>
              <a:off x="3706651" y="22132943"/>
              <a:ext cx="1954893" cy="1652751"/>
              <a:chOff x="2994659" y="2201926"/>
              <a:chExt cx="1960969" cy="1646924"/>
            </a:xfrm>
          </xdr:grpSpPr>
          <xdr:sp macro="" textlink="">
            <xdr:nvSpPr>
              <xdr:cNvPr id="76858" name="Option Button 58" descr="Case d'option 47" hidden="1">
                <a:extLst>
                  <a:ext uri="{63B3BB69-23CF-44E3-9099-C40C66FF867C}">
                    <a14:compatExt spid="_x0000_s76858"/>
                  </a:ext>
                  <a:ext uri="{FF2B5EF4-FFF2-40B4-BE49-F238E27FC236}">
                    <a16:creationId xmlns:a16="http://schemas.microsoft.com/office/drawing/2014/main" id="{00000000-0008-0000-2100-00003A2C01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59" name="Option Button 59" hidden="1">
                <a:extLst>
                  <a:ext uri="{63B3BB69-23CF-44E3-9099-C40C66FF867C}">
                    <a14:compatExt spid="_x0000_s76859"/>
                  </a:ext>
                  <a:ext uri="{FF2B5EF4-FFF2-40B4-BE49-F238E27FC236}">
                    <a16:creationId xmlns:a16="http://schemas.microsoft.com/office/drawing/2014/main" id="{00000000-0008-0000-2100-00003B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60" name="Option Button 60" hidden="1">
                <a:extLst>
                  <a:ext uri="{63B3BB69-23CF-44E3-9099-C40C66FF867C}">
                    <a14:compatExt spid="_x0000_s76860"/>
                  </a:ext>
                  <a:ext uri="{FF2B5EF4-FFF2-40B4-BE49-F238E27FC236}">
                    <a16:creationId xmlns:a16="http://schemas.microsoft.com/office/drawing/2014/main" id="{00000000-0008-0000-2100-00003C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61" name="Option Button 61" hidden="1">
                <a:extLst>
                  <a:ext uri="{63B3BB69-23CF-44E3-9099-C40C66FF867C}">
                    <a14:compatExt spid="_x0000_s76861"/>
                  </a:ext>
                  <a:ext uri="{FF2B5EF4-FFF2-40B4-BE49-F238E27FC236}">
                    <a16:creationId xmlns:a16="http://schemas.microsoft.com/office/drawing/2014/main" id="{00000000-0008-0000-2100-00003D2C01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62" name="Group Box 62" hidden="1">
                <a:extLst>
                  <a:ext uri="{63B3BB69-23CF-44E3-9099-C40C66FF867C}">
                    <a14:compatExt spid="_x0000_s76862"/>
                  </a:ext>
                  <a:ext uri="{FF2B5EF4-FFF2-40B4-BE49-F238E27FC236}">
                    <a16:creationId xmlns:a16="http://schemas.microsoft.com/office/drawing/2014/main" id="{00000000-0008-0000-2100-00003E2C0100}"/>
                  </a:ext>
                </a:extLst>
              </xdr:cNvPr>
              <xdr:cNvSpPr/>
            </xdr:nvSpPr>
            <xdr:spPr bwMode="auto">
              <a:xfrm>
                <a:off x="2994659" y="2201926"/>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2200-00001C000000}"/>
                </a:ext>
              </a:extLst>
            </xdr:cNvPr>
            <xdr:cNvGrpSpPr/>
          </xdr:nvGrpSpPr>
          <xdr:grpSpPr>
            <a:xfrm>
              <a:off x="3706091" y="20481636"/>
              <a:ext cx="1962727" cy="1651000"/>
              <a:chOff x="2994693" y="2201917"/>
              <a:chExt cx="1960969" cy="1646922"/>
            </a:xfrm>
          </xdr:grpSpPr>
          <xdr:sp macro="" textlink="">
            <xdr:nvSpPr>
              <xdr:cNvPr id="76863" name="Option Button 63" descr="Case d'option 47" hidden="1">
                <a:extLst>
                  <a:ext uri="{63B3BB69-23CF-44E3-9099-C40C66FF867C}">
                    <a14:compatExt spid="_x0000_s76863"/>
                  </a:ext>
                  <a:ext uri="{FF2B5EF4-FFF2-40B4-BE49-F238E27FC236}">
                    <a16:creationId xmlns:a16="http://schemas.microsoft.com/office/drawing/2014/main" id="{00000000-0008-0000-2100-00003F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64" name="Option Button 64" hidden="1">
                <a:extLst>
                  <a:ext uri="{63B3BB69-23CF-44E3-9099-C40C66FF867C}">
                    <a14:compatExt spid="_x0000_s76864"/>
                  </a:ext>
                  <a:ext uri="{FF2B5EF4-FFF2-40B4-BE49-F238E27FC236}">
                    <a16:creationId xmlns:a16="http://schemas.microsoft.com/office/drawing/2014/main" id="{00000000-0008-0000-2100-000040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65" name="Option Button 65" hidden="1">
                <a:extLst>
                  <a:ext uri="{63B3BB69-23CF-44E3-9099-C40C66FF867C}">
                    <a14:compatExt spid="_x0000_s76865"/>
                  </a:ext>
                  <a:ext uri="{FF2B5EF4-FFF2-40B4-BE49-F238E27FC236}">
                    <a16:creationId xmlns:a16="http://schemas.microsoft.com/office/drawing/2014/main" id="{00000000-0008-0000-2100-000041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66" name="Option Button 66" hidden="1">
                <a:extLst>
                  <a:ext uri="{63B3BB69-23CF-44E3-9099-C40C66FF867C}">
                    <a14:compatExt spid="_x0000_s76866"/>
                  </a:ext>
                  <a:ext uri="{FF2B5EF4-FFF2-40B4-BE49-F238E27FC236}">
                    <a16:creationId xmlns:a16="http://schemas.microsoft.com/office/drawing/2014/main" id="{00000000-0008-0000-2100-000042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67" name="Group Box 67" hidden="1">
                <a:extLst>
                  <a:ext uri="{63B3BB69-23CF-44E3-9099-C40C66FF867C}">
                    <a14:compatExt spid="_x0000_s76867"/>
                  </a:ext>
                  <a:ext uri="{FF2B5EF4-FFF2-40B4-BE49-F238E27FC236}">
                    <a16:creationId xmlns:a16="http://schemas.microsoft.com/office/drawing/2014/main" id="{00000000-0008-0000-2100-0000432C0100}"/>
                  </a:ext>
                </a:extLst>
              </xdr:cNvPr>
              <xdr:cNvSpPr/>
            </xdr:nvSpPr>
            <xdr:spPr bwMode="auto">
              <a:xfrm>
                <a:off x="2994693" y="2201917"/>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2200-00001D000000}"/>
            </a:ext>
          </a:extLst>
        </xdr:cNvPr>
        <xdr:cNvSpPr txBox="1">
          <a:spLocks noChangeArrowheads="1"/>
        </xdr:cNvSpPr>
      </xdr:nvSpPr>
      <xdr:spPr bwMode="auto">
        <a:xfrm>
          <a:off x="6894195" y="3076956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2200-00001E000000}"/>
                </a:ext>
              </a:extLst>
            </xdr:cNvPr>
            <xdr:cNvGrpSpPr/>
          </xdr:nvGrpSpPr>
          <xdr:grpSpPr>
            <a:xfrm>
              <a:off x="3706091" y="30964909"/>
              <a:ext cx="1962727" cy="1653055"/>
              <a:chOff x="2994697" y="2201919"/>
              <a:chExt cx="1960969" cy="1646922"/>
            </a:xfrm>
          </xdr:grpSpPr>
          <xdr:sp macro="" textlink="">
            <xdr:nvSpPr>
              <xdr:cNvPr id="76868" name="Option Button 68" descr="Case d'option 47" hidden="1">
                <a:extLst>
                  <a:ext uri="{63B3BB69-23CF-44E3-9099-C40C66FF867C}">
                    <a14:compatExt spid="_x0000_s76868"/>
                  </a:ext>
                  <a:ext uri="{FF2B5EF4-FFF2-40B4-BE49-F238E27FC236}">
                    <a16:creationId xmlns:a16="http://schemas.microsoft.com/office/drawing/2014/main" id="{00000000-0008-0000-2100-000044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69" name="Option Button 69" hidden="1">
                <a:extLst>
                  <a:ext uri="{63B3BB69-23CF-44E3-9099-C40C66FF867C}">
                    <a14:compatExt spid="_x0000_s76869"/>
                  </a:ext>
                  <a:ext uri="{FF2B5EF4-FFF2-40B4-BE49-F238E27FC236}">
                    <a16:creationId xmlns:a16="http://schemas.microsoft.com/office/drawing/2014/main" id="{00000000-0008-0000-2100-000045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70" name="Option Button 70" hidden="1">
                <a:extLst>
                  <a:ext uri="{63B3BB69-23CF-44E3-9099-C40C66FF867C}">
                    <a14:compatExt spid="_x0000_s76870"/>
                  </a:ext>
                  <a:ext uri="{FF2B5EF4-FFF2-40B4-BE49-F238E27FC236}">
                    <a16:creationId xmlns:a16="http://schemas.microsoft.com/office/drawing/2014/main" id="{00000000-0008-0000-2100-000046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71" name="Option Button 71" hidden="1">
                <a:extLst>
                  <a:ext uri="{63B3BB69-23CF-44E3-9099-C40C66FF867C}">
                    <a14:compatExt spid="_x0000_s76871"/>
                  </a:ext>
                  <a:ext uri="{FF2B5EF4-FFF2-40B4-BE49-F238E27FC236}">
                    <a16:creationId xmlns:a16="http://schemas.microsoft.com/office/drawing/2014/main" id="{00000000-0008-0000-2100-000047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72" name="Group Box 72" hidden="1">
                <a:extLst>
                  <a:ext uri="{63B3BB69-23CF-44E3-9099-C40C66FF867C}">
                    <a14:compatExt spid="_x0000_s76872"/>
                  </a:ext>
                  <a:ext uri="{FF2B5EF4-FFF2-40B4-BE49-F238E27FC236}">
                    <a16:creationId xmlns:a16="http://schemas.microsoft.com/office/drawing/2014/main" id="{00000000-0008-0000-2100-0000482C0100}"/>
                  </a:ext>
                </a:extLst>
              </xdr:cNvPr>
              <xdr:cNvSpPr/>
            </xdr:nvSpPr>
            <xdr:spPr bwMode="auto">
              <a:xfrm>
                <a:off x="2994697" y="2201919"/>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2200-00001F000000}"/>
            </a:ext>
          </a:extLst>
        </xdr:cNvPr>
        <xdr:cNvSpPr txBox="1">
          <a:spLocks noChangeArrowheads="1"/>
        </xdr:cNvSpPr>
      </xdr:nvSpPr>
      <xdr:spPr bwMode="auto">
        <a:xfrm>
          <a:off x="6894195" y="3076956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44</xdr:row>
      <xdr:rowOff>57150</xdr:rowOff>
    </xdr:from>
    <xdr:to>
      <xdr:col>9</xdr:col>
      <xdr:colOff>4490003</xdr:colOff>
      <xdr:row>45</xdr:row>
      <xdr:rowOff>0</xdr:rowOff>
    </xdr:to>
    <xdr:sp macro="" textlink="">
      <xdr:nvSpPr>
        <xdr:cNvPr id="32" name="ZoneTexte 1">
          <a:extLst>
            <a:ext uri="{FF2B5EF4-FFF2-40B4-BE49-F238E27FC236}">
              <a16:creationId xmlns:a16="http://schemas.microsoft.com/office/drawing/2014/main" id="{00000000-0008-0000-2200-000020000000}"/>
            </a:ext>
          </a:extLst>
        </xdr:cNvPr>
        <xdr:cNvSpPr txBox="1">
          <a:spLocks noChangeArrowheads="1"/>
        </xdr:cNvSpPr>
      </xdr:nvSpPr>
      <xdr:spPr bwMode="auto">
        <a:xfrm>
          <a:off x="6894195" y="32449770"/>
          <a:ext cx="4461428" cy="184785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2200-000021000000}"/>
                </a:ext>
              </a:extLst>
            </xdr:cNvPr>
            <xdr:cNvGrpSpPr/>
          </xdr:nvGrpSpPr>
          <xdr:grpSpPr>
            <a:xfrm>
              <a:off x="3706091" y="32615909"/>
              <a:ext cx="1962727" cy="1905000"/>
              <a:chOff x="2995447" y="3846786"/>
              <a:chExt cx="1960181" cy="1644869"/>
            </a:xfrm>
          </xdr:grpSpPr>
          <xdr:sp macro="" textlink="">
            <xdr:nvSpPr>
              <xdr:cNvPr id="76873" name="Option Button 73" hidden="1">
                <a:extLst>
                  <a:ext uri="{63B3BB69-23CF-44E3-9099-C40C66FF867C}">
                    <a14:compatExt spid="_x0000_s76873"/>
                  </a:ext>
                  <a:ext uri="{FF2B5EF4-FFF2-40B4-BE49-F238E27FC236}">
                    <a16:creationId xmlns:a16="http://schemas.microsoft.com/office/drawing/2014/main" id="{00000000-0008-0000-2100-000049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74" name="Option Button 74" hidden="1">
                <a:extLst>
                  <a:ext uri="{63B3BB69-23CF-44E3-9099-C40C66FF867C}">
                    <a14:compatExt spid="_x0000_s76874"/>
                  </a:ext>
                  <a:ext uri="{FF2B5EF4-FFF2-40B4-BE49-F238E27FC236}">
                    <a16:creationId xmlns:a16="http://schemas.microsoft.com/office/drawing/2014/main" id="{00000000-0008-0000-2100-00004A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75" name="Option Button 75" hidden="1">
                <a:extLst>
                  <a:ext uri="{63B3BB69-23CF-44E3-9099-C40C66FF867C}">
                    <a14:compatExt spid="_x0000_s76875"/>
                  </a:ext>
                  <a:ext uri="{FF2B5EF4-FFF2-40B4-BE49-F238E27FC236}">
                    <a16:creationId xmlns:a16="http://schemas.microsoft.com/office/drawing/2014/main" id="{00000000-0008-0000-2100-00004B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76" name="Option Button 76" hidden="1">
                <a:extLst>
                  <a:ext uri="{63B3BB69-23CF-44E3-9099-C40C66FF867C}">
                    <a14:compatExt spid="_x0000_s76876"/>
                  </a:ext>
                  <a:ext uri="{FF2B5EF4-FFF2-40B4-BE49-F238E27FC236}">
                    <a16:creationId xmlns:a16="http://schemas.microsoft.com/office/drawing/2014/main" id="{00000000-0008-0000-2100-00004C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77" name="Group Box 77" hidden="1">
                <a:extLst>
                  <a:ext uri="{63B3BB69-23CF-44E3-9099-C40C66FF867C}">
                    <a14:compatExt spid="_x0000_s76877"/>
                  </a:ext>
                  <a:ext uri="{FF2B5EF4-FFF2-40B4-BE49-F238E27FC236}">
                    <a16:creationId xmlns:a16="http://schemas.microsoft.com/office/drawing/2014/main" id="{00000000-0008-0000-2100-00004D2C0100}"/>
                  </a:ext>
                </a:extLst>
              </xdr:cNvPr>
              <xdr:cNvSpPr/>
            </xdr:nvSpPr>
            <xdr:spPr bwMode="auto">
              <a:xfrm>
                <a:off x="2995447" y="384678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2200-000022000000}"/>
            </a:ext>
          </a:extLst>
        </xdr:cNvPr>
        <xdr:cNvSpPr txBox="1">
          <a:spLocks noChangeArrowheads="1"/>
        </xdr:cNvSpPr>
      </xdr:nvSpPr>
      <xdr:spPr bwMode="auto">
        <a:xfrm>
          <a:off x="6894195" y="343132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2200-000023000000}"/>
            </a:ext>
          </a:extLst>
        </xdr:cNvPr>
        <xdr:cNvSpPr txBox="1">
          <a:spLocks noChangeArrowheads="1"/>
        </xdr:cNvSpPr>
      </xdr:nvSpPr>
      <xdr:spPr bwMode="auto">
        <a:xfrm>
          <a:off x="6876256" y="359663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2200-000024000000}"/>
                </a:ext>
              </a:extLst>
            </xdr:cNvPr>
            <xdr:cNvGrpSpPr/>
          </xdr:nvGrpSpPr>
          <xdr:grpSpPr>
            <a:xfrm>
              <a:off x="3706328" y="36171909"/>
              <a:ext cx="1962490" cy="1522150"/>
              <a:chOff x="2994692" y="2201918"/>
              <a:chExt cx="1960968" cy="1646925"/>
            </a:xfrm>
          </xdr:grpSpPr>
          <xdr:sp macro="" textlink="">
            <xdr:nvSpPr>
              <xdr:cNvPr id="76878" name="Option Button 78" descr="Case d'option 47" hidden="1">
                <a:extLst>
                  <a:ext uri="{63B3BB69-23CF-44E3-9099-C40C66FF867C}">
                    <a14:compatExt spid="_x0000_s76878"/>
                  </a:ext>
                  <a:ext uri="{FF2B5EF4-FFF2-40B4-BE49-F238E27FC236}">
                    <a16:creationId xmlns:a16="http://schemas.microsoft.com/office/drawing/2014/main" id="{00000000-0008-0000-2100-00004E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79" name="Option Button 79" hidden="1">
                <a:extLst>
                  <a:ext uri="{63B3BB69-23CF-44E3-9099-C40C66FF867C}">
                    <a14:compatExt spid="_x0000_s76879"/>
                  </a:ext>
                  <a:ext uri="{FF2B5EF4-FFF2-40B4-BE49-F238E27FC236}">
                    <a16:creationId xmlns:a16="http://schemas.microsoft.com/office/drawing/2014/main" id="{00000000-0008-0000-2100-00004F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80" name="Option Button 80" hidden="1">
                <a:extLst>
                  <a:ext uri="{63B3BB69-23CF-44E3-9099-C40C66FF867C}">
                    <a14:compatExt spid="_x0000_s76880"/>
                  </a:ext>
                  <a:ext uri="{FF2B5EF4-FFF2-40B4-BE49-F238E27FC236}">
                    <a16:creationId xmlns:a16="http://schemas.microsoft.com/office/drawing/2014/main" id="{00000000-0008-0000-2100-000050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81" name="Option Button 81" hidden="1">
                <a:extLst>
                  <a:ext uri="{63B3BB69-23CF-44E3-9099-C40C66FF867C}">
                    <a14:compatExt spid="_x0000_s76881"/>
                  </a:ext>
                  <a:ext uri="{FF2B5EF4-FFF2-40B4-BE49-F238E27FC236}">
                    <a16:creationId xmlns:a16="http://schemas.microsoft.com/office/drawing/2014/main" id="{00000000-0008-0000-2100-000051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82" name="Group Box 82" hidden="1">
                <a:extLst>
                  <a:ext uri="{63B3BB69-23CF-44E3-9099-C40C66FF867C}">
                    <a14:compatExt spid="_x0000_s76882"/>
                  </a:ext>
                  <a:ext uri="{FF2B5EF4-FFF2-40B4-BE49-F238E27FC236}">
                    <a16:creationId xmlns:a16="http://schemas.microsoft.com/office/drawing/2014/main" id="{00000000-0008-0000-2100-0000522C0100}"/>
                  </a:ext>
                </a:extLst>
              </xdr:cNvPr>
              <xdr:cNvSpPr/>
            </xdr:nvSpPr>
            <xdr:spPr bwMode="auto">
              <a:xfrm>
                <a:off x="2994692"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2200-000025000000}"/>
                </a:ext>
              </a:extLst>
            </xdr:cNvPr>
            <xdr:cNvGrpSpPr/>
          </xdr:nvGrpSpPr>
          <xdr:grpSpPr>
            <a:xfrm>
              <a:off x="3706091" y="34520909"/>
              <a:ext cx="1962727" cy="1651000"/>
              <a:chOff x="2994693" y="2201868"/>
              <a:chExt cx="1960969" cy="1646922"/>
            </a:xfrm>
          </xdr:grpSpPr>
          <xdr:sp macro="" textlink="">
            <xdr:nvSpPr>
              <xdr:cNvPr id="76883" name="Option Button 83" descr="Case d'option 47" hidden="1">
                <a:extLst>
                  <a:ext uri="{63B3BB69-23CF-44E3-9099-C40C66FF867C}">
                    <a14:compatExt spid="_x0000_s76883"/>
                  </a:ext>
                  <a:ext uri="{FF2B5EF4-FFF2-40B4-BE49-F238E27FC236}">
                    <a16:creationId xmlns:a16="http://schemas.microsoft.com/office/drawing/2014/main" id="{00000000-0008-0000-2100-000053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84" name="Option Button 84" hidden="1">
                <a:extLst>
                  <a:ext uri="{63B3BB69-23CF-44E3-9099-C40C66FF867C}">
                    <a14:compatExt spid="_x0000_s76884"/>
                  </a:ext>
                  <a:ext uri="{FF2B5EF4-FFF2-40B4-BE49-F238E27FC236}">
                    <a16:creationId xmlns:a16="http://schemas.microsoft.com/office/drawing/2014/main" id="{00000000-0008-0000-2100-000054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85" name="Option Button 85" hidden="1">
                <a:extLst>
                  <a:ext uri="{63B3BB69-23CF-44E3-9099-C40C66FF867C}">
                    <a14:compatExt spid="_x0000_s76885"/>
                  </a:ext>
                  <a:ext uri="{FF2B5EF4-FFF2-40B4-BE49-F238E27FC236}">
                    <a16:creationId xmlns:a16="http://schemas.microsoft.com/office/drawing/2014/main" id="{00000000-0008-0000-2100-000055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86" name="Option Button 86" hidden="1">
                <a:extLst>
                  <a:ext uri="{63B3BB69-23CF-44E3-9099-C40C66FF867C}">
                    <a14:compatExt spid="_x0000_s76886"/>
                  </a:ext>
                  <a:ext uri="{FF2B5EF4-FFF2-40B4-BE49-F238E27FC236}">
                    <a16:creationId xmlns:a16="http://schemas.microsoft.com/office/drawing/2014/main" id="{00000000-0008-0000-2100-000056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87" name="Group Box 87" hidden="1">
                <a:extLst>
                  <a:ext uri="{63B3BB69-23CF-44E3-9099-C40C66FF867C}">
                    <a14:compatExt spid="_x0000_s76887"/>
                  </a:ext>
                  <a:ext uri="{FF2B5EF4-FFF2-40B4-BE49-F238E27FC236}">
                    <a16:creationId xmlns:a16="http://schemas.microsoft.com/office/drawing/2014/main" id="{00000000-0008-0000-2100-0000572C0100}"/>
                  </a:ext>
                </a:extLst>
              </xdr:cNvPr>
              <xdr:cNvSpPr/>
            </xdr:nvSpPr>
            <xdr:spPr bwMode="auto">
              <a:xfrm>
                <a:off x="2994693" y="2201868"/>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2200-000026000000}"/>
            </a:ext>
          </a:extLst>
        </xdr:cNvPr>
        <xdr:cNvSpPr txBox="1">
          <a:spLocks noChangeArrowheads="1"/>
        </xdr:cNvSpPr>
      </xdr:nvSpPr>
      <xdr:spPr bwMode="auto">
        <a:xfrm>
          <a:off x="6894195" y="4447032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60</xdr:row>
      <xdr:rowOff>57150</xdr:rowOff>
    </xdr:from>
    <xdr:to>
      <xdr:col>9</xdr:col>
      <xdr:colOff>4492930</xdr:colOff>
      <xdr:row>61</xdr:row>
      <xdr:rowOff>0</xdr:rowOff>
    </xdr:to>
    <xdr:sp macro="" textlink="">
      <xdr:nvSpPr>
        <xdr:cNvPr id="39" name="ZoneTexte 1">
          <a:extLst>
            <a:ext uri="{FF2B5EF4-FFF2-40B4-BE49-F238E27FC236}">
              <a16:creationId xmlns:a16="http://schemas.microsoft.com/office/drawing/2014/main" id="{00000000-0008-0000-2200-000027000000}"/>
            </a:ext>
          </a:extLst>
        </xdr:cNvPr>
        <xdr:cNvSpPr txBox="1">
          <a:spLocks noChangeArrowheads="1"/>
        </xdr:cNvSpPr>
      </xdr:nvSpPr>
      <xdr:spPr bwMode="auto">
        <a:xfrm>
          <a:off x="6894195" y="46150530"/>
          <a:ext cx="4464355"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2200-000028000000}"/>
                </a:ext>
              </a:extLst>
            </xdr:cNvPr>
            <xdr:cNvGrpSpPr/>
          </xdr:nvGrpSpPr>
          <xdr:grpSpPr>
            <a:xfrm>
              <a:off x="3706091" y="46401182"/>
              <a:ext cx="1962727" cy="1651000"/>
              <a:chOff x="2995447" y="3846804"/>
              <a:chExt cx="1960181" cy="1644869"/>
            </a:xfrm>
          </xdr:grpSpPr>
          <xdr:sp macro="" textlink="">
            <xdr:nvSpPr>
              <xdr:cNvPr id="76888" name="Option Button 88" hidden="1">
                <a:extLst>
                  <a:ext uri="{63B3BB69-23CF-44E3-9099-C40C66FF867C}">
                    <a14:compatExt spid="_x0000_s76888"/>
                  </a:ext>
                  <a:ext uri="{FF2B5EF4-FFF2-40B4-BE49-F238E27FC236}">
                    <a16:creationId xmlns:a16="http://schemas.microsoft.com/office/drawing/2014/main" id="{00000000-0008-0000-2100-000058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89" name="Option Button 89" hidden="1">
                <a:extLst>
                  <a:ext uri="{63B3BB69-23CF-44E3-9099-C40C66FF867C}">
                    <a14:compatExt spid="_x0000_s76889"/>
                  </a:ext>
                  <a:ext uri="{FF2B5EF4-FFF2-40B4-BE49-F238E27FC236}">
                    <a16:creationId xmlns:a16="http://schemas.microsoft.com/office/drawing/2014/main" id="{00000000-0008-0000-2100-000059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90" name="Option Button 90" hidden="1">
                <a:extLst>
                  <a:ext uri="{63B3BB69-23CF-44E3-9099-C40C66FF867C}">
                    <a14:compatExt spid="_x0000_s76890"/>
                  </a:ext>
                  <a:ext uri="{FF2B5EF4-FFF2-40B4-BE49-F238E27FC236}">
                    <a16:creationId xmlns:a16="http://schemas.microsoft.com/office/drawing/2014/main" id="{00000000-0008-0000-2100-00005A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91" name="Option Button 91" hidden="1">
                <a:extLst>
                  <a:ext uri="{63B3BB69-23CF-44E3-9099-C40C66FF867C}">
                    <a14:compatExt spid="_x0000_s76891"/>
                  </a:ext>
                  <a:ext uri="{FF2B5EF4-FFF2-40B4-BE49-F238E27FC236}">
                    <a16:creationId xmlns:a16="http://schemas.microsoft.com/office/drawing/2014/main" id="{00000000-0008-0000-2100-00005B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92" name="Group Box 92" hidden="1">
                <a:extLst>
                  <a:ext uri="{63B3BB69-23CF-44E3-9099-C40C66FF867C}">
                    <a14:compatExt spid="_x0000_s76892"/>
                  </a:ext>
                  <a:ext uri="{FF2B5EF4-FFF2-40B4-BE49-F238E27FC236}">
                    <a16:creationId xmlns:a16="http://schemas.microsoft.com/office/drawing/2014/main" id="{00000000-0008-0000-2100-00005C2C0100}"/>
                  </a:ext>
                </a:extLst>
              </xdr:cNvPr>
              <xdr:cNvSpPr/>
            </xdr:nvSpPr>
            <xdr:spPr bwMode="auto">
              <a:xfrm>
                <a:off x="2995447" y="3846804"/>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2200-000029000000}"/>
                </a:ext>
              </a:extLst>
            </xdr:cNvPr>
            <xdr:cNvGrpSpPr/>
          </xdr:nvGrpSpPr>
          <xdr:grpSpPr>
            <a:xfrm>
              <a:off x="3706091" y="44750182"/>
              <a:ext cx="1962727" cy="1653055"/>
              <a:chOff x="2994697" y="2201916"/>
              <a:chExt cx="1960969" cy="1646922"/>
            </a:xfrm>
          </xdr:grpSpPr>
          <xdr:sp macro="" textlink="">
            <xdr:nvSpPr>
              <xdr:cNvPr id="76893" name="Option Button 93" descr="Case d'option 47" hidden="1">
                <a:extLst>
                  <a:ext uri="{63B3BB69-23CF-44E3-9099-C40C66FF867C}">
                    <a14:compatExt spid="_x0000_s76893"/>
                  </a:ext>
                  <a:ext uri="{FF2B5EF4-FFF2-40B4-BE49-F238E27FC236}">
                    <a16:creationId xmlns:a16="http://schemas.microsoft.com/office/drawing/2014/main" id="{00000000-0008-0000-2100-00005D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894" name="Option Button 94" hidden="1">
                <a:extLst>
                  <a:ext uri="{63B3BB69-23CF-44E3-9099-C40C66FF867C}">
                    <a14:compatExt spid="_x0000_s76894"/>
                  </a:ext>
                  <a:ext uri="{FF2B5EF4-FFF2-40B4-BE49-F238E27FC236}">
                    <a16:creationId xmlns:a16="http://schemas.microsoft.com/office/drawing/2014/main" id="{00000000-0008-0000-2100-00005E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895" name="Option Button 95" hidden="1">
                <a:extLst>
                  <a:ext uri="{63B3BB69-23CF-44E3-9099-C40C66FF867C}">
                    <a14:compatExt spid="_x0000_s76895"/>
                  </a:ext>
                  <a:ext uri="{FF2B5EF4-FFF2-40B4-BE49-F238E27FC236}">
                    <a16:creationId xmlns:a16="http://schemas.microsoft.com/office/drawing/2014/main" id="{00000000-0008-0000-2100-00005F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896" name="Option Button 96" hidden="1">
                <a:extLst>
                  <a:ext uri="{63B3BB69-23CF-44E3-9099-C40C66FF867C}">
                    <a14:compatExt spid="_x0000_s76896"/>
                  </a:ext>
                  <a:ext uri="{FF2B5EF4-FFF2-40B4-BE49-F238E27FC236}">
                    <a16:creationId xmlns:a16="http://schemas.microsoft.com/office/drawing/2014/main" id="{00000000-0008-0000-2100-000060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897" name="Group Box 97" hidden="1">
                <a:extLst>
                  <a:ext uri="{63B3BB69-23CF-44E3-9099-C40C66FF867C}">
                    <a14:compatExt spid="_x0000_s76897"/>
                  </a:ext>
                  <a:ext uri="{FF2B5EF4-FFF2-40B4-BE49-F238E27FC236}">
                    <a16:creationId xmlns:a16="http://schemas.microsoft.com/office/drawing/2014/main" id="{00000000-0008-0000-2100-0000612C0100}"/>
                  </a:ext>
                </a:extLst>
              </xdr:cNvPr>
              <xdr:cNvSpPr/>
            </xdr:nvSpPr>
            <xdr:spPr bwMode="auto">
              <a:xfrm>
                <a:off x="2994697" y="2201916"/>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2200-00002A000000}"/>
            </a:ext>
          </a:extLst>
        </xdr:cNvPr>
        <xdr:cNvSpPr txBox="1">
          <a:spLocks noChangeArrowheads="1"/>
        </xdr:cNvSpPr>
      </xdr:nvSpPr>
      <xdr:spPr bwMode="auto">
        <a:xfrm>
          <a:off x="6894195" y="4775497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2200-00002B000000}"/>
            </a:ext>
          </a:extLst>
        </xdr:cNvPr>
        <xdr:cNvSpPr txBox="1">
          <a:spLocks noChangeArrowheads="1"/>
        </xdr:cNvSpPr>
      </xdr:nvSpPr>
      <xdr:spPr bwMode="auto">
        <a:xfrm>
          <a:off x="6876255" y="4940807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2200-00002C000000}"/>
            </a:ext>
          </a:extLst>
        </xdr:cNvPr>
        <xdr:cNvSpPr txBox="1">
          <a:spLocks noChangeArrowheads="1"/>
        </xdr:cNvSpPr>
      </xdr:nvSpPr>
      <xdr:spPr bwMode="auto">
        <a:xfrm>
          <a:off x="6876572" y="5105087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2200-00002D000000}"/>
            </a:ext>
          </a:extLst>
        </xdr:cNvPr>
        <xdr:cNvSpPr txBox="1">
          <a:spLocks noChangeArrowheads="1"/>
        </xdr:cNvSpPr>
      </xdr:nvSpPr>
      <xdr:spPr bwMode="auto">
        <a:xfrm>
          <a:off x="6876572" y="5271552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64</xdr:row>
          <xdr:rowOff>0</xdr:rowOff>
        </xdr:from>
        <xdr:to>
          <xdr:col>8</xdr:col>
          <xdr:colOff>0</xdr:colOff>
          <xdr:row>65</xdr:row>
          <xdr:rowOff>0</xdr:rowOff>
        </xdr:to>
        <xdr:sp macro="" textlink="">
          <xdr:nvSpPr>
            <xdr:cNvPr id="76898" name="Group Box 98" hidden="1">
              <a:extLst>
                <a:ext uri="{63B3BB69-23CF-44E3-9099-C40C66FF867C}">
                  <a14:compatExt spid="_x0000_s76898"/>
                </a:ext>
                <a:ext uri="{FF2B5EF4-FFF2-40B4-BE49-F238E27FC236}">
                  <a16:creationId xmlns:a16="http://schemas.microsoft.com/office/drawing/2014/main" id="{00000000-0008-0000-2100-000062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2200-00002E000000}"/>
                </a:ext>
              </a:extLst>
            </xdr:cNvPr>
            <xdr:cNvGrpSpPr/>
          </xdr:nvGrpSpPr>
          <xdr:grpSpPr>
            <a:xfrm>
              <a:off x="3706091" y="51354185"/>
              <a:ext cx="1962727" cy="1651000"/>
              <a:chOff x="2995447" y="3846794"/>
              <a:chExt cx="1960181" cy="1644867"/>
            </a:xfrm>
          </xdr:grpSpPr>
          <xdr:sp macro="" textlink="">
            <xdr:nvSpPr>
              <xdr:cNvPr id="76899" name="Option Button 99" hidden="1">
                <a:extLst>
                  <a:ext uri="{63B3BB69-23CF-44E3-9099-C40C66FF867C}">
                    <a14:compatExt spid="_x0000_s76899"/>
                  </a:ext>
                  <a:ext uri="{FF2B5EF4-FFF2-40B4-BE49-F238E27FC236}">
                    <a16:creationId xmlns:a16="http://schemas.microsoft.com/office/drawing/2014/main" id="{00000000-0008-0000-2100-000063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00" name="Option Button 100" hidden="1">
                <a:extLst>
                  <a:ext uri="{63B3BB69-23CF-44E3-9099-C40C66FF867C}">
                    <a14:compatExt spid="_x0000_s76900"/>
                  </a:ext>
                  <a:ext uri="{FF2B5EF4-FFF2-40B4-BE49-F238E27FC236}">
                    <a16:creationId xmlns:a16="http://schemas.microsoft.com/office/drawing/2014/main" id="{00000000-0008-0000-2100-000064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01" name="Option Button 101" hidden="1">
                <a:extLst>
                  <a:ext uri="{63B3BB69-23CF-44E3-9099-C40C66FF867C}">
                    <a14:compatExt spid="_x0000_s76901"/>
                  </a:ext>
                  <a:ext uri="{FF2B5EF4-FFF2-40B4-BE49-F238E27FC236}">
                    <a16:creationId xmlns:a16="http://schemas.microsoft.com/office/drawing/2014/main" id="{00000000-0008-0000-2100-000065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02" name="Option Button 102" hidden="1">
                <a:extLst>
                  <a:ext uri="{63B3BB69-23CF-44E3-9099-C40C66FF867C}">
                    <a14:compatExt spid="_x0000_s76902"/>
                  </a:ext>
                  <a:ext uri="{FF2B5EF4-FFF2-40B4-BE49-F238E27FC236}">
                    <a16:creationId xmlns:a16="http://schemas.microsoft.com/office/drawing/2014/main" id="{00000000-0008-0000-2100-000066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03" name="Group Box 103" hidden="1">
                <a:extLst>
                  <a:ext uri="{63B3BB69-23CF-44E3-9099-C40C66FF867C}">
                    <a14:compatExt spid="_x0000_s76903"/>
                  </a:ext>
                  <a:ext uri="{FF2B5EF4-FFF2-40B4-BE49-F238E27FC236}">
                    <a16:creationId xmlns:a16="http://schemas.microsoft.com/office/drawing/2014/main" id="{00000000-0008-0000-2100-0000672C0100}"/>
                  </a:ext>
                </a:extLst>
              </xdr:cNvPr>
              <xdr:cNvSpPr/>
            </xdr:nvSpPr>
            <xdr:spPr bwMode="auto">
              <a:xfrm>
                <a:off x="2995447" y="3846794"/>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2200-00002F000000}"/>
                </a:ext>
              </a:extLst>
            </xdr:cNvPr>
            <xdr:cNvGrpSpPr/>
          </xdr:nvGrpSpPr>
          <xdr:grpSpPr>
            <a:xfrm>
              <a:off x="3709259" y="49703182"/>
              <a:ext cx="1959559" cy="1653058"/>
              <a:chOff x="2994673" y="2201915"/>
              <a:chExt cx="1960968" cy="1646925"/>
            </a:xfrm>
          </xdr:grpSpPr>
          <xdr:sp macro="" textlink="">
            <xdr:nvSpPr>
              <xdr:cNvPr id="76904" name="Option Button 104" descr="Case d'option 47" hidden="1">
                <a:extLst>
                  <a:ext uri="{63B3BB69-23CF-44E3-9099-C40C66FF867C}">
                    <a14:compatExt spid="_x0000_s76904"/>
                  </a:ext>
                  <a:ext uri="{FF2B5EF4-FFF2-40B4-BE49-F238E27FC236}">
                    <a16:creationId xmlns:a16="http://schemas.microsoft.com/office/drawing/2014/main" id="{00000000-0008-0000-2100-000068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05" name="Option Button 105" hidden="1">
                <a:extLst>
                  <a:ext uri="{63B3BB69-23CF-44E3-9099-C40C66FF867C}">
                    <a14:compatExt spid="_x0000_s76905"/>
                  </a:ext>
                  <a:ext uri="{FF2B5EF4-FFF2-40B4-BE49-F238E27FC236}">
                    <a16:creationId xmlns:a16="http://schemas.microsoft.com/office/drawing/2014/main" id="{00000000-0008-0000-2100-000069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06" name="Option Button 106" hidden="1">
                <a:extLst>
                  <a:ext uri="{63B3BB69-23CF-44E3-9099-C40C66FF867C}">
                    <a14:compatExt spid="_x0000_s76906"/>
                  </a:ext>
                  <a:ext uri="{FF2B5EF4-FFF2-40B4-BE49-F238E27FC236}">
                    <a16:creationId xmlns:a16="http://schemas.microsoft.com/office/drawing/2014/main" id="{00000000-0008-0000-2100-00006A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07" name="Option Button 107" hidden="1">
                <a:extLst>
                  <a:ext uri="{63B3BB69-23CF-44E3-9099-C40C66FF867C}">
                    <a14:compatExt spid="_x0000_s76907"/>
                  </a:ext>
                  <a:ext uri="{FF2B5EF4-FFF2-40B4-BE49-F238E27FC236}">
                    <a16:creationId xmlns:a16="http://schemas.microsoft.com/office/drawing/2014/main" id="{00000000-0008-0000-2100-00006B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08" name="Group Box 108" hidden="1">
                <a:extLst>
                  <a:ext uri="{63B3BB69-23CF-44E3-9099-C40C66FF867C}">
                    <a14:compatExt spid="_x0000_s76908"/>
                  </a:ext>
                  <a:ext uri="{FF2B5EF4-FFF2-40B4-BE49-F238E27FC236}">
                    <a16:creationId xmlns:a16="http://schemas.microsoft.com/office/drawing/2014/main" id="{00000000-0008-0000-2100-00006C2C0100}"/>
                  </a:ext>
                </a:extLst>
              </xdr:cNvPr>
              <xdr:cNvSpPr/>
            </xdr:nvSpPr>
            <xdr:spPr bwMode="auto">
              <a:xfrm>
                <a:off x="2994673" y="2201915"/>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2200-000030000000}"/>
                </a:ext>
              </a:extLst>
            </xdr:cNvPr>
            <xdr:cNvGrpSpPr/>
          </xdr:nvGrpSpPr>
          <xdr:grpSpPr>
            <a:xfrm>
              <a:off x="3706091" y="48052182"/>
              <a:ext cx="1962727" cy="1651000"/>
              <a:chOff x="2994693" y="2201922"/>
              <a:chExt cx="1960969" cy="1646929"/>
            </a:xfrm>
          </xdr:grpSpPr>
          <xdr:sp macro="" textlink="">
            <xdr:nvSpPr>
              <xdr:cNvPr id="76909" name="Option Button 109" descr="Case d'option 47" hidden="1">
                <a:extLst>
                  <a:ext uri="{63B3BB69-23CF-44E3-9099-C40C66FF867C}">
                    <a14:compatExt spid="_x0000_s76909"/>
                  </a:ext>
                  <a:ext uri="{FF2B5EF4-FFF2-40B4-BE49-F238E27FC236}">
                    <a16:creationId xmlns:a16="http://schemas.microsoft.com/office/drawing/2014/main" id="{00000000-0008-0000-2100-00006D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10" name="Option Button 110" hidden="1">
                <a:extLst>
                  <a:ext uri="{63B3BB69-23CF-44E3-9099-C40C66FF867C}">
                    <a14:compatExt spid="_x0000_s76910"/>
                  </a:ext>
                  <a:ext uri="{FF2B5EF4-FFF2-40B4-BE49-F238E27FC236}">
                    <a16:creationId xmlns:a16="http://schemas.microsoft.com/office/drawing/2014/main" id="{00000000-0008-0000-2100-00006E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11" name="Option Button 111" hidden="1">
                <a:extLst>
                  <a:ext uri="{63B3BB69-23CF-44E3-9099-C40C66FF867C}">
                    <a14:compatExt spid="_x0000_s76911"/>
                  </a:ext>
                  <a:ext uri="{FF2B5EF4-FFF2-40B4-BE49-F238E27FC236}">
                    <a16:creationId xmlns:a16="http://schemas.microsoft.com/office/drawing/2014/main" id="{00000000-0008-0000-2100-00006F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12" name="Option Button 112" hidden="1">
                <a:extLst>
                  <a:ext uri="{63B3BB69-23CF-44E3-9099-C40C66FF867C}">
                    <a14:compatExt spid="_x0000_s76912"/>
                  </a:ext>
                  <a:ext uri="{FF2B5EF4-FFF2-40B4-BE49-F238E27FC236}">
                    <a16:creationId xmlns:a16="http://schemas.microsoft.com/office/drawing/2014/main" id="{00000000-0008-0000-2100-000070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13" name="Group Box 113" hidden="1">
                <a:extLst>
                  <a:ext uri="{63B3BB69-23CF-44E3-9099-C40C66FF867C}">
                    <a14:compatExt spid="_x0000_s76913"/>
                  </a:ext>
                  <a:ext uri="{FF2B5EF4-FFF2-40B4-BE49-F238E27FC236}">
                    <a16:creationId xmlns:a16="http://schemas.microsoft.com/office/drawing/2014/main" id="{00000000-0008-0000-2100-0000712C0100}"/>
                  </a:ext>
                </a:extLst>
              </xdr:cNvPr>
              <xdr:cNvSpPr/>
            </xdr:nvSpPr>
            <xdr:spPr bwMode="auto">
              <a:xfrm>
                <a:off x="2994693" y="2201922"/>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64</xdr:row>
          <xdr:rowOff>0</xdr:rowOff>
        </xdr:from>
        <xdr:to>
          <xdr:col>8</xdr:col>
          <xdr:colOff>0</xdr:colOff>
          <xdr:row>65</xdr:row>
          <xdr:rowOff>2058</xdr:rowOff>
        </xdr:to>
        <xdr:grpSp>
          <xdr:nvGrpSpPr>
            <xdr:cNvPr id="49" name="Groupe 48">
              <a:extLst>
                <a:ext uri="{FF2B5EF4-FFF2-40B4-BE49-F238E27FC236}">
                  <a16:creationId xmlns:a16="http://schemas.microsoft.com/office/drawing/2014/main" id="{00000000-0008-0000-2200-000031000000}"/>
                </a:ext>
              </a:extLst>
            </xdr:cNvPr>
            <xdr:cNvGrpSpPr/>
          </xdr:nvGrpSpPr>
          <xdr:grpSpPr>
            <a:xfrm>
              <a:off x="3709259" y="53005182"/>
              <a:ext cx="1959559" cy="1653058"/>
              <a:chOff x="2994673" y="2201916"/>
              <a:chExt cx="1960968" cy="1646925"/>
            </a:xfrm>
          </xdr:grpSpPr>
          <xdr:sp macro="" textlink="">
            <xdr:nvSpPr>
              <xdr:cNvPr id="76914" name="Option Button 114" descr="Case d'option 47" hidden="1">
                <a:extLst>
                  <a:ext uri="{63B3BB69-23CF-44E3-9099-C40C66FF867C}">
                    <a14:compatExt spid="_x0000_s76914"/>
                  </a:ext>
                  <a:ext uri="{FF2B5EF4-FFF2-40B4-BE49-F238E27FC236}">
                    <a16:creationId xmlns:a16="http://schemas.microsoft.com/office/drawing/2014/main" id="{00000000-0008-0000-2100-000072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15" name="Option Button 115" hidden="1">
                <a:extLst>
                  <a:ext uri="{63B3BB69-23CF-44E3-9099-C40C66FF867C}">
                    <a14:compatExt spid="_x0000_s76915"/>
                  </a:ext>
                  <a:ext uri="{FF2B5EF4-FFF2-40B4-BE49-F238E27FC236}">
                    <a16:creationId xmlns:a16="http://schemas.microsoft.com/office/drawing/2014/main" id="{00000000-0008-0000-2100-000073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16" name="Option Button 116" hidden="1">
                <a:extLst>
                  <a:ext uri="{63B3BB69-23CF-44E3-9099-C40C66FF867C}">
                    <a14:compatExt spid="_x0000_s76916"/>
                  </a:ext>
                  <a:ext uri="{FF2B5EF4-FFF2-40B4-BE49-F238E27FC236}">
                    <a16:creationId xmlns:a16="http://schemas.microsoft.com/office/drawing/2014/main" id="{00000000-0008-0000-2100-000074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17" name="Option Button 117" hidden="1">
                <a:extLst>
                  <a:ext uri="{63B3BB69-23CF-44E3-9099-C40C66FF867C}">
                    <a14:compatExt spid="_x0000_s76917"/>
                  </a:ext>
                  <a:ext uri="{FF2B5EF4-FFF2-40B4-BE49-F238E27FC236}">
                    <a16:creationId xmlns:a16="http://schemas.microsoft.com/office/drawing/2014/main" id="{00000000-0008-0000-2100-000075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18" name="Group Box 118" hidden="1">
                <a:extLst>
                  <a:ext uri="{63B3BB69-23CF-44E3-9099-C40C66FF867C}">
                    <a14:compatExt spid="_x0000_s76918"/>
                  </a:ext>
                  <a:ext uri="{FF2B5EF4-FFF2-40B4-BE49-F238E27FC236}">
                    <a16:creationId xmlns:a16="http://schemas.microsoft.com/office/drawing/2014/main" id="{00000000-0008-0000-2100-0000762C0100}"/>
                  </a:ext>
                </a:extLst>
              </xdr:cNvPr>
              <xdr:cNvSpPr/>
            </xdr:nvSpPr>
            <xdr:spPr bwMode="auto">
              <a:xfrm>
                <a:off x="2994673" y="2201916"/>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2200-000032000000}"/>
            </a:ext>
          </a:extLst>
        </xdr:cNvPr>
        <xdr:cNvSpPr txBox="1">
          <a:spLocks noChangeArrowheads="1"/>
        </xdr:cNvSpPr>
      </xdr:nvSpPr>
      <xdr:spPr bwMode="auto">
        <a:xfrm>
          <a:off x="6894195" y="584758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78</xdr:row>
      <xdr:rowOff>57150</xdr:rowOff>
    </xdr:from>
    <xdr:to>
      <xdr:col>9</xdr:col>
      <xdr:colOff>4451453</xdr:colOff>
      <xdr:row>79</xdr:row>
      <xdr:rowOff>0</xdr:rowOff>
    </xdr:to>
    <xdr:sp macro="" textlink="">
      <xdr:nvSpPr>
        <xdr:cNvPr id="51" name="ZoneTexte 1">
          <a:extLst>
            <a:ext uri="{FF2B5EF4-FFF2-40B4-BE49-F238E27FC236}">
              <a16:creationId xmlns:a16="http://schemas.microsoft.com/office/drawing/2014/main" id="{00000000-0008-0000-2200-000033000000}"/>
            </a:ext>
          </a:extLst>
        </xdr:cNvPr>
        <xdr:cNvSpPr txBox="1">
          <a:spLocks noChangeArrowheads="1"/>
        </xdr:cNvSpPr>
      </xdr:nvSpPr>
      <xdr:spPr bwMode="auto">
        <a:xfrm>
          <a:off x="6894195" y="601560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2200-000034000000}"/>
                </a:ext>
              </a:extLst>
            </xdr:cNvPr>
            <xdr:cNvGrpSpPr/>
          </xdr:nvGrpSpPr>
          <xdr:grpSpPr>
            <a:xfrm>
              <a:off x="3706091" y="60509727"/>
              <a:ext cx="1962727" cy="1651000"/>
              <a:chOff x="2995447" y="3846797"/>
              <a:chExt cx="1960181" cy="1644869"/>
            </a:xfrm>
          </xdr:grpSpPr>
          <xdr:sp macro="" textlink="">
            <xdr:nvSpPr>
              <xdr:cNvPr id="76919" name="Option Button 119" hidden="1">
                <a:extLst>
                  <a:ext uri="{63B3BB69-23CF-44E3-9099-C40C66FF867C}">
                    <a14:compatExt spid="_x0000_s76919"/>
                  </a:ext>
                  <a:ext uri="{FF2B5EF4-FFF2-40B4-BE49-F238E27FC236}">
                    <a16:creationId xmlns:a16="http://schemas.microsoft.com/office/drawing/2014/main" id="{00000000-0008-0000-2100-000077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20" name="Option Button 120" hidden="1">
                <a:extLst>
                  <a:ext uri="{63B3BB69-23CF-44E3-9099-C40C66FF867C}">
                    <a14:compatExt spid="_x0000_s76920"/>
                  </a:ext>
                  <a:ext uri="{FF2B5EF4-FFF2-40B4-BE49-F238E27FC236}">
                    <a16:creationId xmlns:a16="http://schemas.microsoft.com/office/drawing/2014/main" id="{00000000-0008-0000-2100-000078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21" name="Option Button 121" hidden="1">
                <a:extLst>
                  <a:ext uri="{63B3BB69-23CF-44E3-9099-C40C66FF867C}">
                    <a14:compatExt spid="_x0000_s76921"/>
                  </a:ext>
                  <a:ext uri="{FF2B5EF4-FFF2-40B4-BE49-F238E27FC236}">
                    <a16:creationId xmlns:a16="http://schemas.microsoft.com/office/drawing/2014/main" id="{00000000-0008-0000-2100-000079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22" name="Option Button 122" hidden="1">
                <a:extLst>
                  <a:ext uri="{63B3BB69-23CF-44E3-9099-C40C66FF867C}">
                    <a14:compatExt spid="_x0000_s76922"/>
                  </a:ext>
                  <a:ext uri="{FF2B5EF4-FFF2-40B4-BE49-F238E27FC236}">
                    <a16:creationId xmlns:a16="http://schemas.microsoft.com/office/drawing/2014/main" id="{00000000-0008-0000-2100-00007A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23" name="Group Box 123" hidden="1">
                <a:extLst>
                  <a:ext uri="{63B3BB69-23CF-44E3-9099-C40C66FF867C}">
                    <a14:compatExt spid="_x0000_s76923"/>
                  </a:ext>
                  <a:ext uri="{FF2B5EF4-FFF2-40B4-BE49-F238E27FC236}">
                    <a16:creationId xmlns:a16="http://schemas.microsoft.com/office/drawing/2014/main" id="{00000000-0008-0000-2100-00007B2C0100}"/>
                  </a:ext>
                </a:extLst>
              </xdr:cNvPr>
              <xdr:cNvSpPr/>
            </xdr:nvSpPr>
            <xdr:spPr bwMode="auto">
              <a:xfrm>
                <a:off x="2995447" y="3846797"/>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2200-000035000000}"/>
                </a:ext>
              </a:extLst>
            </xdr:cNvPr>
            <xdr:cNvGrpSpPr/>
          </xdr:nvGrpSpPr>
          <xdr:grpSpPr>
            <a:xfrm>
              <a:off x="3706091" y="58858727"/>
              <a:ext cx="1962727" cy="1653055"/>
              <a:chOff x="2994697" y="2201914"/>
              <a:chExt cx="1960969" cy="1646922"/>
            </a:xfrm>
          </xdr:grpSpPr>
          <xdr:sp macro="" textlink="">
            <xdr:nvSpPr>
              <xdr:cNvPr id="76924" name="Option Button 124" descr="Case d'option 47" hidden="1">
                <a:extLst>
                  <a:ext uri="{63B3BB69-23CF-44E3-9099-C40C66FF867C}">
                    <a14:compatExt spid="_x0000_s76924"/>
                  </a:ext>
                  <a:ext uri="{FF2B5EF4-FFF2-40B4-BE49-F238E27FC236}">
                    <a16:creationId xmlns:a16="http://schemas.microsoft.com/office/drawing/2014/main" id="{00000000-0008-0000-2100-00007C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25" name="Option Button 125" hidden="1">
                <a:extLst>
                  <a:ext uri="{63B3BB69-23CF-44E3-9099-C40C66FF867C}">
                    <a14:compatExt spid="_x0000_s76925"/>
                  </a:ext>
                  <a:ext uri="{FF2B5EF4-FFF2-40B4-BE49-F238E27FC236}">
                    <a16:creationId xmlns:a16="http://schemas.microsoft.com/office/drawing/2014/main" id="{00000000-0008-0000-2100-00007D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26" name="Option Button 126" hidden="1">
                <a:extLst>
                  <a:ext uri="{63B3BB69-23CF-44E3-9099-C40C66FF867C}">
                    <a14:compatExt spid="_x0000_s76926"/>
                  </a:ext>
                  <a:ext uri="{FF2B5EF4-FFF2-40B4-BE49-F238E27FC236}">
                    <a16:creationId xmlns:a16="http://schemas.microsoft.com/office/drawing/2014/main" id="{00000000-0008-0000-2100-00007E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27" name="Option Button 127" hidden="1">
                <a:extLst>
                  <a:ext uri="{63B3BB69-23CF-44E3-9099-C40C66FF867C}">
                    <a14:compatExt spid="_x0000_s76927"/>
                  </a:ext>
                  <a:ext uri="{FF2B5EF4-FFF2-40B4-BE49-F238E27FC236}">
                    <a16:creationId xmlns:a16="http://schemas.microsoft.com/office/drawing/2014/main" id="{00000000-0008-0000-2100-00007F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28" name="Group Box 128" hidden="1">
                <a:extLst>
                  <a:ext uri="{63B3BB69-23CF-44E3-9099-C40C66FF867C}">
                    <a14:compatExt spid="_x0000_s76928"/>
                  </a:ext>
                  <a:ext uri="{FF2B5EF4-FFF2-40B4-BE49-F238E27FC236}">
                    <a16:creationId xmlns:a16="http://schemas.microsoft.com/office/drawing/2014/main" id="{00000000-0008-0000-2100-0000802C0100}"/>
                  </a:ext>
                </a:extLst>
              </xdr:cNvPr>
              <xdr:cNvSpPr/>
            </xdr:nvSpPr>
            <xdr:spPr bwMode="auto">
              <a:xfrm>
                <a:off x="2994697" y="220191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2200-000036000000}"/>
            </a:ext>
          </a:extLst>
        </xdr:cNvPr>
        <xdr:cNvSpPr txBox="1">
          <a:spLocks noChangeArrowheads="1"/>
        </xdr:cNvSpPr>
      </xdr:nvSpPr>
      <xdr:spPr bwMode="auto">
        <a:xfrm>
          <a:off x="6894195" y="617605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2200-000037000000}"/>
            </a:ext>
          </a:extLst>
        </xdr:cNvPr>
        <xdr:cNvSpPr txBox="1">
          <a:spLocks noChangeArrowheads="1"/>
        </xdr:cNvSpPr>
      </xdr:nvSpPr>
      <xdr:spPr bwMode="auto">
        <a:xfrm>
          <a:off x="6876256" y="634136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2200-000038000000}"/>
            </a:ext>
          </a:extLst>
        </xdr:cNvPr>
        <xdr:cNvSpPr txBox="1">
          <a:spLocks noChangeArrowheads="1"/>
        </xdr:cNvSpPr>
      </xdr:nvSpPr>
      <xdr:spPr bwMode="auto">
        <a:xfrm>
          <a:off x="6876573" y="650564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2200-000039000000}"/>
                </a:ext>
              </a:extLst>
            </xdr:cNvPr>
            <xdr:cNvGrpSpPr/>
          </xdr:nvGrpSpPr>
          <xdr:grpSpPr>
            <a:xfrm>
              <a:off x="3706091" y="65462730"/>
              <a:ext cx="1962727" cy="1651000"/>
              <a:chOff x="2995447" y="3846797"/>
              <a:chExt cx="1960181" cy="1644867"/>
            </a:xfrm>
          </xdr:grpSpPr>
          <xdr:sp macro="" textlink="">
            <xdr:nvSpPr>
              <xdr:cNvPr id="76929" name="Option Button 129" hidden="1">
                <a:extLst>
                  <a:ext uri="{63B3BB69-23CF-44E3-9099-C40C66FF867C}">
                    <a14:compatExt spid="_x0000_s76929"/>
                  </a:ext>
                  <a:ext uri="{FF2B5EF4-FFF2-40B4-BE49-F238E27FC236}">
                    <a16:creationId xmlns:a16="http://schemas.microsoft.com/office/drawing/2014/main" id="{00000000-0008-0000-2100-000081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30" name="Option Button 130" hidden="1">
                <a:extLst>
                  <a:ext uri="{63B3BB69-23CF-44E3-9099-C40C66FF867C}">
                    <a14:compatExt spid="_x0000_s76930"/>
                  </a:ext>
                  <a:ext uri="{FF2B5EF4-FFF2-40B4-BE49-F238E27FC236}">
                    <a16:creationId xmlns:a16="http://schemas.microsoft.com/office/drawing/2014/main" id="{00000000-0008-0000-2100-000082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31" name="Option Button 131" hidden="1">
                <a:extLst>
                  <a:ext uri="{63B3BB69-23CF-44E3-9099-C40C66FF867C}">
                    <a14:compatExt spid="_x0000_s76931"/>
                  </a:ext>
                  <a:ext uri="{FF2B5EF4-FFF2-40B4-BE49-F238E27FC236}">
                    <a16:creationId xmlns:a16="http://schemas.microsoft.com/office/drawing/2014/main" id="{00000000-0008-0000-2100-000083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32" name="Option Button 132" hidden="1">
                <a:extLst>
                  <a:ext uri="{63B3BB69-23CF-44E3-9099-C40C66FF867C}">
                    <a14:compatExt spid="_x0000_s76932"/>
                  </a:ext>
                  <a:ext uri="{FF2B5EF4-FFF2-40B4-BE49-F238E27FC236}">
                    <a16:creationId xmlns:a16="http://schemas.microsoft.com/office/drawing/2014/main" id="{00000000-0008-0000-2100-000084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33" name="Group Box 133" hidden="1">
                <a:extLst>
                  <a:ext uri="{63B3BB69-23CF-44E3-9099-C40C66FF867C}">
                    <a14:compatExt spid="_x0000_s76933"/>
                  </a:ext>
                  <a:ext uri="{FF2B5EF4-FFF2-40B4-BE49-F238E27FC236}">
                    <a16:creationId xmlns:a16="http://schemas.microsoft.com/office/drawing/2014/main" id="{00000000-0008-0000-2100-0000852C0100}"/>
                  </a:ext>
                </a:extLst>
              </xdr:cNvPr>
              <xdr:cNvSpPr/>
            </xdr:nvSpPr>
            <xdr:spPr bwMode="auto">
              <a:xfrm>
                <a:off x="2995447" y="3846797"/>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2200-00003A000000}"/>
                </a:ext>
              </a:extLst>
            </xdr:cNvPr>
            <xdr:cNvGrpSpPr/>
          </xdr:nvGrpSpPr>
          <xdr:grpSpPr>
            <a:xfrm>
              <a:off x="3709259" y="63811727"/>
              <a:ext cx="1959559" cy="1653058"/>
              <a:chOff x="2994673" y="2201913"/>
              <a:chExt cx="1960968" cy="1646925"/>
            </a:xfrm>
          </xdr:grpSpPr>
          <xdr:sp macro="" textlink="">
            <xdr:nvSpPr>
              <xdr:cNvPr id="76934" name="Option Button 134" descr="Case d'option 47" hidden="1">
                <a:extLst>
                  <a:ext uri="{63B3BB69-23CF-44E3-9099-C40C66FF867C}">
                    <a14:compatExt spid="_x0000_s76934"/>
                  </a:ext>
                  <a:ext uri="{FF2B5EF4-FFF2-40B4-BE49-F238E27FC236}">
                    <a16:creationId xmlns:a16="http://schemas.microsoft.com/office/drawing/2014/main" id="{00000000-0008-0000-2100-000086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35" name="Option Button 135" hidden="1">
                <a:extLst>
                  <a:ext uri="{63B3BB69-23CF-44E3-9099-C40C66FF867C}">
                    <a14:compatExt spid="_x0000_s76935"/>
                  </a:ext>
                  <a:ext uri="{FF2B5EF4-FFF2-40B4-BE49-F238E27FC236}">
                    <a16:creationId xmlns:a16="http://schemas.microsoft.com/office/drawing/2014/main" id="{00000000-0008-0000-2100-000087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36" name="Option Button 136" hidden="1">
                <a:extLst>
                  <a:ext uri="{63B3BB69-23CF-44E3-9099-C40C66FF867C}">
                    <a14:compatExt spid="_x0000_s76936"/>
                  </a:ext>
                  <a:ext uri="{FF2B5EF4-FFF2-40B4-BE49-F238E27FC236}">
                    <a16:creationId xmlns:a16="http://schemas.microsoft.com/office/drawing/2014/main" id="{00000000-0008-0000-2100-000088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37" name="Option Button 137" hidden="1">
                <a:extLst>
                  <a:ext uri="{63B3BB69-23CF-44E3-9099-C40C66FF867C}">
                    <a14:compatExt spid="_x0000_s76937"/>
                  </a:ext>
                  <a:ext uri="{FF2B5EF4-FFF2-40B4-BE49-F238E27FC236}">
                    <a16:creationId xmlns:a16="http://schemas.microsoft.com/office/drawing/2014/main" id="{00000000-0008-0000-2100-000089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38" name="Group Box 138" hidden="1">
                <a:extLst>
                  <a:ext uri="{63B3BB69-23CF-44E3-9099-C40C66FF867C}">
                    <a14:compatExt spid="_x0000_s76938"/>
                  </a:ext>
                  <a:ext uri="{FF2B5EF4-FFF2-40B4-BE49-F238E27FC236}">
                    <a16:creationId xmlns:a16="http://schemas.microsoft.com/office/drawing/2014/main" id="{00000000-0008-0000-2100-00008A2C0100}"/>
                  </a:ext>
                </a:extLst>
              </xdr:cNvPr>
              <xdr:cNvSpPr/>
            </xdr:nvSpPr>
            <xdr:spPr bwMode="auto">
              <a:xfrm>
                <a:off x="2994673" y="2201913"/>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2200-00003B000000}"/>
                </a:ext>
              </a:extLst>
            </xdr:cNvPr>
            <xdr:cNvGrpSpPr/>
          </xdr:nvGrpSpPr>
          <xdr:grpSpPr>
            <a:xfrm>
              <a:off x="3706091" y="62160727"/>
              <a:ext cx="1962727" cy="1651000"/>
              <a:chOff x="2994693" y="2201919"/>
              <a:chExt cx="1960969" cy="1646929"/>
            </a:xfrm>
          </xdr:grpSpPr>
          <xdr:sp macro="" textlink="">
            <xdr:nvSpPr>
              <xdr:cNvPr id="76939" name="Option Button 139" descr="Case d'option 47" hidden="1">
                <a:extLst>
                  <a:ext uri="{63B3BB69-23CF-44E3-9099-C40C66FF867C}">
                    <a14:compatExt spid="_x0000_s76939"/>
                  </a:ext>
                  <a:ext uri="{FF2B5EF4-FFF2-40B4-BE49-F238E27FC236}">
                    <a16:creationId xmlns:a16="http://schemas.microsoft.com/office/drawing/2014/main" id="{00000000-0008-0000-2100-00008B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40" name="Option Button 140" hidden="1">
                <a:extLst>
                  <a:ext uri="{63B3BB69-23CF-44E3-9099-C40C66FF867C}">
                    <a14:compatExt spid="_x0000_s76940"/>
                  </a:ext>
                  <a:ext uri="{FF2B5EF4-FFF2-40B4-BE49-F238E27FC236}">
                    <a16:creationId xmlns:a16="http://schemas.microsoft.com/office/drawing/2014/main" id="{00000000-0008-0000-2100-00008C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41" name="Option Button 141" hidden="1">
                <a:extLst>
                  <a:ext uri="{63B3BB69-23CF-44E3-9099-C40C66FF867C}">
                    <a14:compatExt spid="_x0000_s76941"/>
                  </a:ext>
                  <a:ext uri="{FF2B5EF4-FFF2-40B4-BE49-F238E27FC236}">
                    <a16:creationId xmlns:a16="http://schemas.microsoft.com/office/drawing/2014/main" id="{00000000-0008-0000-2100-00008D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42" name="Option Button 142" hidden="1">
                <a:extLst>
                  <a:ext uri="{63B3BB69-23CF-44E3-9099-C40C66FF867C}">
                    <a14:compatExt spid="_x0000_s76942"/>
                  </a:ext>
                  <a:ext uri="{FF2B5EF4-FFF2-40B4-BE49-F238E27FC236}">
                    <a16:creationId xmlns:a16="http://schemas.microsoft.com/office/drawing/2014/main" id="{00000000-0008-0000-2100-00008E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43" name="Group Box 143" hidden="1">
                <a:extLst>
                  <a:ext uri="{63B3BB69-23CF-44E3-9099-C40C66FF867C}">
                    <a14:compatExt spid="_x0000_s76943"/>
                  </a:ext>
                  <a:ext uri="{FF2B5EF4-FFF2-40B4-BE49-F238E27FC236}">
                    <a16:creationId xmlns:a16="http://schemas.microsoft.com/office/drawing/2014/main" id="{00000000-0008-0000-2100-00008F2C0100}"/>
                  </a:ext>
                </a:extLst>
              </xdr:cNvPr>
              <xdr:cNvSpPr/>
            </xdr:nvSpPr>
            <xdr:spPr bwMode="auto">
              <a:xfrm>
                <a:off x="2994693" y="2201919"/>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76944" name="Group Box 144" hidden="1">
              <a:extLst>
                <a:ext uri="{63B3BB69-23CF-44E3-9099-C40C66FF867C}">
                  <a14:compatExt spid="_x0000_s76944"/>
                </a:ext>
                <a:ext uri="{FF2B5EF4-FFF2-40B4-BE49-F238E27FC236}">
                  <a16:creationId xmlns:a16="http://schemas.microsoft.com/office/drawing/2014/main" id="{00000000-0008-0000-2100-000090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22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2200-00003D000000}"/>
            </a:ext>
          </a:extLst>
        </xdr:cNvPr>
        <xdr:cNvSpPr>
          <a:spLocks noChangeAspect="1"/>
        </xdr:cNvSpPr>
      </xdr:nvSpPr>
      <xdr:spPr>
        <a:xfrm>
          <a:off x="472440" y="1644511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2200-00003E000000}"/>
            </a:ext>
          </a:extLst>
        </xdr:cNvPr>
        <xdr:cNvSpPr>
          <a:spLocks noChangeAspect="1"/>
        </xdr:cNvSpPr>
      </xdr:nvSpPr>
      <xdr:spPr>
        <a:xfrm>
          <a:off x="490802" y="3012709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2200-00003F000000}"/>
            </a:ext>
          </a:extLst>
        </xdr:cNvPr>
        <xdr:cNvSpPr>
          <a:spLocks noChangeAspect="1"/>
        </xdr:cNvSpPr>
      </xdr:nvSpPr>
      <xdr:spPr>
        <a:xfrm>
          <a:off x="472440" y="4382785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76800" name="Ellipse 76799">
          <a:extLst>
            <a:ext uri="{FF2B5EF4-FFF2-40B4-BE49-F238E27FC236}">
              <a16:creationId xmlns:a16="http://schemas.microsoft.com/office/drawing/2014/main" id="{00000000-0008-0000-2200-0000002C0100}"/>
            </a:ext>
          </a:extLst>
        </xdr:cNvPr>
        <xdr:cNvSpPr>
          <a:spLocks noChangeAspect="1"/>
        </xdr:cNvSpPr>
      </xdr:nvSpPr>
      <xdr:spPr>
        <a:xfrm>
          <a:off x="481621" y="578334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76945" name="Groupe 76944">
              <a:extLst>
                <a:ext uri="{FF2B5EF4-FFF2-40B4-BE49-F238E27FC236}">
                  <a16:creationId xmlns:a16="http://schemas.microsoft.com/office/drawing/2014/main" id="{00000000-0008-0000-2200-0000912C0100}"/>
                </a:ext>
              </a:extLst>
            </xdr:cNvPr>
            <xdr:cNvGrpSpPr/>
          </xdr:nvGrpSpPr>
          <xdr:grpSpPr>
            <a:xfrm>
              <a:off x="3706091" y="17179636"/>
              <a:ext cx="1962727" cy="1651000"/>
              <a:chOff x="2995447" y="3846791"/>
              <a:chExt cx="1960181" cy="1644869"/>
            </a:xfrm>
          </xdr:grpSpPr>
          <xdr:sp macro="" textlink="">
            <xdr:nvSpPr>
              <xdr:cNvPr id="77066" name="Option Button 145" hidden="1">
                <a:extLst>
                  <a:ext uri="{63B3BB69-23CF-44E3-9099-C40C66FF867C}">
                    <a14:compatExt spid="_x0000_s76945"/>
                  </a:ext>
                  <a:ext uri="{FF2B5EF4-FFF2-40B4-BE49-F238E27FC236}">
                    <a16:creationId xmlns:a16="http://schemas.microsoft.com/office/drawing/2014/main" id="{00000000-0008-0000-2100-00000A2D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46" name="Option Button 146" hidden="1">
                <a:extLst>
                  <a:ext uri="{63B3BB69-23CF-44E3-9099-C40C66FF867C}">
                    <a14:compatExt spid="_x0000_s76946"/>
                  </a:ext>
                  <a:ext uri="{FF2B5EF4-FFF2-40B4-BE49-F238E27FC236}">
                    <a16:creationId xmlns:a16="http://schemas.microsoft.com/office/drawing/2014/main" id="{00000000-0008-0000-2100-000092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47" name="Option Button 147" hidden="1">
                <a:extLst>
                  <a:ext uri="{63B3BB69-23CF-44E3-9099-C40C66FF867C}">
                    <a14:compatExt spid="_x0000_s76947"/>
                  </a:ext>
                  <a:ext uri="{FF2B5EF4-FFF2-40B4-BE49-F238E27FC236}">
                    <a16:creationId xmlns:a16="http://schemas.microsoft.com/office/drawing/2014/main" id="{00000000-0008-0000-2100-000093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48" name="Option Button 148" hidden="1">
                <a:extLst>
                  <a:ext uri="{63B3BB69-23CF-44E3-9099-C40C66FF867C}">
                    <a14:compatExt spid="_x0000_s76948"/>
                  </a:ext>
                  <a:ext uri="{FF2B5EF4-FFF2-40B4-BE49-F238E27FC236}">
                    <a16:creationId xmlns:a16="http://schemas.microsoft.com/office/drawing/2014/main" id="{00000000-0008-0000-2100-000094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49" name="Group Box 149" hidden="1">
                <a:extLst>
                  <a:ext uri="{63B3BB69-23CF-44E3-9099-C40C66FF867C}">
                    <a14:compatExt spid="_x0000_s76949"/>
                  </a:ext>
                  <a:ext uri="{FF2B5EF4-FFF2-40B4-BE49-F238E27FC236}">
                    <a16:creationId xmlns:a16="http://schemas.microsoft.com/office/drawing/2014/main" id="{00000000-0008-0000-2100-0000952C0100}"/>
                  </a:ext>
                </a:extLst>
              </xdr:cNvPr>
              <xdr:cNvSpPr/>
            </xdr:nvSpPr>
            <xdr:spPr bwMode="auto">
              <a:xfrm>
                <a:off x="2995447" y="384679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76951" name="ZoneTexte 1">
          <a:extLst>
            <a:ext uri="{FF2B5EF4-FFF2-40B4-BE49-F238E27FC236}">
              <a16:creationId xmlns:a16="http://schemas.microsoft.com/office/drawing/2014/main" id="{00000000-0008-0000-2200-0000972C0100}"/>
            </a:ext>
          </a:extLst>
        </xdr:cNvPr>
        <xdr:cNvSpPr txBox="1">
          <a:spLocks noChangeArrowheads="1"/>
        </xdr:cNvSpPr>
      </xdr:nvSpPr>
      <xdr:spPr bwMode="auto">
        <a:xfrm>
          <a:off x="6876255" y="5269991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76952" name="ZoneTexte 1">
          <a:extLst>
            <a:ext uri="{FF2B5EF4-FFF2-40B4-BE49-F238E27FC236}">
              <a16:creationId xmlns:a16="http://schemas.microsoft.com/office/drawing/2014/main" id="{00000000-0008-0000-2200-0000982C0100}"/>
            </a:ext>
          </a:extLst>
        </xdr:cNvPr>
        <xdr:cNvSpPr txBox="1">
          <a:spLocks noChangeArrowheads="1"/>
        </xdr:cNvSpPr>
      </xdr:nvSpPr>
      <xdr:spPr bwMode="auto">
        <a:xfrm>
          <a:off x="6876572" y="5434271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65</xdr:row>
          <xdr:rowOff>3</xdr:rowOff>
        </xdr:from>
        <xdr:to>
          <xdr:col>8</xdr:col>
          <xdr:colOff>0</xdr:colOff>
          <xdr:row>66</xdr:row>
          <xdr:rowOff>3</xdr:rowOff>
        </xdr:to>
        <xdr:grpSp>
          <xdr:nvGrpSpPr>
            <xdr:cNvPr id="76953" name="Groupe 76952">
              <a:extLst>
                <a:ext uri="{FF2B5EF4-FFF2-40B4-BE49-F238E27FC236}">
                  <a16:creationId xmlns:a16="http://schemas.microsoft.com/office/drawing/2014/main" id="{00000000-0008-0000-2200-0000992C0100}"/>
                </a:ext>
              </a:extLst>
            </xdr:cNvPr>
            <xdr:cNvGrpSpPr/>
          </xdr:nvGrpSpPr>
          <xdr:grpSpPr>
            <a:xfrm>
              <a:off x="3706091" y="54656185"/>
              <a:ext cx="1962727" cy="1651000"/>
              <a:chOff x="2995447" y="3846798"/>
              <a:chExt cx="1960181" cy="1644867"/>
            </a:xfrm>
          </xdr:grpSpPr>
          <xdr:sp macro="" textlink="">
            <xdr:nvSpPr>
              <xdr:cNvPr id="76950" name="Option Button 150" hidden="1">
                <a:extLst>
                  <a:ext uri="{63B3BB69-23CF-44E3-9099-C40C66FF867C}">
                    <a14:compatExt spid="_x0000_s76950"/>
                  </a:ext>
                  <a:ext uri="{FF2B5EF4-FFF2-40B4-BE49-F238E27FC236}">
                    <a16:creationId xmlns:a16="http://schemas.microsoft.com/office/drawing/2014/main" id="{00000000-0008-0000-2100-000096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68" name="Option Button 151" hidden="1">
                <a:extLst>
                  <a:ext uri="{63B3BB69-23CF-44E3-9099-C40C66FF867C}">
                    <a14:compatExt spid="_x0000_s76951"/>
                  </a:ext>
                  <a:ext uri="{FF2B5EF4-FFF2-40B4-BE49-F238E27FC236}">
                    <a16:creationId xmlns:a16="http://schemas.microsoft.com/office/drawing/2014/main" id="{00000000-0008-0000-2100-00000C2D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69" name="Option Button 152" hidden="1">
                <a:extLst>
                  <a:ext uri="{63B3BB69-23CF-44E3-9099-C40C66FF867C}">
                    <a14:compatExt spid="_x0000_s76952"/>
                  </a:ext>
                  <a:ext uri="{FF2B5EF4-FFF2-40B4-BE49-F238E27FC236}">
                    <a16:creationId xmlns:a16="http://schemas.microsoft.com/office/drawing/2014/main" id="{00000000-0008-0000-2100-00000D2D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70" name="Option Button 153" hidden="1">
                <a:extLst>
                  <a:ext uri="{63B3BB69-23CF-44E3-9099-C40C66FF867C}">
                    <a14:compatExt spid="_x0000_s76953"/>
                  </a:ext>
                  <a:ext uri="{FF2B5EF4-FFF2-40B4-BE49-F238E27FC236}">
                    <a16:creationId xmlns:a16="http://schemas.microsoft.com/office/drawing/2014/main" id="{00000000-0008-0000-2100-00000E2D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54" name="Group Box 154" hidden="1">
                <a:extLst>
                  <a:ext uri="{63B3BB69-23CF-44E3-9099-C40C66FF867C}">
                    <a14:compatExt spid="_x0000_s76954"/>
                  </a:ext>
                  <a:ext uri="{FF2B5EF4-FFF2-40B4-BE49-F238E27FC236}">
                    <a16:creationId xmlns:a16="http://schemas.microsoft.com/office/drawing/2014/main" id="{00000000-0008-0000-2100-00009A2C0100}"/>
                  </a:ext>
                </a:extLst>
              </xdr:cNvPr>
              <xdr:cNvSpPr/>
            </xdr:nvSpPr>
            <xdr:spPr bwMode="auto">
              <a:xfrm>
                <a:off x="2995447" y="3846798"/>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47</xdr:row>
      <xdr:rowOff>15675</xdr:rowOff>
    </xdr:from>
    <xdr:to>
      <xdr:col>9</xdr:col>
      <xdr:colOff>4542762</xdr:colOff>
      <xdr:row>48</xdr:row>
      <xdr:rowOff>0</xdr:rowOff>
    </xdr:to>
    <xdr:sp macro="" textlink="" fLocksText="0">
      <xdr:nvSpPr>
        <xdr:cNvPr id="76959" name="ZoneTexte 1">
          <a:extLst>
            <a:ext uri="{FF2B5EF4-FFF2-40B4-BE49-F238E27FC236}">
              <a16:creationId xmlns:a16="http://schemas.microsoft.com/office/drawing/2014/main" id="{00000000-0008-0000-2200-00009F2C0100}"/>
            </a:ext>
          </a:extLst>
        </xdr:cNvPr>
        <xdr:cNvSpPr txBox="1">
          <a:spLocks noChangeArrowheads="1"/>
        </xdr:cNvSpPr>
      </xdr:nvSpPr>
      <xdr:spPr bwMode="auto">
        <a:xfrm>
          <a:off x="6894195" y="374832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grpSp>
          <xdr:nvGrpSpPr>
            <xdr:cNvPr id="76960" name="Groupe 76959">
              <a:extLst>
                <a:ext uri="{FF2B5EF4-FFF2-40B4-BE49-F238E27FC236}">
                  <a16:creationId xmlns:a16="http://schemas.microsoft.com/office/drawing/2014/main" id="{00000000-0008-0000-2200-0000A02C0100}"/>
                </a:ext>
              </a:extLst>
            </xdr:cNvPr>
            <xdr:cNvGrpSpPr/>
          </xdr:nvGrpSpPr>
          <xdr:grpSpPr>
            <a:xfrm>
              <a:off x="3706091" y="37695909"/>
              <a:ext cx="1962727" cy="1651000"/>
              <a:chOff x="2994693" y="2201914"/>
              <a:chExt cx="1960969" cy="1646922"/>
            </a:xfrm>
          </xdr:grpSpPr>
          <xdr:sp macro="" textlink="">
            <xdr:nvSpPr>
              <xdr:cNvPr id="76955" name="Option Button 155" descr="Case d'option 47" hidden="1">
                <a:extLst>
                  <a:ext uri="{63B3BB69-23CF-44E3-9099-C40C66FF867C}">
                    <a14:compatExt spid="_x0000_s76955"/>
                  </a:ext>
                  <a:ext uri="{FF2B5EF4-FFF2-40B4-BE49-F238E27FC236}">
                    <a16:creationId xmlns:a16="http://schemas.microsoft.com/office/drawing/2014/main" id="{00000000-0008-0000-2100-00009B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56" name="Option Button 156" hidden="1">
                <a:extLst>
                  <a:ext uri="{63B3BB69-23CF-44E3-9099-C40C66FF867C}">
                    <a14:compatExt spid="_x0000_s76956"/>
                  </a:ext>
                  <a:ext uri="{FF2B5EF4-FFF2-40B4-BE49-F238E27FC236}">
                    <a16:creationId xmlns:a16="http://schemas.microsoft.com/office/drawing/2014/main" id="{00000000-0008-0000-2100-00009C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57" name="Option Button 157" hidden="1">
                <a:extLst>
                  <a:ext uri="{63B3BB69-23CF-44E3-9099-C40C66FF867C}">
                    <a14:compatExt spid="_x0000_s76957"/>
                  </a:ext>
                  <a:ext uri="{FF2B5EF4-FFF2-40B4-BE49-F238E27FC236}">
                    <a16:creationId xmlns:a16="http://schemas.microsoft.com/office/drawing/2014/main" id="{00000000-0008-0000-2100-00009D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58" name="Option Button 158" hidden="1">
                <a:extLst>
                  <a:ext uri="{63B3BB69-23CF-44E3-9099-C40C66FF867C}">
                    <a14:compatExt spid="_x0000_s76958"/>
                  </a:ext>
                  <a:ext uri="{FF2B5EF4-FFF2-40B4-BE49-F238E27FC236}">
                    <a16:creationId xmlns:a16="http://schemas.microsoft.com/office/drawing/2014/main" id="{00000000-0008-0000-2100-00009E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71" name="Group Box 159" hidden="1">
                <a:extLst>
                  <a:ext uri="{63B3BB69-23CF-44E3-9099-C40C66FF867C}">
                    <a14:compatExt spid="_x0000_s76959"/>
                  </a:ext>
                  <a:ext uri="{FF2B5EF4-FFF2-40B4-BE49-F238E27FC236}">
                    <a16:creationId xmlns:a16="http://schemas.microsoft.com/office/drawing/2014/main" id="{00000000-0008-0000-2100-00000F2D0100}"/>
                  </a:ext>
                </a:extLst>
              </xdr:cNvPr>
              <xdr:cNvSpPr/>
            </xdr:nvSpPr>
            <xdr:spPr bwMode="auto">
              <a:xfrm>
                <a:off x="2994693" y="220191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48</xdr:row>
      <xdr:rowOff>22859</xdr:rowOff>
    </xdr:from>
    <xdr:to>
      <xdr:col>9</xdr:col>
      <xdr:colOff>4572000</xdr:colOff>
      <xdr:row>49</xdr:row>
      <xdr:rowOff>0</xdr:rowOff>
    </xdr:to>
    <xdr:sp macro="" textlink="" fLocksText="0">
      <xdr:nvSpPr>
        <xdr:cNvPr id="76966" name="ZoneTexte 1">
          <a:extLst>
            <a:ext uri="{FF2B5EF4-FFF2-40B4-BE49-F238E27FC236}">
              <a16:creationId xmlns:a16="http://schemas.microsoft.com/office/drawing/2014/main" id="{00000000-0008-0000-2200-0000A62C0100}"/>
            </a:ext>
          </a:extLst>
        </xdr:cNvPr>
        <xdr:cNvSpPr txBox="1">
          <a:spLocks noChangeArrowheads="1"/>
        </xdr:cNvSpPr>
      </xdr:nvSpPr>
      <xdr:spPr bwMode="auto">
        <a:xfrm>
          <a:off x="6876256" y="3913631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76967" name="ZoneTexte 1">
          <a:extLst>
            <a:ext uri="{FF2B5EF4-FFF2-40B4-BE49-F238E27FC236}">
              <a16:creationId xmlns:a16="http://schemas.microsoft.com/office/drawing/2014/main" id="{00000000-0008-0000-2200-0000A72C0100}"/>
            </a:ext>
          </a:extLst>
        </xdr:cNvPr>
        <xdr:cNvSpPr txBox="1">
          <a:spLocks noChangeArrowheads="1"/>
        </xdr:cNvSpPr>
      </xdr:nvSpPr>
      <xdr:spPr bwMode="auto">
        <a:xfrm>
          <a:off x="6894195" y="4065313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49</xdr:row>
          <xdr:rowOff>0</xdr:rowOff>
        </xdr:from>
        <xdr:to>
          <xdr:col>8</xdr:col>
          <xdr:colOff>0</xdr:colOff>
          <xdr:row>50</xdr:row>
          <xdr:rowOff>0</xdr:rowOff>
        </xdr:to>
        <xdr:grpSp>
          <xdr:nvGrpSpPr>
            <xdr:cNvPr id="76968" name="Groupe 76967">
              <a:extLst>
                <a:ext uri="{FF2B5EF4-FFF2-40B4-BE49-F238E27FC236}">
                  <a16:creationId xmlns:a16="http://schemas.microsoft.com/office/drawing/2014/main" id="{00000000-0008-0000-2200-0000A82C0100}"/>
                </a:ext>
              </a:extLst>
            </xdr:cNvPr>
            <xdr:cNvGrpSpPr/>
          </xdr:nvGrpSpPr>
          <xdr:grpSpPr>
            <a:xfrm>
              <a:off x="3706091" y="40870909"/>
              <a:ext cx="1962727" cy="1651000"/>
              <a:chOff x="2994693" y="2201923"/>
              <a:chExt cx="1960969" cy="1646923"/>
            </a:xfrm>
          </xdr:grpSpPr>
          <xdr:sp macro="" textlink="">
            <xdr:nvSpPr>
              <xdr:cNvPr id="77072" name="Option Button 160" descr="Case d'option 47" hidden="1">
                <a:extLst>
                  <a:ext uri="{63B3BB69-23CF-44E3-9099-C40C66FF867C}">
                    <a14:compatExt spid="_x0000_s76960"/>
                  </a:ext>
                  <a:ext uri="{FF2B5EF4-FFF2-40B4-BE49-F238E27FC236}">
                    <a16:creationId xmlns:a16="http://schemas.microsoft.com/office/drawing/2014/main" id="{00000000-0008-0000-2100-0000102D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61" name="Option Button 161" hidden="1">
                <a:extLst>
                  <a:ext uri="{63B3BB69-23CF-44E3-9099-C40C66FF867C}">
                    <a14:compatExt spid="_x0000_s76961"/>
                  </a:ext>
                  <a:ext uri="{FF2B5EF4-FFF2-40B4-BE49-F238E27FC236}">
                    <a16:creationId xmlns:a16="http://schemas.microsoft.com/office/drawing/2014/main" id="{00000000-0008-0000-2100-0000A1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62" name="Option Button 162" hidden="1">
                <a:extLst>
                  <a:ext uri="{63B3BB69-23CF-44E3-9099-C40C66FF867C}">
                    <a14:compatExt spid="_x0000_s76962"/>
                  </a:ext>
                  <a:ext uri="{FF2B5EF4-FFF2-40B4-BE49-F238E27FC236}">
                    <a16:creationId xmlns:a16="http://schemas.microsoft.com/office/drawing/2014/main" id="{00000000-0008-0000-2100-0000A2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63" name="Option Button 163" hidden="1">
                <a:extLst>
                  <a:ext uri="{63B3BB69-23CF-44E3-9099-C40C66FF867C}">
                    <a14:compatExt spid="_x0000_s76963"/>
                  </a:ext>
                  <a:ext uri="{FF2B5EF4-FFF2-40B4-BE49-F238E27FC236}">
                    <a16:creationId xmlns:a16="http://schemas.microsoft.com/office/drawing/2014/main" id="{00000000-0008-0000-2100-0000A3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64" name="Group Box 164" hidden="1">
                <a:extLst>
                  <a:ext uri="{63B3BB69-23CF-44E3-9099-C40C66FF867C}">
                    <a14:compatExt spid="_x0000_s76964"/>
                  </a:ext>
                  <a:ext uri="{FF2B5EF4-FFF2-40B4-BE49-F238E27FC236}">
                    <a16:creationId xmlns:a16="http://schemas.microsoft.com/office/drawing/2014/main" id="{00000000-0008-0000-2100-0000A42C0100}"/>
                  </a:ext>
                </a:extLst>
              </xdr:cNvPr>
              <xdr:cNvSpPr/>
            </xdr:nvSpPr>
            <xdr:spPr bwMode="auto">
              <a:xfrm>
                <a:off x="2994693" y="2201923"/>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10636</xdr:colOff>
      <xdr:row>82</xdr:row>
      <xdr:rowOff>22860</xdr:rowOff>
    </xdr:from>
    <xdr:to>
      <xdr:col>9</xdr:col>
      <xdr:colOff>4532586</xdr:colOff>
      <xdr:row>82</xdr:row>
      <xdr:rowOff>2036380</xdr:rowOff>
    </xdr:to>
    <xdr:sp macro="" textlink="" fLocksText="0">
      <xdr:nvSpPr>
        <xdr:cNvPr id="76974" name="ZoneTexte 1">
          <a:extLst>
            <a:ext uri="{FF2B5EF4-FFF2-40B4-BE49-F238E27FC236}">
              <a16:creationId xmlns:a16="http://schemas.microsoft.com/office/drawing/2014/main" id="{00000000-0008-0000-2200-0000AE2C0100}"/>
            </a:ext>
          </a:extLst>
        </xdr:cNvPr>
        <xdr:cNvSpPr txBox="1">
          <a:spLocks noChangeArrowheads="1"/>
        </xdr:cNvSpPr>
      </xdr:nvSpPr>
      <xdr:spPr bwMode="auto">
        <a:xfrm>
          <a:off x="6876256" y="667054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76975" name="ZoneTexte 1">
          <a:extLst>
            <a:ext uri="{FF2B5EF4-FFF2-40B4-BE49-F238E27FC236}">
              <a16:creationId xmlns:a16="http://schemas.microsoft.com/office/drawing/2014/main" id="{00000000-0008-0000-2200-0000AF2C0100}"/>
            </a:ext>
          </a:extLst>
        </xdr:cNvPr>
        <xdr:cNvSpPr txBox="1">
          <a:spLocks noChangeArrowheads="1"/>
        </xdr:cNvSpPr>
      </xdr:nvSpPr>
      <xdr:spPr bwMode="auto">
        <a:xfrm>
          <a:off x="6876573" y="683482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83</xdr:row>
          <xdr:rowOff>3</xdr:rowOff>
        </xdr:from>
        <xdr:to>
          <xdr:col>8</xdr:col>
          <xdr:colOff>0</xdr:colOff>
          <xdr:row>84</xdr:row>
          <xdr:rowOff>3</xdr:rowOff>
        </xdr:to>
        <xdr:grpSp>
          <xdr:nvGrpSpPr>
            <xdr:cNvPr id="76976" name="Groupe 76975">
              <a:extLst>
                <a:ext uri="{FF2B5EF4-FFF2-40B4-BE49-F238E27FC236}">
                  <a16:creationId xmlns:a16="http://schemas.microsoft.com/office/drawing/2014/main" id="{00000000-0008-0000-2200-0000B02C0100}"/>
                </a:ext>
              </a:extLst>
            </xdr:cNvPr>
            <xdr:cNvGrpSpPr/>
          </xdr:nvGrpSpPr>
          <xdr:grpSpPr>
            <a:xfrm>
              <a:off x="3706091" y="68764730"/>
              <a:ext cx="1962727" cy="1651000"/>
              <a:chOff x="2995447" y="3846797"/>
              <a:chExt cx="1960181" cy="1644869"/>
            </a:xfrm>
          </xdr:grpSpPr>
          <xdr:sp macro="" textlink="">
            <xdr:nvSpPr>
              <xdr:cNvPr id="76965" name="Option Button 165" hidden="1">
                <a:extLst>
                  <a:ext uri="{63B3BB69-23CF-44E3-9099-C40C66FF867C}">
                    <a14:compatExt spid="_x0000_s76965"/>
                  </a:ext>
                  <a:ext uri="{FF2B5EF4-FFF2-40B4-BE49-F238E27FC236}">
                    <a16:creationId xmlns:a16="http://schemas.microsoft.com/office/drawing/2014/main" id="{00000000-0008-0000-2100-0000A5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77" name="Option Button 166" hidden="1">
                <a:extLst>
                  <a:ext uri="{63B3BB69-23CF-44E3-9099-C40C66FF867C}">
                    <a14:compatExt spid="_x0000_s76966"/>
                  </a:ext>
                  <a:ext uri="{FF2B5EF4-FFF2-40B4-BE49-F238E27FC236}">
                    <a16:creationId xmlns:a16="http://schemas.microsoft.com/office/drawing/2014/main" id="{00000000-0008-0000-2100-0000152D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78" name="Option Button 167" hidden="1">
                <a:extLst>
                  <a:ext uri="{63B3BB69-23CF-44E3-9099-C40C66FF867C}">
                    <a14:compatExt spid="_x0000_s76967"/>
                  </a:ext>
                  <a:ext uri="{FF2B5EF4-FFF2-40B4-BE49-F238E27FC236}">
                    <a16:creationId xmlns:a16="http://schemas.microsoft.com/office/drawing/2014/main" id="{00000000-0008-0000-2100-0000162D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79" name="Option Button 168" hidden="1">
                <a:extLst>
                  <a:ext uri="{63B3BB69-23CF-44E3-9099-C40C66FF867C}">
                    <a14:compatExt spid="_x0000_s76968"/>
                  </a:ext>
                  <a:ext uri="{FF2B5EF4-FFF2-40B4-BE49-F238E27FC236}">
                    <a16:creationId xmlns:a16="http://schemas.microsoft.com/office/drawing/2014/main" id="{00000000-0008-0000-2100-0000172D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69" name="Group Box 169" hidden="1">
                <a:extLst>
                  <a:ext uri="{63B3BB69-23CF-44E3-9099-C40C66FF867C}">
                    <a14:compatExt spid="_x0000_s76969"/>
                  </a:ext>
                  <a:ext uri="{FF2B5EF4-FFF2-40B4-BE49-F238E27FC236}">
                    <a16:creationId xmlns:a16="http://schemas.microsoft.com/office/drawing/2014/main" id="{00000000-0008-0000-2100-0000A92C0100}"/>
                  </a:ext>
                </a:extLst>
              </xdr:cNvPr>
              <xdr:cNvSpPr/>
            </xdr:nvSpPr>
            <xdr:spPr bwMode="auto">
              <a:xfrm>
                <a:off x="2995447" y="3846797"/>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82</xdr:row>
          <xdr:rowOff>0</xdr:rowOff>
        </xdr:from>
        <xdr:to>
          <xdr:col>8</xdr:col>
          <xdr:colOff>0</xdr:colOff>
          <xdr:row>83</xdr:row>
          <xdr:rowOff>2058</xdr:rowOff>
        </xdr:to>
        <xdr:grpSp>
          <xdr:nvGrpSpPr>
            <xdr:cNvPr id="76982" name="Groupe 76981">
              <a:extLst>
                <a:ext uri="{FF2B5EF4-FFF2-40B4-BE49-F238E27FC236}">
                  <a16:creationId xmlns:a16="http://schemas.microsoft.com/office/drawing/2014/main" id="{00000000-0008-0000-2200-0000B62C0100}"/>
                </a:ext>
              </a:extLst>
            </xdr:cNvPr>
            <xdr:cNvGrpSpPr/>
          </xdr:nvGrpSpPr>
          <xdr:grpSpPr>
            <a:xfrm>
              <a:off x="3709259" y="67113727"/>
              <a:ext cx="1959559" cy="1653058"/>
              <a:chOff x="2994673" y="2201917"/>
              <a:chExt cx="1960968" cy="1646925"/>
            </a:xfrm>
          </xdr:grpSpPr>
          <xdr:sp macro="" textlink="">
            <xdr:nvSpPr>
              <xdr:cNvPr id="76970" name="Option Button 170" descr="Case d'option 47" hidden="1">
                <a:extLst>
                  <a:ext uri="{63B3BB69-23CF-44E3-9099-C40C66FF867C}">
                    <a14:compatExt spid="_x0000_s76970"/>
                  </a:ext>
                  <a:ext uri="{FF2B5EF4-FFF2-40B4-BE49-F238E27FC236}">
                    <a16:creationId xmlns:a16="http://schemas.microsoft.com/office/drawing/2014/main" id="{00000000-0008-0000-2100-0000AA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71" name="Option Button 171" hidden="1">
                <a:extLst>
                  <a:ext uri="{63B3BB69-23CF-44E3-9099-C40C66FF867C}">
                    <a14:compatExt spid="_x0000_s76971"/>
                  </a:ext>
                  <a:ext uri="{FF2B5EF4-FFF2-40B4-BE49-F238E27FC236}">
                    <a16:creationId xmlns:a16="http://schemas.microsoft.com/office/drawing/2014/main" id="{00000000-0008-0000-2100-0000AB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72" name="Option Button 172" hidden="1">
                <a:extLst>
                  <a:ext uri="{63B3BB69-23CF-44E3-9099-C40C66FF867C}">
                    <a14:compatExt spid="_x0000_s76972"/>
                  </a:ext>
                  <a:ext uri="{FF2B5EF4-FFF2-40B4-BE49-F238E27FC236}">
                    <a16:creationId xmlns:a16="http://schemas.microsoft.com/office/drawing/2014/main" id="{00000000-0008-0000-2100-0000AC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73" name="Option Button 173" hidden="1">
                <a:extLst>
                  <a:ext uri="{63B3BB69-23CF-44E3-9099-C40C66FF867C}">
                    <a14:compatExt spid="_x0000_s76973"/>
                  </a:ext>
                  <a:ext uri="{FF2B5EF4-FFF2-40B4-BE49-F238E27FC236}">
                    <a16:creationId xmlns:a16="http://schemas.microsoft.com/office/drawing/2014/main" id="{00000000-0008-0000-2100-0000AD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80" name="Group Box 174" hidden="1">
                <a:extLst>
                  <a:ext uri="{63B3BB69-23CF-44E3-9099-C40C66FF867C}">
                    <a14:compatExt spid="_x0000_s76974"/>
                  </a:ext>
                  <a:ext uri="{FF2B5EF4-FFF2-40B4-BE49-F238E27FC236}">
                    <a16:creationId xmlns:a16="http://schemas.microsoft.com/office/drawing/2014/main" id="{00000000-0008-0000-2100-0000182D0100}"/>
                  </a:ext>
                </a:extLst>
              </xdr:cNvPr>
              <xdr:cNvSpPr/>
            </xdr:nvSpPr>
            <xdr:spPr bwMode="auto">
              <a:xfrm>
                <a:off x="2994673" y="2201917"/>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93</xdr:row>
      <xdr:rowOff>22860</xdr:rowOff>
    </xdr:from>
    <xdr:to>
      <xdr:col>9</xdr:col>
      <xdr:colOff>4503756</xdr:colOff>
      <xdr:row>94</xdr:row>
      <xdr:rowOff>0</xdr:rowOff>
    </xdr:to>
    <xdr:sp macro="" textlink="" fLocksText="0">
      <xdr:nvSpPr>
        <xdr:cNvPr id="76988" name="ZoneTexte 1">
          <a:extLst>
            <a:ext uri="{FF2B5EF4-FFF2-40B4-BE49-F238E27FC236}">
              <a16:creationId xmlns:a16="http://schemas.microsoft.com/office/drawing/2014/main" id="{00000000-0008-0000-2200-0000BC2C0100}"/>
            </a:ext>
          </a:extLst>
        </xdr:cNvPr>
        <xdr:cNvSpPr txBox="1">
          <a:spLocks noChangeArrowheads="1"/>
        </xdr:cNvSpPr>
      </xdr:nvSpPr>
      <xdr:spPr bwMode="auto">
        <a:xfrm>
          <a:off x="6894195" y="721156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94</xdr:row>
      <xdr:rowOff>57150</xdr:rowOff>
    </xdr:from>
    <xdr:to>
      <xdr:col>9</xdr:col>
      <xdr:colOff>4451453</xdr:colOff>
      <xdr:row>95</xdr:row>
      <xdr:rowOff>0</xdr:rowOff>
    </xdr:to>
    <xdr:sp macro="" textlink="">
      <xdr:nvSpPr>
        <xdr:cNvPr id="76989" name="ZoneTexte 1">
          <a:extLst>
            <a:ext uri="{FF2B5EF4-FFF2-40B4-BE49-F238E27FC236}">
              <a16:creationId xmlns:a16="http://schemas.microsoft.com/office/drawing/2014/main" id="{00000000-0008-0000-2200-0000BD2C0100}"/>
            </a:ext>
          </a:extLst>
        </xdr:cNvPr>
        <xdr:cNvSpPr txBox="1">
          <a:spLocks noChangeArrowheads="1"/>
        </xdr:cNvSpPr>
      </xdr:nvSpPr>
      <xdr:spPr bwMode="auto">
        <a:xfrm>
          <a:off x="6894195" y="737958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76990" name="Groupe 76989">
              <a:extLst>
                <a:ext uri="{FF2B5EF4-FFF2-40B4-BE49-F238E27FC236}">
                  <a16:creationId xmlns:a16="http://schemas.microsoft.com/office/drawing/2014/main" id="{00000000-0008-0000-2200-0000BE2C0100}"/>
                </a:ext>
              </a:extLst>
            </xdr:cNvPr>
            <xdr:cNvGrpSpPr/>
          </xdr:nvGrpSpPr>
          <xdr:grpSpPr>
            <a:xfrm>
              <a:off x="3706091" y="74248818"/>
              <a:ext cx="1962727" cy="1651000"/>
              <a:chOff x="2995447" y="3846796"/>
              <a:chExt cx="1960181" cy="1644867"/>
            </a:xfrm>
          </xdr:grpSpPr>
          <xdr:sp macro="" textlink="">
            <xdr:nvSpPr>
              <xdr:cNvPr id="77081" name="Option Button 175" hidden="1">
                <a:extLst>
                  <a:ext uri="{63B3BB69-23CF-44E3-9099-C40C66FF867C}">
                    <a14:compatExt spid="_x0000_s76975"/>
                  </a:ext>
                  <a:ext uri="{FF2B5EF4-FFF2-40B4-BE49-F238E27FC236}">
                    <a16:creationId xmlns:a16="http://schemas.microsoft.com/office/drawing/2014/main" id="{00000000-0008-0000-2100-0000192D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83" name="Option Button 176" hidden="1">
                <a:extLst>
                  <a:ext uri="{63B3BB69-23CF-44E3-9099-C40C66FF867C}">
                    <a14:compatExt spid="_x0000_s76976"/>
                  </a:ext>
                  <a:ext uri="{FF2B5EF4-FFF2-40B4-BE49-F238E27FC236}">
                    <a16:creationId xmlns:a16="http://schemas.microsoft.com/office/drawing/2014/main" id="{00000000-0008-0000-2100-00001B2D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77" name="Option Button 177" hidden="1">
                <a:extLst>
                  <a:ext uri="{63B3BB69-23CF-44E3-9099-C40C66FF867C}">
                    <a14:compatExt spid="_x0000_s76977"/>
                  </a:ext>
                  <a:ext uri="{FF2B5EF4-FFF2-40B4-BE49-F238E27FC236}">
                    <a16:creationId xmlns:a16="http://schemas.microsoft.com/office/drawing/2014/main" id="{00000000-0008-0000-2100-0000B1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78" name="Option Button 178" hidden="1">
                <a:extLst>
                  <a:ext uri="{63B3BB69-23CF-44E3-9099-C40C66FF867C}">
                    <a14:compatExt spid="_x0000_s76978"/>
                  </a:ext>
                  <a:ext uri="{FF2B5EF4-FFF2-40B4-BE49-F238E27FC236}">
                    <a16:creationId xmlns:a16="http://schemas.microsoft.com/office/drawing/2014/main" id="{00000000-0008-0000-2100-0000B2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79" name="Group Box 179" hidden="1">
                <a:extLst>
                  <a:ext uri="{63B3BB69-23CF-44E3-9099-C40C66FF867C}">
                    <a14:compatExt spid="_x0000_s76979"/>
                  </a:ext>
                  <a:ext uri="{FF2B5EF4-FFF2-40B4-BE49-F238E27FC236}">
                    <a16:creationId xmlns:a16="http://schemas.microsoft.com/office/drawing/2014/main" id="{00000000-0008-0000-2100-0000B32C0100}"/>
                  </a:ext>
                </a:extLst>
              </xdr:cNvPr>
              <xdr:cNvSpPr/>
            </xdr:nvSpPr>
            <xdr:spPr bwMode="auto">
              <a:xfrm>
                <a:off x="2995447" y="3846796"/>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76996" name="Groupe 76995">
              <a:extLst>
                <a:ext uri="{FF2B5EF4-FFF2-40B4-BE49-F238E27FC236}">
                  <a16:creationId xmlns:a16="http://schemas.microsoft.com/office/drawing/2014/main" id="{00000000-0008-0000-2200-0000C42C0100}"/>
                </a:ext>
              </a:extLst>
            </xdr:cNvPr>
            <xdr:cNvGrpSpPr/>
          </xdr:nvGrpSpPr>
          <xdr:grpSpPr>
            <a:xfrm>
              <a:off x="3706091" y="72597818"/>
              <a:ext cx="1962727" cy="1653055"/>
              <a:chOff x="2994697" y="2201914"/>
              <a:chExt cx="1960969" cy="1646922"/>
            </a:xfrm>
          </xdr:grpSpPr>
          <xdr:sp macro="" textlink="">
            <xdr:nvSpPr>
              <xdr:cNvPr id="76980" name="Option Button 180" descr="Case d'option 47" hidden="1">
                <a:extLst>
                  <a:ext uri="{63B3BB69-23CF-44E3-9099-C40C66FF867C}">
                    <a14:compatExt spid="_x0000_s76980"/>
                  </a:ext>
                  <a:ext uri="{FF2B5EF4-FFF2-40B4-BE49-F238E27FC236}">
                    <a16:creationId xmlns:a16="http://schemas.microsoft.com/office/drawing/2014/main" id="{00000000-0008-0000-2100-0000B4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81" name="Option Button 181" hidden="1">
                <a:extLst>
                  <a:ext uri="{63B3BB69-23CF-44E3-9099-C40C66FF867C}">
                    <a14:compatExt spid="_x0000_s76981"/>
                  </a:ext>
                  <a:ext uri="{FF2B5EF4-FFF2-40B4-BE49-F238E27FC236}">
                    <a16:creationId xmlns:a16="http://schemas.microsoft.com/office/drawing/2014/main" id="{00000000-0008-0000-2100-0000B5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84" name="Option Button 182" hidden="1">
                <a:extLst>
                  <a:ext uri="{63B3BB69-23CF-44E3-9099-C40C66FF867C}">
                    <a14:compatExt spid="_x0000_s76982"/>
                  </a:ext>
                  <a:ext uri="{FF2B5EF4-FFF2-40B4-BE49-F238E27FC236}">
                    <a16:creationId xmlns:a16="http://schemas.microsoft.com/office/drawing/2014/main" id="{00000000-0008-0000-2100-00001C2D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83" name="Option Button 183" hidden="1">
                <a:extLst>
                  <a:ext uri="{63B3BB69-23CF-44E3-9099-C40C66FF867C}">
                    <a14:compatExt spid="_x0000_s76983"/>
                  </a:ext>
                  <a:ext uri="{FF2B5EF4-FFF2-40B4-BE49-F238E27FC236}">
                    <a16:creationId xmlns:a16="http://schemas.microsoft.com/office/drawing/2014/main" id="{00000000-0008-0000-2100-0000B7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84" name="Group Box 184" hidden="1">
                <a:extLst>
                  <a:ext uri="{63B3BB69-23CF-44E3-9099-C40C66FF867C}">
                    <a14:compatExt spid="_x0000_s76984"/>
                  </a:ext>
                  <a:ext uri="{FF2B5EF4-FFF2-40B4-BE49-F238E27FC236}">
                    <a16:creationId xmlns:a16="http://schemas.microsoft.com/office/drawing/2014/main" id="{00000000-0008-0000-2100-0000B82C0100}"/>
                  </a:ext>
                </a:extLst>
              </xdr:cNvPr>
              <xdr:cNvSpPr/>
            </xdr:nvSpPr>
            <xdr:spPr bwMode="auto">
              <a:xfrm>
                <a:off x="2994697" y="220191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77002" name="ZoneTexte 1">
          <a:extLst>
            <a:ext uri="{FF2B5EF4-FFF2-40B4-BE49-F238E27FC236}">
              <a16:creationId xmlns:a16="http://schemas.microsoft.com/office/drawing/2014/main" id="{00000000-0008-0000-2200-0000CA2C0100}"/>
            </a:ext>
          </a:extLst>
        </xdr:cNvPr>
        <xdr:cNvSpPr txBox="1">
          <a:spLocks noChangeArrowheads="1"/>
        </xdr:cNvSpPr>
      </xdr:nvSpPr>
      <xdr:spPr bwMode="auto">
        <a:xfrm>
          <a:off x="6894195" y="754003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77003" name="ZoneTexte 1">
          <a:extLst>
            <a:ext uri="{FF2B5EF4-FFF2-40B4-BE49-F238E27FC236}">
              <a16:creationId xmlns:a16="http://schemas.microsoft.com/office/drawing/2014/main" id="{00000000-0008-0000-2200-0000CB2C0100}"/>
            </a:ext>
          </a:extLst>
        </xdr:cNvPr>
        <xdr:cNvSpPr txBox="1">
          <a:spLocks noChangeArrowheads="1"/>
        </xdr:cNvSpPr>
      </xdr:nvSpPr>
      <xdr:spPr bwMode="auto">
        <a:xfrm>
          <a:off x="6876256" y="770534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77004" name="ZoneTexte 1">
          <a:extLst>
            <a:ext uri="{FF2B5EF4-FFF2-40B4-BE49-F238E27FC236}">
              <a16:creationId xmlns:a16="http://schemas.microsoft.com/office/drawing/2014/main" id="{00000000-0008-0000-2200-0000CC2C0100}"/>
            </a:ext>
          </a:extLst>
        </xdr:cNvPr>
        <xdr:cNvSpPr txBox="1">
          <a:spLocks noChangeArrowheads="1"/>
        </xdr:cNvSpPr>
      </xdr:nvSpPr>
      <xdr:spPr bwMode="auto">
        <a:xfrm>
          <a:off x="6876573" y="786962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97</xdr:row>
          <xdr:rowOff>3</xdr:rowOff>
        </xdr:from>
        <xdr:to>
          <xdr:col>8</xdr:col>
          <xdr:colOff>0</xdr:colOff>
          <xdr:row>98</xdr:row>
          <xdr:rowOff>3</xdr:rowOff>
        </xdr:to>
        <xdr:grpSp>
          <xdr:nvGrpSpPr>
            <xdr:cNvPr id="77005" name="Groupe 77004">
              <a:extLst>
                <a:ext uri="{FF2B5EF4-FFF2-40B4-BE49-F238E27FC236}">
                  <a16:creationId xmlns:a16="http://schemas.microsoft.com/office/drawing/2014/main" id="{00000000-0008-0000-2200-0000CD2C0100}"/>
                </a:ext>
              </a:extLst>
            </xdr:cNvPr>
            <xdr:cNvGrpSpPr/>
          </xdr:nvGrpSpPr>
          <xdr:grpSpPr>
            <a:xfrm>
              <a:off x="3706091" y="79201821"/>
              <a:ext cx="1962727" cy="1651000"/>
              <a:chOff x="2995447" y="3846796"/>
              <a:chExt cx="1960181" cy="1644869"/>
            </a:xfrm>
          </xdr:grpSpPr>
          <xdr:sp macro="" textlink="">
            <xdr:nvSpPr>
              <xdr:cNvPr id="76985" name="Option Button 185" hidden="1">
                <a:extLst>
                  <a:ext uri="{63B3BB69-23CF-44E3-9099-C40C66FF867C}">
                    <a14:compatExt spid="_x0000_s76985"/>
                  </a:ext>
                  <a:ext uri="{FF2B5EF4-FFF2-40B4-BE49-F238E27FC236}">
                    <a16:creationId xmlns:a16="http://schemas.microsoft.com/office/drawing/2014/main" id="{00000000-0008-0000-2100-0000B9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86" name="Option Button 186" hidden="1">
                <a:extLst>
                  <a:ext uri="{63B3BB69-23CF-44E3-9099-C40C66FF867C}">
                    <a14:compatExt spid="_x0000_s76986"/>
                  </a:ext>
                  <a:ext uri="{FF2B5EF4-FFF2-40B4-BE49-F238E27FC236}">
                    <a16:creationId xmlns:a16="http://schemas.microsoft.com/office/drawing/2014/main" id="{00000000-0008-0000-2100-0000BA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87" name="Option Button 187" hidden="1">
                <a:extLst>
                  <a:ext uri="{63B3BB69-23CF-44E3-9099-C40C66FF867C}">
                    <a14:compatExt spid="_x0000_s76987"/>
                  </a:ext>
                  <a:ext uri="{FF2B5EF4-FFF2-40B4-BE49-F238E27FC236}">
                    <a16:creationId xmlns:a16="http://schemas.microsoft.com/office/drawing/2014/main" id="{00000000-0008-0000-2100-0000BB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85" name="Option Button 188" hidden="1">
                <a:extLst>
                  <a:ext uri="{63B3BB69-23CF-44E3-9099-C40C66FF867C}">
                    <a14:compatExt spid="_x0000_s76988"/>
                  </a:ext>
                  <a:ext uri="{FF2B5EF4-FFF2-40B4-BE49-F238E27FC236}">
                    <a16:creationId xmlns:a16="http://schemas.microsoft.com/office/drawing/2014/main" id="{00000000-0008-0000-2100-00001D2D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86" name="Group Box 189" hidden="1">
                <a:extLst>
                  <a:ext uri="{63B3BB69-23CF-44E3-9099-C40C66FF867C}">
                    <a14:compatExt spid="_x0000_s76989"/>
                  </a:ext>
                  <a:ext uri="{FF2B5EF4-FFF2-40B4-BE49-F238E27FC236}">
                    <a16:creationId xmlns:a16="http://schemas.microsoft.com/office/drawing/2014/main" id="{00000000-0008-0000-2100-00001E2D0100}"/>
                  </a:ext>
                </a:extLst>
              </xdr:cNvPr>
              <xdr:cNvSpPr/>
            </xdr:nvSpPr>
            <xdr:spPr bwMode="auto">
              <a:xfrm>
                <a:off x="2995447" y="384679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77011" name="Groupe 77010">
              <a:extLst>
                <a:ext uri="{FF2B5EF4-FFF2-40B4-BE49-F238E27FC236}">
                  <a16:creationId xmlns:a16="http://schemas.microsoft.com/office/drawing/2014/main" id="{00000000-0008-0000-2200-0000D32C0100}"/>
                </a:ext>
              </a:extLst>
            </xdr:cNvPr>
            <xdr:cNvGrpSpPr/>
          </xdr:nvGrpSpPr>
          <xdr:grpSpPr>
            <a:xfrm>
              <a:off x="3709259" y="77550818"/>
              <a:ext cx="1959559" cy="1653058"/>
              <a:chOff x="2994673" y="2201917"/>
              <a:chExt cx="1960968" cy="1646925"/>
            </a:xfrm>
          </xdr:grpSpPr>
          <xdr:sp macro="" textlink="">
            <xdr:nvSpPr>
              <xdr:cNvPr id="77087" name="Option Button 190" descr="Case d'option 47" hidden="1">
                <a:extLst>
                  <a:ext uri="{63B3BB69-23CF-44E3-9099-C40C66FF867C}">
                    <a14:compatExt spid="_x0000_s76990"/>
                  </a:ext>
                  <a:ext uri="{FF2B5EF4-FFF2-40B4-BE49-F238E27FC236}">
                    <a16:creationId xmlns:a16="http://schemas.microsoft.com/office/drawing/2014/main" id="{00000000-0008-0000-2100-00001F2D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6991" name="Option Button 191" hidden="1">
                <a:extLst>
                  <a:ext uri="{63B3BB69-23CF-44E3-9099-C40C66FF867C}">
                    <a14:compatExt spid="_x0000_s76991"/>
                  </a:ext>
                  <a:ext uri="{FF2B5EF4-FFF2-40B4-BE49-F238E27FC236}">
                    <a16:creationId xmlns:a16="http://schemas.microsoft.com/office/drawing/2014/main" id="{00000000-0008-0000-2100-0000BF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92" name="Option Button 192" hidden="1">
                <a:extLst>
                  <a:ext uri="{63B3BB69-23CF-44E3-9099-C40C66FF867C}">
                    <a14:compatExt spid="_x0000_s76992"/>
                  </a:ext>
                  <a:ext uri="{FF2B5EF4-FFF2-40B4-BE49-F238E27FC236}">
                    <a16:creationId xmlns:a16="http://schemas.microsoft.com/office/drawing/2014/main" id="{00000000-0008-0000-2100-0000C0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93" name="Option Button 193" hidden="1">
                <a:extLst>
                  <a:ext uri="{63B3BB69-23CF-44E3-9099-C40C66FF867C}">
                    <a14:compatExt spid="_x0000_s76993"/>
                  </a:ext>
                  <a:ext uri="{FF2B5EF4-FFF2-40B4-BE49-F238E27FC236}">
                    <a16:creationId xmlns:a16="http://schemas.microsoft.com/office/drawing/2014/main" id="{00000000-0008-0000-2100-0000C1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94" name="Group Box 194" hidden="1">
                <a:extLst>
                  <a:ext uri="{63B3BB69-23CF-44E3-9099-C40C66FF867C}">
                    <a14:compatExt spid="_x0000_s76994"/>
                  </a:ext>
                  <a:ext uri="{FF2B5EF4-FFF2-40B4-BE49-F238E27FC236}">
                    <a16:creationId xmlns:a16="http://schemas.microsoft.com/office/drawing/2014/main" id="{00000000-0008-0000-2100-0000C22C0100}"/>
                  </a:ext>
                </a:extLst>
              </xdr:cNvPr>
              <xdr:cNvSpPr/>
            </xdr:nvSpPr>
            <xdr:spPr bwMode="auto">
              <a:xfrm>
                <a:off x="2994673" y="2201917"/>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77017" name="Groupe 77016">
              <a:extLst>
                <a:ext uri="{FF2B5EF4-FFF2-40B4-BE49-F238E27FC236}">
                  <a16:creationId xmlns:a16="http://schemas.microsoft.com/office/drawing/2014/main" id="{00000000-0008-0000-2200-0000D92C0100}"/>
                </a:ext>
              </a:extLst>
            </xdr:cNvPr>
            <xdr:cNvGrpSpPr/>
          </xdr:nvGrpSpPr>
          <xdr:grpSpPr>
            <a:xfrm>
              <a:off x="3706091" y="75899818"/>
              <a:ext cx="1962727" cy="1651000"/>
              <a:chOff x="2994693" y="2201919"/>
              <a:chExt cx="1960969" cy="1646929"/>
            </a:xfrm>
          </xdr:grpSpPr>
          <xdr:sp macro="" textlink="">
            <xdr:nvSpPr>
              <xdr:cNvPr id="76995" name="Option Button 195" descr="Case d'option 47" hidden="1">
                <a:extLst>
                  <a:ext uri="{63B3BB69-23CF-44E3-9099-C40C66FF867C}">
                    <a14:compatExt spid="_x0000_s76995"/>
                  </a:ext>
                  <a:ext uri="{FF2B5EF4-FFF2-40B4-BE49-F238E27FC236}">
                    <a16:creationId xmlns:a16="http://schemas.microsoft.com/office/drawing/2014/main" id="{00000000-0008-0000-2100-0000C3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89" name="Option Button 196" hidden="1">
                <a:extLst>
                  <a:ext uri="{63B3BB69-23CF-44E3-9099-C40C66FF867C}">
                    <a14:compatExt spid="_x0000_s76996"/>
                  </a:ext>
                  <a:ext uri="{FF2B5EF4-FFF2-40B4-BE49-F238E27FC236}">
                    <a16:creationId xmlns:a16="http://schemas.microsoft.com/office/drawing/2014/main" id="{00000000-0008-0000-2100-0000212D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6997" name="Option Button 197" hidden="1">
                <a:extLst>
                  <a:ext uri="{63B3BB69-23CF-44E3-9099-C40C66FF867C}">
                    <a14:compatExt spid="_x0000_s76997"/>
                  </a:ext>
                  <a:ext uri="{FF2B5EF4-FFF2-40B4-BE49-F238E27FC236}">
                    <a16:creationId xmlns:a16="http://schemas.microsoft.com/office/drawing/2014/main" id="{00000000-0008-0000-2100-0000C5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6998" name="Option Button 198" hidden="1">
                <a:extLst>
                  <a:ext uri="{63B3BB69-23CF-44E3-9099-C40C66FF867C}">
                    <a14:compatExt spid="_x0000_s76998"/>
                  </a:ext>
                  <a:ext uri="{FF2B5EF4-FFF2-40B4-BE49-F238E27FC236}">
                    <a16:creationId xmlns:a16="http://schemas.microsoft.com/office/drawing/2014/main" id="{00000000-0008-0000-2100-0000C6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6999" name="Group Box 199" hidden="1">
                <a:extLst>
                  <a:ext uri="{63B3BB69-23CF-44E3-9099-C40C66FF867C}">
                    <a14:compatExt spid="_x0000_s76999"/>
                  </a:ext>
                  <a:ext uri="{FF2B5EF4-FFF2-40B4-BE49-F238E27FC236}">
                    <a16:creationId xmlns:a16="http://schemas.microsoft.com/office/drawing/2014/main" id="{00000000-0008-0000-2100-0000C72C0100}"/>
                  </a:ext>
                </a:extLst>
              </xdr:cNvPr>
              <xdr:cNvSpPr/>
            </xdr:nvSpPr>
            <xdr:spPr bwMode="auto">
              <a:xfrm>
                <a:off x="2994693" y="2201919"/>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77023" name="Ellipse 77022">
          <a:extLst>
            <a:ext uri="{FF2B5EF4-FFF2-40B4-BE49-F238E27FC236}">
              <a16:creationId xmlns:a16="http://schemas.microsoft.com/office/drawing/2014/main" id="{00000000-0008-0000-2200-0000DF2C0100}"/>
            </a:ext>
          </a:extLst>
        </xdr:cNvPr>
        <xdr:cNvSpPr>
          <a:spLocks noChangeAspect="1"/>
        </xdr:cNvSpPr>
      </xdr:nvSpPr>
      <xdr:spPr>
        <a:xfrm>
          <a:off x="481621" y="714732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77024" name="ZoneTexte 1">
          <a:extLst>
            <a:ext uri="{FF2B5EF4-FFF2-40B4-BE49-F238E27FC236}">
              <a16:creationId xmlns:a16="http://schemas.microsoft.com/office/drawing/2014/main" id="{00000000-0008-0000-2200-0000E02C0100}"/>
            </a:ext>
          </a:extLst>
        </xdr:cNvPr>
        <xdr:cNvSpPr txBox="1">
          <a:spLocks noChangeArrowheads="1"/>
        </xdr:cNvSpPr>
      </xdr:nvSpPr>
      <xdr:spPr bwMode="auto">
        <a:xfrm>
          <a:off x="6876256" y="80345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77025" name="ZoneTexte 1">
          <a:extLst>
            <a:ext uri="{FF2B5EF4-FFF2-40B4-BE49-F238E27FC236}">
              <a16:creationId xmlns:a16="http://schemas.microsoft.com/office/drawing/2014/main" id="{00000000-0008-0000-2200-0000E12C0100}"/>
            </a:ext>
          </a:extLst>
        </xdr:cNvPr>
        <xdr:cNvSpPr txBox="1">
          <a:spLocks noChangeArrowheads="1"/>
        </xdr:cNvSpPr>
      </xdr:nvSpPr>
      <xdr:spPr bwMode="auto">
        <a:xfrm>
          <a:off x="6876573" y="81988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99</xdr:row>
          <xdr:rowOff>3</xdr:rowOff>
        </xdr:from>
        <xdr:to>
          <xdr:col>8</xdr:col>
          <xdr:colOff>0</xdr:colOff>
          <xdr:row>100</xdr:row>
          <xdr:rowOff>3</xdr:rowOff>
        </xdr:to>
        <xdr:grpSp>
          <xdr:nvGrpSpPr>
            <xdr:cNvPr id="77026" name="Groupe 77025">
              <a:extLst>
                <a:ext uri="{FF2B5EF4-FFF2-40B4-BE49-F238E27FC236}">
                  <a16:creationId xmlns:a16="http://schemas.microsoft.com/office/drawing/2014/main" id="{00000000-0008-0000-2200-0000E22C0100}"/>
                </a:ext>
              </a:extLst>
            </xdr:cNvPr>
            <xdr:cNvGrpSpPr/>
          </xdr:nvGrpSpPr>
          <xdr:grpSpPr>
            <a:xfrm>
              <a:off x="3706091" y="82503821"/>
              <a:ext cx="1962727" cy="1651000"/>
              <a:chOff x="2995447" y="3846799"/>
              <a:chExt cx="1960181" cy="1644869"/>
            </a:xfrm>
          </xdr:grpSpPr>
          <xdr:sp macro="" textlink="">
            <xdr:nvSpPr>
              <xdr:cNvPr id="77000" name="Option Button 200" hidden="1">
                <a:extLst>
                  <a:ext uri="{63B3BB69-23CF-44E3-9099-C40C66FF867C}">
                    <a14:compatExt spid="_x0000_s77000"/>
                  </a:ext>
                  <a:ext uri="{FF2B5EF4-FFF2-40B4-BE49-F238E27FC236}">
                    <a16:creationId xmlns:a16="http://schemas.microsoft.com/office/drawing/2014/main" id="{00000000-0008-0000-2100-0000C8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01" name="Option Button 201" hidden="1">
                <a:extLst>
                  <a:ext uri="{63B3BB69-23CF-44E3-9099-C40C66FF867C}">
                    <a14:compatExt spid="_x0000_s77001"/>
                  </a:ext>
                  <a:ext uri="{FF2B5EF4-FFF2-40B4-BE49-F238E27FC236}">
                    <a16:creationId xmlns:a16="http://schemas.microsoft.com/office/drawing/2014/main" id="{00000000-0008-0000-2100-0000C9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90" name="Option Button 202" hidden="1">
                <a:extLst>
                  <a:ext uri="{63B3BB69-23CF-44E3-9099-C40C66FF867C}">
                    <a14:compatExt spid="_x0000_s77002"/>
                  </a:ext>
                  <a:ext uri="{FF2B5EF4-FFF2-40B4-BE49-F238E27FC236}">
                    <a16:creationId xmlns:a16="http://schemas.microsoft.com/office/drawing/2014/main" id="{00000000-0008-0000-2100-0000222D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91" name="Option Button 203" hidden="1">
                <a:extLst>
                  <a:ext uri="{63B3BB69-23CF-44E3-9099-C40C66FF867C}">
                    <a14:compatExt spid="_x0000_s77003"/>
                  </a:ext>
                  <a:ext uri="{FF2B5EF4-FFF2-40B4-BE49-F238E27FC236}">
                    <a16:creationId xmlns:a16="http://schemas.microsoft.com/office/drawing/2014/main" id="{00000000-0008-0000-2100-0000232D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92" name="Group Box 204" hidden="1">
                <a:extLst>
                  <a:ext uri="{63B3BB69-23CF-44E3-9099-C40C66FF867C}">
                    <a14:compatExt spid="_x0000_s77004"/>
                  </a:ext>
                  <a:ext uri="{FF2B5EF4-FFF2-40B4-BE49-F238E27FC236}">
                    <a16:creationId xmlns:a16="http://schemas.microsoft.com/office/drawing/2014/main" id="{00000000-0008-0000-2100-0000242D0100}"/>
                  </a:ext>
                </a:extLst>
              </xdr:cNvPr>
              <xdr:cNvSpPr/>
            </xdr:nvSpPr>
            <xdr:spPr bwMode="auto">
              <a:xfrm>
                <a:off x="2995447" y="3846799"/>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98</xdr:row>
          <xdr:rowOff>0</xdr:rowOff>
        </xdr:from>
        <xdr:to>
          <xdr:col>8</xdr:col>
          <xdr:colOff>0</xdr:colOff>
          <xdr:row>99</xdr:row>
          <xdr:rowOff>2058</xdr:rowOff>
        </xdr:to>
        <xdr:grpSp>
          <xdr:nvGrpSpPr>
            <xdr:cNvPr id="77032" name="Groupe 77031">
              <a:extLst>
                <a:ext uri="{FF2B5EF4-FFF2-40B4-BE49-F238E27FC236}">
                  <a16:creationId xmlns:a16="http://schemas.microsoft.com/office/drawing/2014/main" id="{00000000-0008-0000-2200-0000E82C0100}"/>
                </a:ext>
              </a:extLst>
            </xdr:cNvPr>
            <xdr:cNvGrpSpPr/>
          </xdr:nvGrpSpPr>
          <xdr:grpSpPr>
            <a:xfrm>
              <a:off x="3709259" y="80852818"/>
              <a:ext cx="1959559" cy="1653058"/>
              <a:chOff x="2994673" y="2201915"/>
              <a:chExt cx="1960968" cy="1646925"/>
            </a:xfrm>
          </xdr:grpSpPr>
          <xdr:sp macro="" textlink="">
            <xdr:nvSpPr>
              <xdr:cNvPr id="77093" name="Option Button 205" descr="Case d'option 47" hidden="1">
                <a:extLst>
                  <a:ext uri="{63B3BB69-23CF-44E3-9099-C40C66FF867C}">
                    <a14:compatExt spid="_x0000_s77005"/>
                  </a:ext>
                  <a:ext uri="{FF2B5EF4-FFF2-40B4-BE49-F238E27FC236}">
                    <a16:creationId xmlns:a16="http://schemas.microsoft.com/office/drawing/2014/main" id="{00000000-0008-0000-2100-0000252D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06" name="Option Button 206" hidden="1">
                <a:extLst>
                  <a:ext uri="{63B3BB69-23CF-44E3-9099-C40C66FF867C}">
                    <a14:compatExt spid="_x0000_s77006"/>
                  </a:ext>
                  <a:ext uri="{FF2B5EF4-FFF2-40B4-BE49-F238E27FC236}">
                    <a16:creationId xmlns:a16="http://schemas.microsoft.com/office/drawing/2014/main" id="{00000000-0008-0000-2100-0000CE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07" name="Option Button 207" hidden="1">
                <a:extLst>
                  <a:ext uri="{63B3BB69-23CF-44E3-9099-C40C66FF867C}">
                    <a14:compatExt spid="_x0000_s77007"/>
                  </a:ext>
                  <a:ext uri="{FF2B5EF4-FFF2-40B4-BE49-F238E27FC236}">
                    <a16:creationId xmlns:a16="http://schemas.microsoft.com/office/drawing/2014/main" id="{00000000-0008-0000-2100-0000CF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08" name="Option Button 208" hidden="1">
                <a:extLst>
                  <a:ext uri="{63B3BB69-23CF-44E3-9099-C40C66FF867C}">
                    <a14:compatExt spid="_x0000_s77008"/>
                  </a:ext>
                  <a:ext uri="{FF2B5EF4-FFF2-40B4-BE49-F238E27FC236}">
                    <a16:creationId xmlns:a16="http://schemas.microsoft.com/office/drawing/2014/main" id="{00000000-0008-0000-2100-0000D0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09" name="Group Box 209" hidden="1">
                <a:extLst>
                  <a:ext uri="{63B3BB69-23CF-44E3-9099-C40C66FF867C}">
                    <a14:compatExt spid="_x0000_s77009"/>
                  </a:ext>
                  <a:ext uri="{FF2B5EF4-FFF2-40B4-BE49-F238E27FC236}">
                    <a16:creationId xmlns:a16="http://schemas.microsoft.com/office/drawing/2014/main" id="{00000000-0008-0000-2100-0000D12C0100}"/>
                  </a:ext>
                </a:extLst>
              </xdr:cNvPr>
              <xdr:cNvSpPr/>
            </xdr:nvSpPr>
            <xdr:spPr bwMode="auto">
              <a:xfrm>
                <a:off x="2994673" y="2201915"/>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109</xdr:row>
      <xdr:rowOff>22860</xdr:rowOff>
    </xdr:from>
    <xdr:to>
      <xdr:col>9</xdr:col>
      <xdr:colOff>4503756</xdr:colOff>
      <xdr:row>110</xdr:row>
      <xdr:rowOff>0</xdr:rowOff>
    </xdr:to>
    <xdr:sp macro="" textlink="" fLocksText="0">
      <xdr:nvSpPr>
        <xdr:cNvPr id="77038" name="ZoneTexte 1">
          <a:extLst>
            <a:ext uri="{FF2B5EF4-FFF2-40B4-BE49-F238E27FC236}">
              <a16:creationId xmlns:a16="http://schemas.microsoft.com/office/drawing/2014/main" id="{00000000-0008-0000-2200-0000EE2C0100}"/>
            </a:ext>
          </a:extLst>
        </xdr:cNvPr>
        <xdr:cNvSpPr txBox="1">
          <a:spLocks noChangeArrowheads="1"/>
        </xdr:cNvSpPr>
      </xdr:nvSpPr>
      <xdr:spPr bwMode="auto">
        <a:xfrm>
          <a:off x="6894195" y="857554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77039" name="ZoneTexte 1">
          <a:extLst>
            <a:ext uri="{FF2B5EF4-FFF2-40B4-BE49-F238E27FC236}">
              <a16:creationId xmlns:a16="http://schemas.microsoft.com/office/drawing/2014/main" id="{00000000-0008-0000-2200-0000EF2C0100}"/>
            </a:ext>
          </a:extLst>
        </xdr:cNvPr>
        <xdr:cNvSpPr txBox="1">
          <a:spLocks noChangeArrowheads="1"/>
        </xdr:cNvSpPr>
      </xdr:nvSpPr>
      <xdr:spPr bwMode="auto">
        <a:xfrm>
          <a:off x="6894195" y="8743569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110</xdr:row>
          <xdr:rowOff>0</xdr:rowOff>
        </xdr:from>
        <xdr:to>
          <xdr:col>8</xdr:col>
          <xdr:colOff>0</xdr:colOff>
          <xdr:row>111</xdr:row>
          <xdr:rowOff>0</xdr:rowOff>
        </xdr:to>
        <xdr:grpSp>
          <xdr:nvGrpSpPr>
            <xdr:cNvPr id="77040" name="Groupe 77039">
              <a:extLst>
                <a:ext uri="{FF2B5EF4-FFF2-40B4-BE49-F238E27FC236}">
                  <a16:creationId xmlns:a16="http://schemas.microsoft.com/office/drawing/2014/main" id="{00000000-0008-0000-2200-0000F02C0100}"/>
                </a:ext>
              </a:extLst>
            </xdr:cNvPr>
            <xdr:cNvGrpSpPr/>
          </xdr:nvGrpSpPr>
          <xdr:grpSpPr>
            <a:xfrm>
              <a:off x="3706091" y="87987909"/>
              <a:ext cx="1962727" cy="1651000"/>
              <a:chOff x="2995447" y="3846800"/>
              <a:chExt cx="1960181" cy="1644867"/>
            </a:xfrm>
          </xdr:grpSpPr>
          <xdr:sp macro="" textlink="">
            <xdr:nvSpPr>
              <xdr:cNvPr id="77010" name="Option Button 210" hidden="1">
                <a:extLst>
                  <a:ext uri="{63B3BB69-23CF-44E3-9099-C40C66FF867C}">
                    <a14:compatExt spid="_x0000_s77010"/>
                  </a:ext>
                  <a:ext uri="{FF2B5EF4-FFF2-40B4-BE49-F238E27FC236}">
                    <a16:creationId xmlns:a16="http://schemas.microsoft.com/office/drawing/2014/main" id="{00000000-0008-0000-2100-0000D2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94" name="Option Button 211" hidden="1">
                <a:extLst>
                  <a:ext uri="{63B3BB69-23CF-44E3-9099-C40C66FF867C}">
                    <a14:compatExt spid="_x0000_s77011"/>
                  </a:ext>
                  <a:ext uri="{FF2B5EF4-FFF2-40B4-BE49-F238E27FC236}">
                    <a16:creationId xmlns:a16="http://schemas.microsoft.com/office/drawing/2014/main" id="{00000000-0008-0000-2100-0000262D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12" name="Option Button 212" hidden="1">
                <a:extLst>
                  <a:ext uri="{63B3BB69-23CF-44E3-9099-C40C66FF867C}">
                    <a14:compatExt spid="_x0000_s77012"/>
                  </a:ext>
                  <a:ext uri="{FF2B5EF4-FFF2-40B4-BE49-F238E27FC236}">
                    <a16:creationId xmlns:a16="http://schemas.microsoft.com/office/drawing/2014/main" id="{00000000-0008-0000-2100-0000D4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13" name="Option Button 213" hidden="1">
                <a:extLst>
                  <a:ext uri="{63B3BB69-23CF-44E3-9099-C40C66FF867C}">
                    <a14:compatExt spid="_x0000_s77013"/>
                  </a:ext>
                  <a:ext uri="{FF2B5EF4-FFF2-40B4-BE49-F238E27FC236}">
                    <a16:creationId xmlns:a16="http://schemas.microsoft.com/office/drawing/2014/main" id="{00000000-0008-0000-2100-0000D52C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14" name="Group Box 214" hidden="1">
                <a:extLst>
                  <a:ext uri="{63B3BB69-23CF-44E3-9099-C40C66FF867C}">
                    <a14:compatExt spid="_x0000_s77014"/>
                  </a:ext>
                  <a:ext uri="{FF2B5EF4-FFF2-40B4-BE49-F238E27FC236}">
                    <a16:creationId xmlns:a16="http://schemas.microsoft.com/office/drawing/2014/main" id="{00000000-0008-0000-2100-0000D62C0100}"/>
                  </a:ext>
                </a:extLst>
              </xdr:cNvPr>
              <xdr:cNvSpPr/>
            </xdr:nvSpPr>
            <xdr:spPr bwMode="auto">
              <a:xfrm>
                <a:off x="2995447" y="3846800"/>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109</xdr:row>
          <xdr:rowOff>0</xdr:rowOff>
        </xdr:from>
        <xdr:to>
          <xdr:col>8</xdr:col>
          <xdr:colOff>0</xdr:colOff>
          <xdr:row>110</xdr:row>
          <xdr:rowOff>2055</xdr:rowOff>
        </xdr:to>
        <xdr:grpSp>
          <xdr:nvGrpSpPr>
            <xdr:cNvPr id="77046" name="Groupe 77045">
              <a:extLst>
                <a:ext uri="{FF2B5EF4-FFF2-40B4-BE49-F238E27FC236}">
                  <a16:creationId xmlns:a16="http://schemas.microsoft.com/office/drawing/2014/main" id="{00000000-0008-0000-2200-0000F62C0100}"/>
                </a:ext>
              </a:extLst>
            </xdr:cNvPr>
            <xdr:cNvGrpSpPr/>
          </xdr:nvGrpSpPr>
          <xdr:grpSpPr>
            <a:xfrm>
              <a:off x="3706091" y="86336909"/>
              <a:ext cx="1962727" cy="1653055"/>
              <a:chOff x="2994697" y="2201913"/>
              <a:chExt cx="1960969" cy="1646922"/>
            </a:xfrm>
          </xdr:grpSpPr>
          <xdr:sp macro="" textlink="">
            <xdr:nvSpPr>
              <xdr:cNvPr id="77015" name="Option Button 215" descr="Case d'option 47" hidden="1">
                <a:extLst>
                  <a:ext uri="{63B3BB69-23CF-44E3-9099-C40C66FF867C}">
                    <a14:compatExt spid="_x0000_s77015"/>
                  </a:ext>
                  <a:ext uri="{FF2B5EF4-FFF2-40B4-BE49-F238E27FC236}">
                    <a16:creationId xmlns:a16="http://schemas.microsoft.com/office/drawing/2014/main" id="{00000000-0008-0000-2100-0000D7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16" name="Option Button 216" hidden="1">
                <a:extLst>
                  <a:ext uri="{63B3BB69-23CF-44E3-9099-C40C66FF867C}">
                    <a14:compatExt spid="_x0000_s77016"/>
                  </a:ext>
                  <a:ext uri="{FF2B5EF4-FFF2-40B4-BE49-F238E27FC236}">
                    <a16:creationId xmlns:a16="http://schemas.microsoft.com/office/drawing/2014/main" id="{00000000-0008-0000-2100-0000D8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95" name="Option Button 217" hidden="1">
                <a:extLst>
                  <a:ext uri="{63B3BB69-23CF-44E3-9099-C40C66FF867C}">
                    <a14:compatExt spid="_x0000_s77017"/>
                  </a:ext>
                  <a:ext uri="{FF2B5EF4-FFF2-40B4-BE49-F238E27FC236}">
                    <a16:creationId xmlns:a16="http://schemas.microsoft.com/office/drawing/2014/main" id="{00000000-0008-0000-2100-0000272D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18" name="Option Button 218" hidden="1">
                <a:extLst>
                  <a:ext uri="{63B3BB69-23CF-44E3-9099-C40C66FF867C}">
                    <a14:compatExt spid="_x0000_s77018"/>
                  </a:ext>
                  <a:ext uri="{FF2B5EF4-FFF2-40B4-BE49-F238E27FC236}">
                    <a16:creationId xmlns:a16="http://schemas.microsoft.com/office/drawing/2014/main" id="{00000000-0008-0000-2100-0000DA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19" name="Group Box 219" hidden="1">
                <a:extLst>
                  <a:ext uri="{63B3BB69-23CF-44E3-9099-C40C66FF867C}">
                    <a14:compatExt spid="_x0000_s77019"/>
                  </a:ext>
                  <a:ext uri="{FF2B5EF4-FFF2-40B4-BE49-F238E27FC236}">
                    <a16:creationId xmlns:a16="http://schemas.microsoft.com/office/drawing/2014/main" id="{00000000-0008-0000-2100-0000DB2C0100}"/>
                  </a:ext>
                </a:extLst>
              </xdr:cNvPr>
              <xdr:cNvSpPr/>
            </xdr:nvSpPr>
            <xdr:spPr bwMode="auto">
              <a:xfrm>
                <a:off x="2994697" y="2201913"/>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111</xdr:row>
      <xdr:rowOff>15675</xdr:rowOff>
    </xdr:from>
    <xdr:to>
      <xdr:col>9</xdr:col>
      <xdr:colOff>4503756</xdr:colOff>
      <xdr:row>112</xdr:row>
      <xdr:rowOff>0</xdr:rowOff>
    </xdr:to>
    <xdr:sp macro="" textlink="" fLocksText="0">
      <xdr:nvSpPr>
        <xdr:cNvPr id="77052" name="ZoneTexte 1">
          <a:extLst>
            <a:ext uri="{FF2B5EF4-FFF2-40B4-BE49-F238E27FC236}">
              <a16:creationId xmlns:a16="http://schemas.microsoft.com/office/drawing/2014/main" id="{00000000-0008-0000-2200-0000FC2C0100}"/>
            </a:ext>
          </a:extLst>
        </xdr:cNvPr>
        <xdr:cNvSpPr txBox="1">
          <a:spLocks noChangeArrowheads="1"/>
        </xdr:cNvSpPr>
      </xdr:nvSpPr>
      <xdr:spPr bwMode="auto">
        <a:xfrm>
          <a:off x="6894195" y="890401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77053" name="ZoneTexte 1">
          <a:extLst>
            <a:ext uri="{FF2B5EF4-FFF2-40B4-BE49-F238E27FC236}">
              <a16:creationId xmlns:a16="http://schemas.microsoft.com/office/drawing/2014/main" id="{00000000-0008-0000-2200-0000FD2C0100}"/>
            </a:ext>
          </a:extLst>
        </xdr:cNvPr>
        <xdr:cNvSpPr txBox="1">
          <a:spLocks noChangeArrowheads="1"/>
        </xdr:cNvSpPr>
      </xdr:nvSpPr>
      <xdr:spPr bwMode="auto">
        <a:xfrm>
          <a:off x="6876256" y="906932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77054" name="ZoneTexte 1">
          <a:extLst>
            <a:ext uri="{FF2B5EF4-FFF2-40B4-BE49-F238E27FC236}">
              <a16:creationId xmlns:a16="http://schemas.microsoft.com/office/drawing/2014/main" id="{00000000-0008-0000-2200-0000FE2C0100}"/>
            </a:ext>
          </a:extLst>
        </xdr:cNvPr>
        <xdr:cNvSpPr txBox="1">
          <a:spLocks noChangeArrowheads="1"/>
        </xdr:cNvSpPr>
      </xdr:nvSpPr>
      <xdr:spPr bwMode="auto">
        <a:xfrm>
          <a:off x="6876573" y="923360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113</xdr:row>
          <xdr:rowOff>3</xdr:rowOff>
        </xdr:from>
        <xdr:to>
          <xdr:col>8</xdr:col>
          <xdr:colOff>0</xdr:colOff>
          <xdr:row>114</xdr:row>
          <xdr:rowOff>3</xdr:rowOff>
        </xdr:to>
        <xdr:grpSp>
          <xdr:nvGrpSpPr>
            <xdr:cNvPr id="77055" name="Groupe 77054">
              <a:extLst>
                <a:ext uri="{FF2B5EF4-FFF2-40B4-BE49-F238E27FC236}">
                  <a16:creationId xmlns:a16="http://schemas.microsoft.com/office/drawing/2014/main" id="{00000000-0008-0000-2200-0000FF2C0100}"/>
                </a:ext>
              </a:extLst>
            </xdr:cNvPr>
            <xdr:cNvGrpSpPr/>
          </xdr:nvGrpSpPr>
          <xdr:grpSpPr>
            <a:xfrm>
              <a:off x="3706091" y="92940912"/>
              <a:ext cx="1962727" cy="1651000"/>
              <a:chOff x="2995447" y="3846798"/>
              <a:chExt cx="1960181" cy="1644869"/>
            </a:xfrm>
          </xdr:grpSpPr>
          <xdr:sp macro="" textlink="">
            <xdr:nvSpPr>
              <xdr:cNvPr id="77020" name="Option Button 220" hidden="1">
                <a:extLst>
                  <a:ext uri="{63B3BB69-23CF-44E3-9099-C40C66FF867C}">
                    <a14:compatExt spid="_x0000_s77020"/>
                  </a:ext>
                  <a:ext uri="{FF2B5EF4-FFF2-40B4-BE49-F238E27FC236}">
                    <a16:creationId xmlns:a16="http://schemas.microsoft.com/office/drawing/2014/main" id="{00000000-0008-0000-2100-0000DC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21" name="Option Button 221" hidden="1">
                <a:extLst>
                  <a:ext uri="{63B3BB69-23CF-44E3-9099-C40C66FF867C}">
                    <a14:compatExt spid="_x0000_s77021"/>
                  </a:ext>
                  <a:ext uri="{FF2B5EF4-FFF2-40B4-BE49-F238E27FC236}">
                    <a16:creationId xmlns:a16="http://schemas.microsoft.com/office/drawing/2014/main" id="{00000000-0008-0000-2100-0000DD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22" name="Option Button 222" hidden="1">
                <a:extLst>
                  <a:ext uri="{63B3BB69-23CF-44E3-9099-C40C66FF867C}">
                    <a14:compatExt spid="_x0000_s77022"/>
                  </a:ext>
                  <a:ext uri="{FF2B5EF4-FFF2-40B4-BE49-F238E27FC236}">
                    <a16:creationId xmlns:a16="http://schemas.microsoft.com/office/drawing/2014/main" id="{00000000-0008-0000-2100-0000DE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56" name="Option Button 223" hidden="1">
                <a:extLst>
                  <a:ext uri="{63B3BB69-23CF-44E3-9099-C40C66FF867C}">
                    <a14:compatExt spid="_x0000_s77023"/>
                  </a:ext>
                  <a:ext uri="{FF2B5EF4-FFF2-40B4-BE49-F238E27FC236}">
                    <a16:creationId xmlns:a16="http://schemas.microsoft.com/office/drawing/2014/main" id="{00000000-0008-0000-2100-0000002D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57" name="Group Box 224" hidden="1">
                <a:extLst>
                  <a:ext uri="{63B3BB69-23CF-44E3-9099-C40C66FF867C}">
                    <a14:compatExt spid="_x0000_s77024"/>
                  </a:ext>
                  <a:ext uri="{FF2B5EF4-FFF2-40B4-BE49-F238E27FC236}">
                    <a16:creationId xmlns:a16="http://schemas.microsoft.com/office/drawing/2014/main" id="{00000000-0008-0000-2100-0000012D0100}"/>
                  </a:ext>
                </a:extLst>
              </xdr:cNvPr>
              <xdr:cNvSpPr/>
            </xdr:nvSpPr>
            <xdr:spPr bwMode="auto">
              <a:xfrm>
                <a:off x="2995447" y="3846798"/>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112</xdr:row>
          <xdr:rowOff>0</xdr:rowOff>
        </xdr:from>
        <xdr:to>
          <xdr:col>8</xdr:col>
          <xdr:colOff>0</xdr:colOff>
          <xdr:row>113</xdr:row>
          <xdr:rowOff>2058</xdr:rowOff>
        </xdr:to>
        <xdr:grpSp>
          <xdr:nvGrpSpPr>
            <xdr:cNvPr id="77061" name="Groupe 77060">
              <a:extLst>
                <a:ext uri="{FF2B5EF4-FFF2-40B4-BE49-F238E27FC236}">
                  <a16:creationId xmlns:a16="http://schemas.microsoft.com/office/drawing/2014/main" id="{00000000-0008-0000-2200-0000052D0100}"/>
                </a:ext>
              </a:extLst>
            </xdr:cNvPr>
            <xdr:cNvGrpSpPr/>
          </xdr:nvGrpSpPr>
          <xdr:grpSpPr>
            <a:xfrm>
              <a:off x="3709259" y="91289909"/>
              <a:ext cx="1959559" cy="1653058"/>
              <a:chOff x="2994673" y="2201914"/>
              <a:chExt cx="1960968" cy="1646925"/>
            </a:xfrm>
          </xdr:grpSpPr>
          <xdr:sp macro="" textlink="">
            <xdr:nvSpPr>
              <xdr:cNvPr id="77058" name="Option Button 225" descr="Case d'option 47" hidden="1">
                <a:extLst>
                  <a:ext uri="{63B3BB69-23CF-44E3-9099-C40C66FF867C}">
                    <a14:compatExt spid="_x0000_s77025"/>
                  </a:ext>
                  <a:ext uri="{FF2B5EF4-FFF2-40B4-BE49-F238E27FC236}">
                    <a16:creationId xmlns:a16="http://schemas.microsoft.com/office/drawing/2014/main" id="{00000000-0008-0000-2100-0000022D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59" name="Option Button 226" hidden="1">
                <a:extLst>
                  <a:ext uri="{63B3BB69-23CF-44E3-9099-C40C66FF867C}">
                    <a14:compatExt spid="_x0000_s77026"/>
                  </a:ext>
                  <a:ext uri="{FF2B5EF4-FFF2-40B4-BE49-F238E27FC236}">
                    <a16:creationId xmlns:a16="http://schemas.microsoft.com/office/drawing/2014/main" id="{00000000-0008-0000-2100-0000032D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27" name="Option Button 227" hidden="1">
                <a:extLst>
                  <a:ext uri="{63B3BB69-23CF-44E3-9099-C40C66FF867C}">
                    <a14:compatExt spid="_x0000_s77027"/>
                  </a:ext>
                  <a:ext uri="{FF2B5EF4-FFF2-40B4-BE49-F238E27FC236}">
                    <a16:creationId xmlns:a16="http://schemas.microsoft.com/office/drawing/2014/main" id="{00000000-0008-0000-2100-0000E3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28" name="Option Button 228" hidden="1">
                <a:extLst>
                  <a:ext uri="{63B3BB69-23CF-44E3-9099-C40C66FF867C}">
                    <a14:compatExt spid="_x0000_s77028"/>
                  </a:ext>
                  <a:ext uri="{FF2B5EF4-FFF2-40B4-BE49-F238E27FC236}">
                    <a16:creationId xmlns:a16="http://schemas.microsoft.com/office/drawing/2014/main" id="{00000000-0008-0000-2100-0000E4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29" name="Group Box 229" hidden="1">
                <a:extLst>
                  <a:ext uri="{63B3BB69-23CF-44E3-9099-C40C66FF867C}">
                    <a14:compatExt spid="_x0000_s77029"/>
                  </a:ext>
                  <a:ext uri="{FF2B5EF4-FFF2-40B4-BE49-F238E27FC236}">
                    <a16:creationId xmlns:a16="http://schemas.microsoft.com/office/drawing/2014/main" id="{00000000-0008-0000-2100-0000E52C0100}"/>
                  </a:ext>
                </a:extLst>
              </xdr:cNvPr>
              <xdr:cNvSpPr/>
            </xdr:nvSpPr>
            <xdr:spPr bwMode="auto">
              <a:xfrm>
                <a:off x="2994673" y="2201914"/>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111</xdr:row>
          <xdr:rowOff>0</xdr:rowOff>
        </xdr:from>
        <xdr:to>
          <xdr:col>8</xdr:col>
          <xdr:colOff>0</xdr:colOff>
          <xdr:row>112</xdr:row>
          <xdr:rowOff>0</xdr:rowOff>
        </xdr:to>
        <xdr:grpSp>
          <xdr:nvGrpSpPr>
            <xdr:cNvPr id="77067" name="Groupe 77066">
              <a:extLst>
                <a:ext uri="{FF2B5EF4-FFF2-40B4-BE49-F238E27FC236}">
                  <a16:creationId xmlns:a16="http://schemas.microsoft.com/office/drawing/2014/main" id="{00000000-0008-0000-2200-00000B2D0100}"/>
                </a:ext>
              </a:extLst>
            </xdr:cNvPr>
            <xdr:cNvGrpSpPr/>
          </xdr:nvGrpSpPr>
          <xdr:grpSpPr>
            <a:xfrm>
              <a:off x="3706091" y="89638909"/>
              <a:ext cx="1962727" cy="1651000"/>
              <a:chOff x="2994693" y="2201921"/>
              <a:chExt cx="1960969" cy="1646929"/>
            </a:xfrm>
          </xdr:grpSpPr>
          <xdr:sp macro="" textlink="">
            <xdr:nvSpPr>
              <xdr:cNvPr id="77030" name="Option Button 230" descr="Case d'option 47" hidden="1">
                <a:extLst>
                  <a:ext uri="{63B3BB69-23CF-44E3-9099-C40C66FF867C}">
                    <a14:compatExt spid="_x0000_s77030"/>
                  </a:ext>
                  <a:ext uri="{FF2B5EF4-FFF2-40B4-BE49-F238E27FC236}">
                    <a16:creationId xmlns:a16="http://schemas.microsoft.com/office/drawing/2014/main" id="{00000000-0008-0000-2100-0000E62C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31" name="Option Button 231" hidden="1">
                <a:extLst>
                  <a:ext uri="{63B3BB69-23CF-44E3-9099-C40C66FF867C}">
                    <a14:compatExt spid="_x0000_s77031"/>
                  </a:ext>
                  <a:ext uri="{FF2B5EF4-FFF2-40B4-BE49-F238E27FC236}">
                    <a16:creationId xmlns:a16="http://schemas.microsoft.com/office/drawing/2014/main" id="{00000000-0008-0000-2100-0000E7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60" name="Option Button 232" hidden="1">
                <a:extLst>
                  <a:ext uri="{63B3BB69-23CF-44E3-9099-C40C66FF867C}">
                    <a14:compatExt spid="_x0000_s77032"/>
                  </a:ext>
                  <a:ext uri="{FF2B5EF4-FFF2-40B4-BE49-F238E27FC236}">
                    <a16:creationId xmlns:a16="http://schemas.microsoft.com/office/drawing/2014/main" id="{00000000-0008-0000-2100-0000042D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33" name="Option Button 233" hidden="1">
                <a:extLst>
                  <a:ext uri="{63B3BB69-23CF-44E3-9099-C40C66FF867C}">
                    <a14:compatExt spid="_x0000_s77033"/>
                  </a:ext>
                  <a:ext uri="{FF2B5EF4-FFF2-40B4-BE49-F238E27FC236}">
                    <a16:creationId xmlns:a16="http://schemas.microsoft.com/office/drawing/2014/main" id="{00000000-0008-0000-2100-0000E9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34" name="Group Box 234" hidden="1">
                <a:extLst>
                  <a:ext uri="{63B3BB69-23CF-44E3-9099-C40C66FF867C}">
                    <a14:compatExt spid="_x0000_s77034"/>
                  </a:ext>
                  <a:ext uri="{FF2B5EF4-FFF2-40B4-BE49-F238E27FC236}">
                    <a16:creationId xmlns:a16="http://schemas.microsoft.com/office/drawing/2014/main" id="{00000000-0008-0000-2100-0000EA2C0100}"/>
                  </a:ext>
                </a:extLst>
              </xdr:cNvPr>
              <xdr:cNvSpPr/>
            </xdr:nvSpPr>
            <xdr:spPr bwMode="auto">
              <a:xfrm>
                <a:off x="2994693" y="2201921"/>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106</xdr:row>
      <xdr:rowOff>165251</xdr:rowOff>
    </xdr:from>
    <xdr:to>
      <xdr:col>5</xdr:col>
      <xdr:colOff>462364</xdr:colOff>
      <xdr:row>107</xdr:row>
      <xdr:rowOff>415621</xdr:rowOff>
    </xdr:to>
    <xdr:sp macro="" textlink="">
      <xdr:nvSpPr>
        <xdr:cNvPr id="77073" name="Ellipse 77072">
          <a:extLst>
            <a:ext uri="{FF2B5EF4-FFF2-40B4-BE49-F238E27FC236}">
              <a16:creationId xmlns:a16="http://schemas.microsoft.com/office/drawing/2014/main" id="{00000000-0008-0000-2200-0000112D0100}"/>
            </a:ext>
          </a:extLst>
        </xdr:cNvPr>
        <xdr:cNvSpPr>
          <a:spLocks noChangeAspect="1"/>
        </xdr:cNvSpPr>
      </xdr:nvSpPr>
      <xdr:spPr>
        <a:xfrm>
          <a:off x="481621" y="851130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77074" name="ZoneTexte 1">
          <a:extLst>
            <a:ext uri="{FF2B5EF4-FFF2-40B4-BE49-F238E27FC236}">
              <a16:creationId xmlns:a16="http://schemas.microsoft.com/office/drawing/2014/main" id="{00000000-0008-0000-2200-0000122D0100}"/>
            </a:ext>
          </a:extLst>
        </xdr:cNvPr>
        <xdr:cNvSpPr txBox="1">
          <a:spLocks noChangeArrowheads="1"/>
        </xdr:cNvSpPr>
      </xdr:nvSpPr>
      <xdr:spPr bwMode="auto">
        <a:xfrm>
          <a:off x="6876256" y="939850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77075" name="ZoneTexte 1">
          <a:extLst>
            <a:ext uri="{FF2B5EF4-FFF2-40B4-BE49-F238E27FC236}">
              <a16:creationId xmlns:a16="http://schemas.microsoft.com/office/drawing/2014/main" id="{00000000-0008-0000-2200-0000132D0100}"/>
            </a:ext>
          </a:extLst>
        </xdr:cNvPr>
        <xdr:cNvSpPr txBox="1">
          <a:spLocks noChangeArrowheads="1"/>
        </xdr:cNvSpPr>
      </xdr:nvSpPr>
      <xdr:spPr bwMode="auto">
        <a:xfrm>
          <a:off x="6876573" y="956278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115</xdr:row>
          <xdr:rowOff>3</xdr:rowOff>
        </xdr:from>
        <xdr:to>
          <xdr:col>8</xdr:col>
          <xdr:colOff>0</xdr:colOff>
          <xdr:row>116</xdr:row>
          <xdr:rowOff>3</xdr:rowOff>
        </xdr:to>
        <xdr:grpSp>
          <xdr:nvGrpSpPr>
            <xdr:cNvPr id="77076" name="Groupe 77075">
              <a:extLst>
                <a:ext uri="{FF2B5EF4-FFF2-40B4-BE49-F238E27FC236}">
                  <a16:creationId xmlns:a16="http://schemas.microsoft.com/office/drawing/2014/main" id="{00000000-0008-0000-2200-0000142D0100}"/>
                </a:ext>
              </a:extLst>
            </xdr:cNvPr>
            <xdr:cNvGrpSpPr/>
          </xdr:nvGrpSpPr>
          <xdr:grpSpPr>
            <a:xfrm>
              <a:off x="3706091" y="96242912"/>
              <a:ext cx="1962727" cy="1651000"/>
              <a:chOff x="2995447" y="3846797"/>
              <a:chExt cx="1960181" cy="1644869"/>
            </a:xfrm>
          </xdr:grpSpPr>
          <xdr:sp macro="" textlink="">
            <xdr:nvSpPr>
              <xdr:cNvPr id="77035" name="Option Button 235" hidden="1">
                <a:extLst>
                  <a:ext uri="{63B3BB69-23CF-44E3-9099-C40C66FF867C}">
                    <a14:compatExt spid="_x0000_s77035"/>
                  </a:ext>
                  <a:ext uri="{FF2B5EF4-FFF2-40B4-BE49-F238E27FC236}">
                    <a16:creationId xmlns:a16="http://schemas.microsoft.com/office/drawing/2014/main" id="{00000000-0008-0000-2100-0000EB2C01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36" name="Option Button 236" hidden="1">
                <a:extLst>
                  <a:ext uri="{63B3BB69-23CF-44E3-9099-C40C66FF867C}">
                    <a14:compatExt spid="_x0000_s77036"/>
                  </a:ext>
                  <a:ext uri="{FF2B5EF4-FFF2-40B4-BE49-F238E27FC236}">
                    <a16:creationId xmlns:a16="http://schemas.microsoft.com/office/drawing/2014/main" id="{00000000-0008-0000-2100-0000EC2C01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37" name="Option Button 237" hidden="1">
                <a:extLst>
                  <a:ext uri="{63B3BB69-23CF-44E3-9099-C40C66FF867C}">
                    <a14:compatExt spid="_x0000_s77037"/>
                  </a:ext>
                  <a:ext uri="{FF2B5EF4-FFF2-40B4-BE49-F238E27FC236}">
                    <a16:creationId xmlns:a16="http://schemas.microsoft.com/office/drawing/2014/main" id="{00000000-0008-0000-2100-0000ED2C01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62" name="Option Button 238" hidden="1">
                <a:extLst>
                  <a:ext uri="{63B3BB69-23CF-44E3-9099-C40C66FF867C}">
                    <a14:compatExt spid="_x0000_s77038"/>
                  </a:ext>
                  <a:ext uri="{FF2B5EF4-FFF2-40B4-BE49-F238E27FC236}">
                    <a16:creationId xmlns:a16="http://schemas.microsoft.com/office/drawing/2014/main" id="{00000000-0008-0000-2100-0000062D01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63" name="Group Box 239" hidden="1">
                <a:extLst>
                  <a:ext uri="{63B3BB69-23CF-44E3-9099-C40C66FF867C}">
                    <a14:compatExt spid="_x0000_s77039"/>
                  </a:ext>
                  <a:ext uri="{FF2B5EF4-FFF2-40B4-BE49-F238E27FC236}">
                    <a16:creationId xmlns:a16="http://schemas.microsoft.com/office/drawing/2014/main" id="{00000000-0008-0000-2100-0000072D0100}"/>
                  </a:ext>
                </a:extLst>
              </xdr:cNvPr>
              <xdr:cNvSpPr/>
            </xdr:nvSpPr>
            <xdr:spPr bwMode="auto">
              <a:xfrm>
                <a:off x="2995447" y="3846797"/>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114</xdr:row>
          <xdr:rowOff>0</xdr:rowOff>
        </xdr:from>
        <xdr:to>
          <xdr:col>8</xdr:col>
          <xdr:colOff>0</xdr:colOff>
          <xdr:row>115</xdr:row>
          <xdr:rowOff>2058</xdr:rowOff>
        </xdr:to>
        <xdr:grpSp>
          <xdr:nvGrpSpPr>
            <xdr:cNvPr id="77082" name="Groupe 77081">
              <a:extLst>
                <a:ext uri="{FF2B5EF4-FFF2-40B4-BE49-F238E27FC236}">
                  <a16:creationId xmlns:a16="http://schemas.microsoft.com/office/drawing/2014/main" id="{00000000-0008-0000-2200-00001A2D0100}"/>
                </a:ext>
              </a:extLst>
            </xdr:cNvPr>
            <xdr:cNvGrpSpPr/>
          </xdr:nvGrpSpPr>
          <xdr:grpSpPr>
            <a:xfrm>
              <a:off x="3709259" y="94591909"/>
              <a:ext cx="1959559" cy="1653058"/>
              <a:chOff x="2994673" y="2201915"/>
              <a:chExt cx="1960968" cy="1646925"/>
            </a:xfrm>
          </xdr:grpSpPr>
          <xdr:sp macro="" textlink="">
            <xdr:nvSpPr>
              <xdr:cNvPr id="77064" name="Option Button 240" descr="Case d'option 47" hidden="1">
                <a:extLst>
                  <a:ext uri="{63B3BB69-23CF-44E3-9099-C40C66FF867C}">
                    <a14:compatExt spid="_x0000_s77040"/>
                  </a:ext>
                  <a:ext uri="{FF2B5EF4-FFF2-40B4-BE49-F238E27FC236}">
                    <a16:creationId xmlns:a16="http://schemas.microsoft.com/office/drawing/2014/main" id="{00000000-0008-0000-2100-0000082D01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41" name="Option Button 241" hidden="1">
                <a:extLst>
                  <a:ext uri="{63B3BB69-23CF-44E3-9099-C40C66FF867C}">
                    <a14:compatExt spid="_x0000_s77041"/>
                  </a:ext>
                  <a:ext uri="{FF2B5EF4-FFF2-40B4-BE49-F238E27FC236}">
                    <a16:creationId xmlns:a16="http://schemas.microsoft.com/office/drawing/2014/main" id="{00000000-0008-0000-2100-0000F12C01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42" name="Option Button 242" hidden="1">
                <a:extLst>
                  <a:ext uri="{63B3BB69-23CF-44E3-9099-C40C66FF867C}">
                    <a14:compatExt spid="_x0000_s77042"/>
                  </a:ext>
                  <a:ext uri="{FF2B5EF4-FFF2-40B4-BE49-F238E27FC236}">
                    <a16:creationId xmlns:a16="http://schemas.microsoft.com/office/drawing/2014/main" id="{00000000-0008-0000-2100-0000F2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43" name="Option Button 243" hidden="1">
                <a:extLst>
                  <a:ext uri="{63B3BB69-23CF-44E3-9099-C40C66FF867C}">
                    <a14:compatExt spid="_x0000_s77043"/>
                  </a:ext>
                  <a:ext uri="{FF2B5EF4-FFF2-40B4-BE49-F238E27FC236}">
                    <a16:creationId xmlns:a16="http://schemas.microsoft.com/office/drawing/2014/main" id="{00000000-0008-0000-2100-0000F32C01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44" name="Group Box 244" hidden="1">
                <a:extLst>
                  <a:ext uri="{63B3BB69-23CF-44E3-9099-C40C66FF867C}">
                    <a14:compatExt spid="_x0000_s77044"/>
                  </a:ext>
                  <a:ext uri="{FF2B5EF4-FFF2-40B4-BE49-F238E27FC236}">
                    <a16:creationId xmlns:a16="http://schemas.microsoft.com/office/drawing/2014/main" id="{00000000-0008-0000-2100-0000F42C0100}"/>
                  </a:ext>
                </a:extLst>
              </xdr:cNvPr>
              <xdr:cNvSpPr/>
            </xdr:nvSpPr>
            <xdr:spPr bwMode="auto">
              <a:xfrm>
                <a:off x="2994673" y="2201915"/>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1645138</xdr:rowOff>
        </xdr:from>
        <xdr:to>
          <xdr:col>8</xdr:col>
          <xdr:colOff>0</xdr:colOff>
          <xdr:row>49</xdr:row>
          <xdr:rowOff>0</xdr:rowOff>
        </xdr:to>
        <xdr:grpSp>
          <xdr:nvGrpSpPr>
            <xdr:cNvPr id="77088" name="Groupe 77087">
              <a:extLst>
                <a:ext uri="{FF2B5EF4-FFF2-40B4-BE49-F238E27FC236}">
                  <a16:creationId xmlns:a16="http://schemas.microsoft.com/office/drawing/2014/main" id="{00000000-0008-0000-2200-0000202D0100}"/>
                </a:ext>
              </a:extLst>
            </xdr:cNvPr>
            <xdr:cNvGrpSpPr/>
          </xdr:nvGrpSpPr>
          <xdr:grpSpPr>
            <a:xfrm>
              <a:off x="3706091" y="39341047"/>
              <a:ext cx="1962727" cy="1529862"/>
              <a:chOff x="2994693" y="2201909"/>
              <a:chExt cx="1960969" cy="1646925"/>
            </a:xfrm>
          </xdr:grpSpPr>
          <xdr:sp macro="" textlink="">
            <xdr:nvSpPr>
              <xdr:cNvPr id="77045" name="Option Button 245" descr="Case d'option 47" hidden="1">
                <a:extLst>
                  <a:ext uri="{63B3BB69-23CF-44E3-9099-C40C66FF867C}">
                    <a14:compatExt spid="_x0000_s77045"/>
                  </a:ext>
                  <a:ext uri="{FF2B5EF4-FFF2-40B4-BE49-F238E27FC236}">
                    <a16:creationId xmlns:a16="http://schemas.microsoft.com/office/drawing/2014/main" id="{00000000-0008-0000-2100-0000F52C0100}"/>
                  </a:ext>
                </a:extLst>
              </xdr:cNvPr>
              <xdr:cNvSpPr/>
            </xdr:nvSpPr>
            <xdr:spPr bwMode="auto">
              <a:xfrm>
                <a:off x="3102128" y="2270497"/>
                <a:ext cx="1394459"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77065" name="Option Button 246" hidden="1">
                <a:extLst>
                  <a:ext uri="{63B3BB69-23CF-44E3-9099-C40C66FF867C}">
                    <a14:compatExt spid="_x0000_s77046"/>
                  </a:ext>
                  <a:ext uri="{FF2B5EF4-FFF2-40B4-BE49-F238E27FC236}">
                    <a16:creationId xmlns:a16="http://schemas.microsoft.com/office/drawing/2014/main" id="{00000000-0008-0000-2100-0000092D0100}"/>
                  </a:ext>
                </a:extLst>
              </xdr:cNvPr>
              <xdr:cNvSpPr/>
            </xdr:nvSpPr>
            <xdr:spPr bwMode="auto">
              <a:xfrm>
                <a:off x="3102128" y="2506718"/>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77047" name="Option Button 247" hidden="1">
                <a:extLst>
                  <a:ext uri="{63B3BB69-23CF-44E3-9099-C40C66FF867C}">
                    <a14:compatExt spid="_x0000_s77047"/>
                  </a:ext>
                  <a:ext uri="{FF2B5EF4-FFF2-40B4-BE49-F238E27FC236}">
                    <a16:creationId xmlns:a16="http://schemas.microsoft.com/office/drawing/2014/main" id="{00000000-0008-0000-2100-0000F72C01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77048" name="Option Button 248" hidden="1">
                <a:extLst>
                  <a:ext uri="{63B3BB69-23CF-44E3-9099-C40C66FF867C}">
                    <a14:compatExt spid="_x0000_s77048"/>
                  </a:ext>
                  <a:ext uri="{FF2B5EF4-FFF2-40B4-BE49-F238E27FC236}">
                    <a16:creationId xmlns:a16="http://schemas.microsoft.com/office/drawing/2014/main" id="{00000000-0008-0000-2100-0000F82C01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77049" name="Group Box 249" hidden="1">
                <a:extLst>
                  <a:ext uri="{63B3BB69-23CF-44E3-9099-C40C66FF867C}">
                    <a14:compatExt spid="_x0000_s77049"/>
                  </a:ext>
                  <a:ext uri="{FF2B5EF4-FFF2-40B4-BE49-F238E27FC236}">
                    <a16:creationId xmlns:a16="http://schemas.microsoft.com/office/drawing/2014/main" id="{00000000-0008-0000-2100-0000F92C0100}"/>
                  </a:ext>
                </a:extLst>
              </xdr:cNvPr>
              <xdr:cNvSpPr/>
            </xdr:nvSpPr>
            <xdr:spPr bwMode="auto">
              <a:xfrm>
                <a:off x="2994693" y="2201909"/>
                <a:ext cx="1960969"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08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08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0800-000005000000}"/>
                </a:ext>
              </a:extLst>
            </xdr:cNvPr>
            <xdr:cNvGrpSpPr/>
          </xdr:nvGrpSpPr>
          <xdr:grpSpPr>
            <a:xfrm>
              <a:off x="3702844" y="5000625"/>
              <a:ext cx="1952625" cy="1643063"/>
              <a:chOff x="2995434" y="3846795"/>
              <a:chExt cx="1960181" cy="1644870"/>
            </a:xfrm>
          </xdr:grpSpPr>
          <xdr:sp macro="" textlink="">
            <xdr:nvSpPr>
              <xdr:cNvPr id="196609" name="Option Button 1" hidden="1">
                <a:extLst>
                  <a:ext uri="{63B3BB69-23CF-44E3-9099-C40C66FF867C}">
                    <a14:compatExt spid="_x0000_s196609"/>
                  </a:ext>
                  <a:ext uri="{FF2B5EF4-FFF2-40B4-BE49-F238E27FC236}">
                    <a16:creationId xmlns:a16="http://schemas.microsoft.com/office/drawing/2014/main" id="{00000000-0008-0000-0700-000001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10" name="Option Button 2" hidden="1">
                <a:extLst>
                  <a:ext uri="{63B3BB69-23CF-44E3-9099-C40C66FF867C}">
                    <a14:compatExt spid="_x0000_s196610"/>
                  </a:ext>
                  <a:ext uri="{FF2B5EF4-FFF2-40B4-BE49-F238E27FC236}">
                    <a16:creationId xmlns:a16="http://schemas.microsoft.com/office/drawing/2014/main" id="{00000000-0008-0000-0700-000002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11" name="Option Button 3" hidden="1">
                <a:extLst>
                  <a:ext uri="{63B3BB69-23CF-44E3-9099-C40C66FF867C}">
                    <a14:compatExt spid="_x0000_s196611"/>
                  </a:ext>
                  <a:ext uri="{FF2B5EF4-FFF2-40B4-BE49-F238E27FC236}">
                    <a16:creationId xmlns:a16="http://schemas.microsoft.com/office/drawing/2014/main" id="{00000000-0008-0000-0700-000003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12" name="Option Button 4" hidden="1">
                <a:extLst>
                  <a:ext uri="{63B3BB69-23CF-44E3-9099-C40C66FF867C}">
                    <a14:compatExt spid="_x0000_s196612"/>
                  </a:ext>
                  <a:ext uri="{FF2B5EF4-FFF2-40B4-BE49-F238E27FC236}">
                    <a16:creationId xmlns:a16="http://schemas.microsoft.com/office/drawing/2014/main" id="{00000000-0008-0000-0700-000004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13" name="Group Box 5" hidden="1">
                <a:extLst>
                  <a:ext uri="{63B3BB69-23CF-44E3-9099-C40C66FF867C}">
                    <a14:compatExt spid="_x0000_s196613"/>
                  </a:ext>
                  <a:ext uri="{FF2B5EF4-FFF2-40B4-BE49-F238E27FC236}">
                    <a16:creationId xmlns:a16="http://schemas.microsoft.com/office/drawing/2014/main" id="{00000000-0008-0000-0700-000005000300}"/>
                  </a:ext>
                </a:extLst>
              </xdr:cNvPr>
              <xdr:cNvSpPr/>
            </xdr:nvSpPr>
            <xdr:spPr bwMode="auto">
              <a:xfrm>
                <a:off x="2995434" y="3846795"/>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08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08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08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08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16</xdr:row>
          <xdr:rowOff>0</xdr:rowOff>
        </xdr:from>
        <xdr:to>
          <xdr:col>8</xdr:col>
          <xdr:colOff>0</xdr:colOff>
          <xdr:row>17</xdr:row>
          <xdr:rowOff>0</xdr:rowOff>
        </xdr:to>
        <xdr:sp macro="" textlink="">
          <xdr:nvSpPr>
            <xdr:cNvPr id="196614" name="Group Box 6" hidden="1">
              <a:extLst>
                <a:ext uri="{63B3BB69-23CF-44E3-9099-C40C66FF867C}">
                  <a14:compatExt spid="_x0000_s196614"/>
                </a:ext>
                <a:ext uri="{FF2B5EF4-FFF2-40B4-BE49-F238E27FC236}">
                  <a16:creationId xmlns:a16="http://schemas.microsoft.com/office/drawing/2014/main" id="{00000000-0008-0000-0700-0000060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0800-00000A000000}"/>
                </a:ext>
              </a:extLst>
            </xdr:cNvPr>
            <xdr:cNvGrpSpPr/>
          </xdr:nvGrpSpPr>
          <xdr:grpSpPr>
            <a:xfrm>
              <a:off x="3702844" y="3357565"/>
              <a:ext cx="1954214" cy="1645118"/>
              <a:chOff x="3693195" y="3303832"/>
              <a:chExt cx="1959430" cy="1648421"/>
            </a:xfrm>
          </xdr:grpSpPr>
          <xdr:sp macro="" textlink="">
            <xdr:nvSpPr>
              <xdr:cNvPr id="196615" name="Group Box 7" hidden="1">
                <a:extLst>
                  <a:ext uri="{63B3BB69-23CF-44E3-9099-C40C66FF867C}">
                    <a14:compatExt spid="_x0000_s196615"/>
                  </a:ext>
                  <a:ext uri="{FF2B5EF4-FFF2-40B4-BE49-F238E27FC236}">
                    <a16:creationId xmlns:a16="http://schemas.microsoft.com/office/drawing/2014/main" id="{00000000-0008-0000-0700-000007000300}"/>
                  </a:ext>
                </a:extLst>
              </xdr:cNvPr>
              <xdr:cNvSpPr/>
            </xdr:nvSpPr>
            <xdr:spPr bwMode="auto">
              <a:xfrm>
                <a:off x="3693195" y="3303832"/>
                <a:ext cx="1959426" cy="1648421"/>
              </a:xfrm>
              <a:prstGeom prst="rect">
                <a:avLst/>
              </a:prstGeom>
              <a:noFill/>
              <a:ln w="9525">
                <a:miter lim="800000"/>
                <a:headEnd/>
                <a:tailEnd/>
              </a:ln>
              <a:extLst>
                <a:ext uri="{909E8E84-426E-40DD-AFC4-6F175D3DCCD1}">
                  <a14:hiddenFill>
                    <a:noFill/>
                  </a14:hiddenFill>
                </a:ext>
              </a:extLst>
            </xdr:spPr>
          </xdr:sp>
          <xdr:sp macro="" textlink="">
            <xdr:nvSpPr>
              <xdr:cNvPr id="196616" name="Option Button 8" descr="Case d'option 47" hidden="1">
                <a:extLst>
                  <a:ext uri="{63B3BB69-23CF-44E3-9099-C40C66FF867C}">
                    <a14:compatExt spid="_x0000_s196616"/>
                  </a:ext>
                  <a:ext uri="{FF2B5EF4-FFF2-40B4-BE49-F238E27FC236}">
                    <a16:creationId xmlns:a16="http://schemas.microsoft.com/office/drawing/2014/main" id="{00000000-0008-0000-0700-0000080003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17" name="Option Button 9" hidden="1">
                <a:extLst>
                  <a:ext uri="{63B3BB69-23CF-44E3-9099-C40C66FF867C}">
                    <a14:compatExt spid="_x0000_s196617"/>
                  </a:ext>
                  <a:ext uri="{FF2B5EF4-FFF2-40B4-BE49-F238E27FC236}">
                    <a16:creationId xmlns:a16="http://schemas.microsoft.com/office/drawing/2014/main" id="{00000000-0008-0000-0700-0000090003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18" name="Option Button 10" hidden="1">
                <a:extLst>
                  <a:ext uri="{63B3BB69-23CF-44E3-9099-C40C66FF867C}">
                    <a14:compatExt spid="_x0000_s196618"/>
                  </a:ext>
                  <a:ext uri="{FF2B5EF4-FFF2-40B4-BE49-F238E27FC236}">
                    <a16:creationId xmlns:a16="http://schemas.microsoft.com/office/drawing/2014/main" id="{00000000-0008-0000-0700-00000A0003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19" name="Option Button 11" hidden="1">
                <a:extLst>
                  <a:ext uri="{63B3BB69-23CF-44E3-9099-C40C66FF867C}">
                    <a14:compatExt spid="_x0000_s196619"/>
                  </a:ext>
                  <a:ext uri="{FF2B5EF4-FFF2-40B4-BE49-F238E27FC236}">
                    <a16:creationId xmlns:a16="http://schemas.microsoft.com/office/drawing/2014/main" id="{00000000-0008-0000-0700-00000B0003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0</xdr:rowOff>
        </xdr:from>
        <xdr:to>
          <xdr:col>8</xdr:col>
          <xdr:colOff>0</xdr:colOff>
          <xdr:row>18</xdr:row>
          <xdr:rowOff>376</xdr:rowOff>
        </xdr:to>
        <xdr:grpSp>
          <xdr:nvGrpSpPr>
            <xdr:cNvPr id="11" name="Groupe 10">
              <a:extLst>
                <a:ext uri="{FF2B5EF4-FFF2-40B4-BE49-F238E27FC236}">
                  <a16:creationId xmlns:a16="http://schemas.microsoft.com/office/drawing/2014/main" id="{00000000-0008-0000-0800-00000B000000}"/>
                </a:ext>
              </a:extLst>
            </xdr:cNvPr>
            <xdr:cNvGrpSpPr/>
          </xdr:nvGrpSpPr>
          <xdr:grpSpPr>
            <a:xfrm>
              <a:off x="3702844" y="13370719"/>
              <a:ext cx="1952625" cy="1643438"/>
              <a:chOff x="2995434" y="3846790"/>
              <a:chExt cx="1960181" cy="1644871"/>
            </a:xfrm>
          </xdr:grpSpPr>
          <xdr:sp macro="" textlink="">
            <xdr:nvSpPr>
              <xdr:cNvPr id="196620" name="Option Button 12" hidden="1">
                <a:extLst>
                  <a:ext uri="{63B3BB69-23CF-44E3-9099-C40C66FF867C}">
                    <a14:compatExt spid="_x0000_s196620"/>
                  </a:ext>
                  <a:ext uri="{FF2B5EF4-FFF2-40B4-BE49-F238E27FC236}">
                    <a16:creationId xmlns:a16="http://schemas.microsoft.com/office/drawing/2014/main" id="{00000000-0008-0000-0700-00000C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21" name="Option Button 13" hidden="1">
                <a:extLst>
                  <a:ext uri="{63B3BB69-23CF-44E3-9099-C40C66FF867C}">
                    <a14:compatExt spid="_x0000_s196621"/>
                  </a:ext>
                  <a:ext uri="{FF2B5EF4-FFF2-40B4-BE49-F238E27FC236}">
                    <a16:creationId xmlns:a16="http://schemas.microsoft.com/office/drawing/2014/main" id="{00000000-0008-0000-0700-00000D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22" name="Option Button 14" hidden="1">
                <a:extLst>
                  <a:ext uri="{63B3BB69-23CF-44E3-9099-C40C66FF867C}">
                    <a14:compatExt spid="_x0000_s196622"/>
                  </a:ext>
                  <a:ext uri="{FF2B5EF4-FFF2-40B4-BE49-F238E27FC236}">
                    <a16:creationId xmlns:a16="http://schemas.microsoft.com/office/drawing/2014/main" id="{00000000-0008-0000-0700-00000E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23" name="Option Button 15" hidden="1">
                <a:extLst>
                  <a:ext uri="{63B3BB69-23CF-44E3-9099-C40C66FF867C}">
                    <a14:compatExt spid="_x0000_s196623"/>
                  </a:ext>
                  <a:ext uri="{FF2B5EF4-FFF2-40B4-BE49-F238E27FC236}">
                    <a16:creationId xmlns:a16="http://schemas.microsoft.com/office/drawing/2014/main" id="{00000000-0008-0000-0700-00000F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24" name="Group Box 16" hidden="1">
                <a:extLst>
                  <a:ext uri="{63B3BB69-23CF-44E3-9099-C40C66FF867C}">
                    <a14:compatExt spid="_x0000_s196624"/>
                  </a:ext>
                  <a:ext uri="{FF2B5EF4-FFF2-40B4-BE49-F238E27FC236}">
                    <a16:creationId xmlns:a16="http://schemas.microsoft.com/office/drawing/2014/main" id="{00000000-0008-0000-0700-000010000300}"/>
                  </a:ext>
                </a:extLst>
              </xdr:cNvPr>
              <xdr:cNvSpPr/>
            </xdr:nvSpPr>
            <xdr:spPr bwMode="auto">
              <a:xfrm>
                <a:off x="2995434" y="3846790"/>
                <a:ext cx="1960181" cy="164487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16</xdr:row>
          <xdr:rowOff>0</xdr:rowOff>
        </xdr:from>
        <xdr:to>
          <xdr:col>8</xdr:col>
          <xdr:colOff>2200</xdr:colOff>
          <xdr:row>17</xdr:row>
          <xdr:rowOff>344</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3704301" y="11727656"/>
              <a:ext cx="1953368" cy="1643407"/>
              <a:chOff x="2994654" y="2234198"/>
              <a:chExt cx="1960974" cy="1614638"/>
            </a:xfrm>
          </xdr:grpSpPr>
          <xdr:sp macro="" textlink="">
            <xdr:nvSpPr>
              <xdr:cNvPr id="196625" name="Option Button 17" descr="Case d'option 47" hidden="1">
                <a:extLst>
                  <a:ext uri="{63B3BB69-23CF-44E3-9099-C40C66FF867C}">
                    <a14:compatExt spid="_x0000_s196625"/>
                  </a:ext>
                  <a:ext uri="{FF2B5EF4-FFF2-40B4-BE49-F238E27FC236}">
                    <a16:creationId xmlns:a16="http://schemas.microsoft.com/office/drawing/2014/main" id="{00000000-0008-0000-0700-000011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26" name="Option Button 18" hidden="1">
                <a:extLst>
                  <a:ext uri="{63B3BB69-23CF-44E3-9099-C40C66FF867C}">
                    <a14:compatExt spid="_x0000_s196626"/>
                  </a:ext>
                  <a:ext uri="{FF2B5EF4-FFF2-40B4-BE49-F238E27FC236}">
                    <a16:creationId xmlns:a16="http://schemas.microsoft.com/office/drawing/2014/main" id="{00000000-0008-0000-0700-000012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27" name="Option Button 19" hidden="1">
                <a:extLst>
                  <a:ext uri="{63B3BB69-23CF-44E3-9099-C40C66FF867C}">
                    <a14:compatExt spid="_x0000_s196627"/>
                  </a:ext>
                  <a:ext uri="{FF2B5EF4-FFF2-40B4-BE49-F238E27FC236}">
                    <a16:creationId xmlns:a16="http://schemas.microsoft.com/office/drawing/2014/main" id="{00000000-0008-0000-0700-000013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28" name="Option Button 20" hidden="1">
                <a:extLst>
                  <a:ext uri="{63B3BB69-23CF-44E3-9099-C40C66FF867C}">
                    <a14:compatExt spid="_x0000_s196628"/>
                  </a:ext>
                  <a:ext uri="{FF2B5EF4-FFF2-40B4-BE49-F238E27FC236}">
                    <a16:creationId xmlns:a16="http://schemas.microsoft.com/office/drawing/2014/main" id="{00000000-0008-0000-0700-000014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29" name="Group Box 21" hidden="1">
                <a:extLst>
                  <a:ext uri="{63B3BB69-23CF-44E3-9099-C40C66FF867C}">
                    <a14:compatExt spid="_x0000_s196629"/>
                  </a:ext>
                  <a:ext uri="{FF2B5EF4-FFF2-40B4-BE49-F238E27FC236}">
                    <a16:creationId xmlns:a16="http://schemas.microsoft.com/office/drawing/2014/main" id="{00000000-0008-0000-0700-000015000300}"/>
                  </a:ext>
                </a:extLst>
              </xdr:cNvPr>
              <xdr:cNvSpPr/>
            </xdr:nvSpPr>
            <xdr:spPr bwMode="auto">
              <a:xfrm>
                <a:off x="2994654" y="2234198"/>
                <a:ext cx="1960970" cy="161463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0800-00000D000000}"/>
                </a:ext>
              </a:extLst>
            </xdr:cNvPr>
            <xdr:cNvGrpSpPr/>
          </xdr:nvGrpSpPr>
          <xdr:grpSpPr>
            <a:xfrm>
              <a:off x="3702844" y="10084598"/>
              <a:ext cx="1952625" cy="1643059"/>
              <a:chOff x="2995434" y="3846777"/>
              <a:chExt cx="1960181" cy="1673560"/>
            </a:xfrm>
          </xdr:grpSpPr>
          <xdr:sp macro="" textlink="">
            <xdr:nvSpPr>
              <xdr:cNvPr id="196630" name="Option Button 22" hidden="1">
                <a:extLst>
                  <a:ext uri="{63B3BB69-23CF-44E3-9099-C40C66FF867C}">
                    <a14:compatExt spid="_x0000_s196630"/>
                  </a:ext>
                  <a:ext uri="{FF2B5EF4-FFF2-40B4-BE49-F238E27FC236}">
                    <a16:creationId xmlns:a16="http://schemas.microsoft.com/office/drawing/2014/main" id="{00000000-0008-0000-0700-0000160003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31" name="Option Button 23" hidden="1">
                <a:extLst>
                  <a:ext uri="{63B3BB69-23CF-44E3-9099-C40C66FF867C}">
                    <a14:compatExt spid="_x0000_s196631"/>
                  </a:ext>
                  <a:ext uri="{FF2B5EF4-FFF2-40B4-BE49-F238E27FC236}">
                    <a16:creationId xmlns:a16="http://schemas.microsoft.com/office/drawing/2014/main" id="{00000000-0008-0000-0700-000017000300}"/>
                  </a:ext>
                </a:extLst>
              </xdr:cNvPr>
              <xdr:cNvSpPr/>
            </xdr:nvSpPr>
            <xdr:spPr bwMode="auto">
              <a:xfrm>
                <a:off x="3109748" y="4243014"/>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32" name="Option Button 24" hidden="1">
                <a:extLst>
                  <a:ext uri="{63B3BB69-23CF-44E3-9099-C40C66FF867C}">
                    <a14:compatExt spid="_x0000_s196632"/>
                  </a:ext>
                  <a:ext uri="{FF2B5EF4-FFF2-40B4-BE49-F238E27FC236}">
                    <a16:creationId xmlns:a16="http://schemas.microsoft.com/office/drawing/2014/main" id="{00000000-0008-0000-0700-000018000300}"/>
                  </a:ext>
                </a:extLst>
              </xdr:cNvPr>
              <xdr:cNvSpPr/>
            </xdr:nvSpPr>
            <xdr:spPr bwMode="auto">
              <a:xfrm>
                <a:off x="3109748" y="448686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33" name="Option Button 25" hidden="1">
                <a:extLst>
                  <a:ext uri="{63B3BB69-23CF-44E3-9099-C40C66FF867C}">
                    <a14:compatExt spid="_x0000_s196633"/>
                  </a:ext>
                  <a:ext uri="{FF2B5EF4-FFF2-40B4-BE49-F238E27FC236}">
                    <a16:creationId xmlns:a16="http://schemas.microsoft.com/office/drawing/2014/main" id="{00000000-0008-0000-0700-0000190003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34" name="Group Box 26" hidden="1">
                <a:extLst>
                  <a:ext uri="{63B3BB69-23CF-44E3-9099-C40C66FF867C}">
                    <a14:compatExt spid="_x0000_s196634"/>
                  </a:ext>
                  <a:ext uri="{FF2B5EF4-FFF2-40B4-BE49-F238E27FC236}">
                    <a16:creationId xmlns:a16="http://schemas.microsoft.com/office/drawing/2014/main" id="{00000000-0008-0000-0700-00001A000300}"/>
                  </a:ext>
                </a:extLst>
              </xdr:cNvPr>
              <xdr:cNvSpPr/>
            </xdr:nvSpPr>
            <xdr:spPr bwMode="auto">
              <a:xfrm>
                <a:off x="2995434" y="3846777"/>
                <a:ext cx="1960181" cy="167356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0800-00000E000000}"/>
                </a:ext>
              </a:extLst>
            </xdr:cNvPr>
            <xdr:cNvGrpSpPr/>
          </xdr:nvGrpSpPr>
          <xdr:grpSpPr>
            <a:xfrm>
              <a:off x="3702844" y="8286750"/>
              <a:ext cx="1952625" cy="1799902"/>
              <a:chOff x="2991525" y="2201919"/>
              <a:chExt cx="1964147" cy="1646926"/>
            </a:xfrm>
            <a:solidFill>
              <a:schemeClr val="accent1"/>
            </a:solidFill>
          </xdr:grpSpPr>
          <xdr:sp macro="" textlink="">
            <xdr:nvSpPr>
              <xdr:cNvPr id="196635" name="Option Button 27" descr="Case d'option 47" hidden="1">
                <a:extLst>
                  <a:ext uri="{63B3BB69-23CF-44E3-9099-C40C66FF867C}">
                    <a14:compatExt spid="_x0000_s196635"/>
                  </a:ext>
                  <a:ext uri="{FF2B5EF4-FFF2-40B4-BE49-F238E27FC236}">
                    <a16:creationId xmlns:a16="http://schemas.microsoft.com/office/drawing/2014/main" id="{00000000-0008-0000-0700-00001B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36" name="Option Button 28" hidden="1">
                <a:extLst>
                  <a:ext uri="{63B3BB69-23CF-44E3-9099-C40C66FF867C}">
                    <a14:compatExt spid="_x0000_s196636"/>
                  </a:ext>
                  <a:ext uri="{FF2B5EF4-FFF2-40B4-BE49-F238E27FC236}">
                    <a16:creationId xmlns:a16="http://schemas.microsoft.com/office/drawing/2014/main" id="{00000000-0008-0000-0700-00001C0003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37" name="Option Button 29" hidden="1">
                <a:extLst>
                  <a:ext uri="{63B3BB69-23CF-44E3-9099-C40C66FF867C}">
                    <a14:compatExt spid="_x0000_s196637"/>
                  </a:ext>
                  <a:ext uri="{FF2B5EF4-FFF2-40B4-BE49-F238E27FC236}">
                    <a16:creationId xmlns:a16="http://schemas.microsoft.com/office/drawing/2014/main" id="{00000000-0008-0000-0700-00001D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38" name="Option Button 30" hidden="1">
                <a:extLst>
                  <a:ext uri="{63B3BB69-23CF-44E3-9099-C40C66FF867C}">
                    <a14:compatExt spid="_x0000_s196638"/>
                  </a:ext>
                  <a:ext uri="{FF2B5EF4-FFF2-40B4-BE49-F238E27FC236}">
                    <a16:creationId xmlns:a16="http://schemas.microsoft.com/office/drawing/2014/main" id="{00000000-0008-0000-0700-00001E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39" name="Group Box 31" hidden="1">
                <a:extLst>
                  <a:ext uri="{63B3BB69-23CF-44E3-9099-C40C66FF867C}">
                    <a14:compatExt spid="_x0000_s196639"/>
                  </a:ext>
                  <a:ext uri="{FF2B5EF4-FFF2-40B4-BE49-F238E27FC236}">
                    <a16:creationId xmlns:a16="http://schemas.microsoft.com/office/drawing/2014/main" id="{00000000-0008-0000-0700-00001F000300}"/>
                  </a:ext>
                </a:extLst>
              </xdr:cNvPr>
              <xdr:cNvSpPr/>
            </xdr:nvSpPr>
            <xdr:spPr bwMode="auto">
              <a:xfrm>
                <a:off x="2991525" y="2201919"/>
                <a:ext cx="1964147"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0800-00000F000000}"/>
                </a:ext>
              </a:extLst>
            </xdr:cNvPr>
            <xdr:cNvGrpSpPr/>
          </xdr:nvGrpSpPr>
          <xdr:grpSpPr>
            <a:xfrm>
              <a:off x="3702844" y="6643688"/>
              <a:ext cx="1952625" cy="1643062"/>
              <a:chOff x="2994711" y="2201919"/>
              <a:chExt cx="1960969" cy="1646928"/>
            </a:xfrm>
          </xdr:grpSpPr>
          <xdr:sp macro="" textlink="">
            <xdr:nvSpPr>
              <xdr:cNvPr id="196640" name="Option Button 32" descr="Case d'option 47" hidden="1">
                <a:extLst>
                  <a:ext uri="{63B3BB69-23CF-44E3-9099-C40C66FF867C}">
                    <a14:compatExt spid="_x0000_s196640"/>
                  </a:ext>
                  <a:ext uri="{FF2B5EF4-FFF2-40B4-BE49-F238E27FC236}">
                    <a16:creationId xmlns:a16="http://schemas.microsoft.com/office/drawing/2014/main" id="{00000000-0008-0000-0700-000020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41" name="Option Button 33" hidden="1">
                <a:extLst>
                  <a:ext uri="{63B3BB69-23CF-44E3-9099-C40C66FF867C}">
                    <a14:compatExt spid="_x0000_s196641"/>
                  </a:ext>
                  <a:ext uri="{FF2B5EF4-FFF2-40B4-BE49-F238E27FC236}">
                    <a16:creationId xmlns:a16="http://schemas.microsoft.com/office/drawing/2014/main" id="{00000000-0008-0000-0700-000021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42" name="Option Button 34" hidden="1">
                <a:extLst>
                  <a:ext uri="{63B3BB69-23CF-44E3-9099-C40C66FF867C}">
                    <a14:compatExt spid="_x0000_s196642"/>
                  </a:ext>
                  <a:ext uri="{FF2B5EF4-FFF2-40B4-BE49-F238E27FC236}">
                    <a16:creationId xmlns:a16="http://schemas.microsoft.com/office/drawing/2014/main" id="{00000000-0008-0000-0700-000022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43" name="Option Button 35" hidden="1">
                <a:extLst>
                  <a:ext uri="{63B3BB69-23CF-44E3-9099-C40C66FF867C}">
                    <a14:compatExt spid="_x0000_s196643"/>
                  </a:ext>
                  <a:ext uri="{FF2B5EF4-FFF2-40B4-BE49-F238E27FC236}">
                    <a16:creationId xmlns:a16="http://schemas.microsoft.com/office/drawing/2014/main" id="{00000000-0008-0000-0700-000023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44" name="Group Box 36" hidden="1">
                <a:extLst>
                  <a:ext uri="{63B3BB69-23CF-44E3-9099-C40C66FF867C}">
                    <a14:compatExt spid="_x0000_s196644"/>
                  </a:ext>
                  <a:ext uri="{FF2B5EF4-FFF2-40B4-BE49-F238E27FC236}">
                    <a16:creationId xmlns:a16="http://schemas.microsoft.com/office/drawing/2014/main" id="{00000000-0008-0000-0700-000024000300}"/>
                  </a:ext>
                </a:extLst>
              </xdr:cNvPr>
              <xdr:cNvSpPr/>
            </xdr:nvSpPr>
            <xdr:spPr bwMode="auto">
              <a:xfrm>
                <a:off x="2994711" y="2201919"/>
                <a:ext cx="1960969"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08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0800-000012000000}"/>
                </a:ext>
              </a:extLst>
            </xdr:cNvPr>
            <xdr:cNvGrpSpPr/>
          </xdr:nvGrpSpPr>
          <xdr:grpSpPr>
            <a:xfrm>
              <a:off x="3702844" y="18799969"/>
              <a:ext cx="1952625" cy="1643062"/>
              <a:chOff x="2995434" y="3846805"/>
              <a:chExt cx="1960181" cy="1644870"/>
            </a:xfrm>
          </xdr:grpSpPr>
          <xdr:sp macro="" textlink="">
            <xdr:nvSpPr>
              <xdr:cNvPr id="196645" name="Option Button 37" hidden="1">
                <a:extLst>
                  <a:ext uri="{63B3BB69-23CF-44E3-9099-C40C66FF867C}">
                    <a14:compatExt spid="_x0000_s196645"/>
                  </a:ext>
                  <a:ext uri="{FF2B5EF4-FFF2-40B4-BE49-F238E27FC236}">
                    <a16:creationId xmlns:a16="http://schemas.microsoft.com/office/drawing/2014/main" id="{00000000-0008-0000-0700-000025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46" name="Option Button 38" hidden="1">
                <a:extLst>
                  <a:ext uri="{63B3BB69-23CF-44E3-9099-C40C66FF867C}">
                    <a14:compatExt spid="_x0000_s196646"/>
                  </a:ext>
                  <a:ext uri="{FF2B5EF4-FFF2-40B4-BE49-F238E27FC236}">
                    <a16:creationId xmlns:a16="http://schemas.microsoft.com/office/drawing/2014/main" id="{00000000-0008-0000-0700-000026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47" name="Option Button 39" hidden="1">
                <a:extLst>
                  <a:ext uri="{63B3BB69-23CF-44E3-9099-C40C66FF867C}">
                    <a14:compatExt spid="_x0000_s196647"/>
                  </a:ext>
                  <a:ext uri="{FF2B5EF4-FFF2-40B4-BE49-F238E27FC236}">
                    <a16:creationId xmlns:a16="http://schemas.microsoft.com/office/drawing/2014/main" id="{00000000-0008-0000-0700-000027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48" name="Option Button 40" hidden="1">
                <a:extLst>
                  <a:ext uri="{63B3BB69-23CF-44E3-9099-C40C66FF867C}">
                    <a14:compatExt spid="_x0000_s196648"/>
                  </a:ext>
                  <a:ext uri="{FF2B5EF4-FFF2-40B4-BE49-F238E27FC236}">
                    <a16:creationId xmlns:a16="http://schemas.microsoft.com/office/drawing/2014/main" id="{00000000-0008-0000-0700-000028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49" name="Group Box 41" hidden="1">
                <a:extLst>
                  <a:ext uri="{63B3BB69-23CF-44E3-9099-C40C66FF867C}">
                    <a14:compatExt spid="_x0000_s196649"/>
                  </a:ext>
                  <a:ext uri="{FF2B5EF4-FFF2-40B4-BE49-F238E27FC236}">
                    <a16:creationId xmlns:a16="http://schemas.microsoft.com/office/drawing/2014/main" id="{00000000-0008-0000-0700-000029000300}"/>
                  </a:ext>
                </a:extLst>
              </xdr:cNvPr>
              <xdr:cNvSpPr/>
            </xdr:nvSpPr>
            <xdr:spPr bwMode="auto">
              <a:xfrm>
                <a:off x="2995434" y="3846805"/>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08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08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08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08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08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34</xdr:row>
          <xdr:rowOff>0</xdr:rowOff>
        </xdr:to>
        <xdr:sp macro="" textlink="">
          <xdr:nvSpPr>
            <xdr:cNvPr id="196650" name="Group Box 42" hidden="1">
              <a:extLst>
                <a:ext uri="{63B3BB69-23CF-44E3-9099-C40C66FF867C}">
                  <a14:compatExt spid="_x0000_s196650"/>
                </a:ext>
                <a:ext uri="{FF2B5EF4-FFF2-40B4-BE49-F238E27FC236}">
                  <a16:creationId xmlns:a16="http://schemas.microsoft.com/office/drawing/2014/main" id="{00000000-0008-0000-0700-00002A0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3017</xdr:colOff>
          <xdr:row>33</xdr:row>
          <xdr:rowOff>550</xdr:rowOff>
        </xdr:from>
        <xdr:to>
          <xdr:col>8</xdr:col>
          <xdr:colOff>0</xdr:colOff>
          <xdr:row>34</xdr:row>
          <xdr:rowOff>550</xdr:rowOff>
        </xdr:to>
        <xdr:grpSp>
          <xdr:nvGrpSpPr>
            <xdr:cNvPr id="24" name="Groupe 23">
              <a:extLst>
                <a:ext uri="{FF2B5EF4-FFF2-40B4-BE49-F238E27FC236}">
                  <a16:creationId xmlns:a16="http://schemas.microsoft.com/office/drawing/2014/main" id="{00000000-0008-0000-0800-000018000000}"/>
                </a:ext>
              </a:extLst>
            </xdr:cNvPr>
            <xdr:cNvGrpSpPr/>
          </xdr:nvGrpSpPr>
          <xdr:grpSpPr>
            <a:xfrm>
              <a:off x="3705861" y="27015831"/>
              <a:ext cx="1949608" cy="1643063"/>
              <a:chOff x="2995410" y="3846793"/>
              <a:chExt cx="1960181" cy="1644868"/>
            </a:xfrm>
          </xdr:grpSpPr>
          <xdr:sp macro="" textlink="">
            <xdr:nvSpPr>
              <xdr:cNvPr id="196651" name="Option Button 43" hidden="1">
                <a:extLst>
                  <a:ext uri="{63B3BB69-23CF-44E3-9099-C40C66FF867C}">
                    <a14:compatExt spid="_x0000_s196651"/>
                  </a:ext>
                  <a:ext uri="{FF2B5EF4-FFF2-40B4-BE49-F238E27FC236}">
                    <a16:creationId xmlns:a16="http://schemas.microsoft.com/office/drawing/2014/main" id="{00000000-0008-0000-0700-00002B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52" name="Option Button 44" hidden="1">
                <a:extLst>
                  <a:ext uri="{63B3BB69-23CF-44E3-9099-C40C66FF867C}">
                    <a14:compatExt spid="_x0000_s196652"/>
                  </a:ext>
                  <a:ext uri="{FF2B5EF4-FFF2-40B4-BE49-F238E27FC236}">
                    <a16:creationId xmlns:a16="http://schemas.microsoft.com/office/drawing/2014/main" id="{00000000-0008-0000-0700-00002C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53" name="Option Button 45" hidden="1">
                <a:extLst>
                  <a:ext uri="{63B3BB69-23CF-44E3-9099-C40C66FF867C}">
                    <a14:compatExt spid="_x0000_s196653"/>
                  </a:ext>
                  <a:ext uri="{FF2B5EF4-FFF2-40B4-BE49-F238E27FC236}">
                    <a16:creationId xmlns:a16="http://schemas.microsoft.com/office/drawing/2014/main" id="{00000000-0008-0000-0700-00002D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54" name="Option Button 46" hidden="1">
                <a:extLst>
                  <a:ext uri="{63B3BB69-23CF-44E3-9099-C40C66FF867C}">
                    <a14:compatExt spid="_x0000_s196654"/>
                  </a:ext>
                  <a:ext uri="{FF2B5EF4-FFF2-40B4-BE49-F238E27FC236}">
                    <a16:creationId xmlns:a16="http://schemas.microsoft.com/office/drawing/2014/main" id="{00000000-0008-0000-0700-00002E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55" name="Group Box 47" hidden="1">
                <a:extLst>
                  <a:ext uri="{63B3BB69-23CF-44E3-9099-C40C66FF867C}">
                    <a14:compatExt spid="_x0000_s196655"/>
                  </a:ext>
                  <a:ext uri="{FF2B5EF4-FFF2-40B4-BE49-F238E27FC236}">
                    <a16:creationId xmlns:a16="http://schemas.microsoft.com/office/drawing/2014/main" id="{00000000-0008-0000-0700-00002F000300}"/>
                  </a:ext>
                </a:extLst>
              </xdr:cNvPr>
              <xdr:cNvSpPr/>
            </xdr:nvSpPr>
            <xdr:spPr bwMode="auto">
              <a:xfrm>
                <a:off x="2995410" y="3846793"/>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0800-000019000000}"/>
                </a:ext>
              </a:extLst>
            </xdr:cNvPr>
            <xdr:cNvGrpSpPr/>
          </xdr:nvGrpSpPr>
          <xdr:grpSpPr>
            <a:xfrm>
              <a:off x="3704301" y="25372219"/>
              <a:ext cx="1951769" cy="1643062"/>
              <a:chOff x="2994660" y="2201914"/>
              <a:chExt cx="1960968" cy="1646922"/>
            </a:xfrm>
          </xdr:grpSpPr>
          <xdr:sp macro="" textlink="">
            <xdr:nvSpPr>
              <xdr:cNvPr id="196656" name="Option Button 48" descr="Case d'option 47" hidden="1">
                <a:extLst>
                  <a:ext uri="{63B3BB69-23CF-44E3-9099-C40C66FF867C}">
                    <a14:compatExt spid="_x0000_s196656"/>
                  </a:ext>
                  <a:ext uri="{FF2B5EF4-FFF2-40B4-BE49-F238E27FC236}">
                    <a16:creationId xmlns:a16="http://schemas.microsoft.com/office/drawing/2014/main" id="{00000000-0008-0000-0700-000030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57" name="Option Button 49" hidden="1">
                <a:extLst>
                  <a:ext uri="{63B3BB69-23CF-44E3-9099-C40C66FF867C}">
                    <a14:compatExt spid="_x0000_s196657"/>
                  </a:ext>
                  <a:ext uri="{FF2B5EF4-FFF2-40B4-BE49-F238E27FC236}">
                    <a16:creationId xmlns:a16="http://schemas.microsoft.com/office/drawing/2014/main" id="{00000000-0008-0000-0700-000031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58" name="Option Button 50" hidden="1">
                <a:extLst>
                  <a:ext uri="{63B3BB69-23CF-44E3-9099-C40C66FF867C}">
                    <a14:compatExt spid="_x0000_s196658"/>
                  </a:ext>
                  <a:ext uri="{FF2B5EF4-FFF2-40B4-BE49-F238E27FC236}">
                    <a16:creationId xmlns:a16="http://schemas.microsoft.com/office/drawing/2014/main" id="{00000000-0008-0000-0700-000032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59" name="Option Button 51" hidden="1">
                <a:extLst>
                  <a:ext uri="{63B3BB69-23CF-44E3-9099-C40C66FF867C}">
                    <a14:compatExt spid="_x0000_s196659"/>
                  </a:ext>
                  <a:ext uri="{FF2B5EF4-FFF2-40B4-BE49-F238E27FC236}">
                    <a16:creationId xmlns:a16="http://schemas.microsoft.com/office/drawing/2014/main" id="{00000000-0008-0000-0700-000033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60" name="Group Box 52" hidden="1">
                <a:extLst>
                  <a:ext uri="{63B3BB69-23CF-44E3-9099-C40C66FF867C}">
                    <a14:compatExt spid="_x0000_s196660"/>
                  </a:ext>
                  <a:ext uri="{FF2B5EF4-FFF2-40B4-BE49-F238E27FC236}">
                    <a16:creationId xmlns:a16="http://schemas.microsoft.com/office/drawing/2014/main" id="{00000000-0008-0000-0700-000034000300}"/>
                  </a:ext>
                </a:extLst>
              </xdr:cNvPr>
              <xdr:cNvSpPr/>
            </xdr:nvSpPr>
            <xdr:spPr bwMode="auto">
              <a:xfrm>
                <a:off x="2994660" y="220191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0800-00001A000000}"/>
                </a:ext>
              </a:extLst>
            </xdr:cNvPr>
            <xdr:cNvGrpSpPr/>
          </xdr:nvGrpSpPr>
          <xdr:grpSpPr>
            <a:xfrm>
              <a:off x="3702844" y="23729159"/>
              <a:ext cx="1952625" cy="1643063"/>
              <a:chOff x="2995434" y="3846790"/>
              <a:chExt cx="1960181" cy="1644868"/>
            </a:xfrm>
          </xdr:grpSpPr>
          <xdr:sp macro="" textlink="">
            <xdr:nvSpPr>
              <xdr:cNvPr id="196661" name="Option Button 53" hidden="1">
                <a:extLst>
                  <a:ext uri="{63B3BB69-23CF-44E3-9099-C40C66FF867C}">
                    <a14:compatExt spid="_x0000_s196661"/>
                  </a:ext>
                  <a:ext uri="{FF2B5EF4-FFF2-40B4-BE49-F238E27FC236}">
                    <a16:creationId xmlns:a16="http://schemas.microsoft.com/office/drawing/2014/main" id="{00000000-0008-0000-0700-000035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62" name="Option Button 54" hidden="1">
                <a:extLst>
                  <a:ext uri="{63B3BB69-23CF-44E3-9099-C40C66FF867C}">
                    <a14:compatExt spid="_x0000_s196662"/>
                  </a:ext>
                  <a:ext uri="{FF2B5EF4-FFF2-40B4-BE49-F238E27FC236}">
                    <a16:creationId xmlns:a16="http://schemas.microsoft.com/office/drawing/2014/main" id="{00000000-0008-0000-0700-000036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63" name="Option Button 55" hidden="1">
                <a:extLst>
                  <a:ext uri="{63B3BB69-23CF-44E3-9099-C40C66FF867C}">
                    <a14:compatExt spid="_x0000_s196663"/>
                  </a:ext>
                  <a:ext uri="{FF2B5EF4-FFF2-40B4-BE49-F238E27FC236}">
                    <a16:creationId xmlns:a16="http://schemas.microsoft.com/office/drawing/2014/main" id="{00000000-0008-0000-0700-000037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64" name="Option Button 56" hidden="1">
                <a:extLst>
                  <a:ext uri="{63B3BB69-23CF-44E3-9099-C40C66FF867C}">
                    <a14:compatExt spid="_x0000_s196664"/>
                  </a:ext>
                  <a:ext uri="{FF2B5EF4-FFF2-40B4-BE49-F238E27FC236}">
                    <a16:creationId xmlns:a16="http://schemas.microsoft.com/office/drawing/2014/main" id="{00000000-0008-0000-0700-000038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65" name="Group Box 57" hidden="1">
                <a:extLst>
                  <a:ext uri="{63B3BB69-23CF-44E3-9099-C40C66FF867C}">
                    <a14:compatExt spid="_x0000_s196665"/>
                  </a:ext>
                  <a:ext uri="{FF2B5EF4-FFF2-40B4-BE49-F238E27FC236}">
                    <a16:creationId xmlns:a16="http://schemas.microsoft.com/office/drawing/2014/main" id="{00000000-0008-0000-0700-000039000300}"/>
                  </a:ext>
                </a:extLst>
              </xdr:cNvPr>
              <xdr:cNvSpPr/>
            </xdr:nvSpPr>
            <xdr:spPr bwMode="auto">
              <a:xfrm>
                <a:off x="2995434" y="3846790"/>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7</xdr:col>
          <xdr:colOff>1955453</xdr:colOff>
          <xdr:row>31</xdr:row>
          <xdr:rowOff>2058</xdr:rowOff>
        </xdr:to>
        <xdr:grpSp>
          <xdr:nvGrpSpPr>
            <xdr:cNvPr id="27" name="Groupe 26">
              <a:extLst>
                <a:ext uri="{FF2B5EF4-FFF2-40B4-BE49-F238E27FC236}">
                  <a16:creationId xmlns:a16="http://schemas.microsoft.com/office/drawing/2014/main" id="{00000000-0008-0000-0800-00001B000000}"/>
                </a:ext>
              </a:extLst>
            </xdr:cNvPr>
            <xdr:cNvGrpSpPr/>
          </xdr:nvGrpSpPr>
          <xdr:grpSpPr>
            <a:xfrm>
              <a:off x="3703404" y="22086401"/>
              <a:ext cx="1954893" cy="1644813"/>
              <a:chOff x="2994659" y="2201916"/>
              <a:chExt cx="1960969" cy="1646923"/>
            </a:xfrm>
          </xdr:grpSpPr>
          <xdr:sp macro="" textlink="">
            <xdr:nvSpPr>
              <xdr:cNvPr id="196666" name="Option Button 58" descr="Case d'option 47" hidden="1">
                <a:extLst>
                  <a:ext uri="{63B3BB69-23CF-44E3-9099-C40C66FF867C}">
                    <a14:compatExt spid="_x0000_s196666"/>
                  </a:ext>
                  <a:ext uri="{FF2B5EF4-FFF2-40B4-BE49-F238E27FC236}">
                    <a16:creationId xmlns:a16="http://schemas.microsoft.com/office/drawing/2014/main" id="{00000000-0008-0000-0700-00003A0003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67" name="Option Button 59" hidden="1">
                <a:extLst>
                  <a:ext uri="{63B3BB69-23CF-44E3-9099-C40C66FF867C}">
                    <a14:compatExt spid="_x0000_s196667"/>
                  </a:ext>
                  <a:ext uri="{FF2B5EF4-FFF2-40B4-BE49-F238E27FC236}">
                    <a16:creationId xmlns:a16="http://schemas.microsoft.com/office/drawing/2014/main" id="{00000000-0008-0000-0700-00003B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68" name="Option Button 60" hidden="1">
                <a:extLst>
                  <a:ext uri="{63B3BB69-23CF-44E3-9099-C40C66FF867C}">
                    <a14:compatExt spid="_x0000_s196668"/>
                  </a:ext>
                  <a:ext uri="{FF2B5EF4-FFF2-40B4-BE49-F238E27FC236}">
                    <a16:creationId xmlns:a16="http://schemas.microsoft.com/office/drawing/2014/main" id="{00000000-0008-0000-0700-00003C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69" name="Option Button 61" hidden="1">
                <a:extLst>
                  <a:ext uri="{63B3BB69-23CF-44E3-9099-C40C66FF867C}">
                    <a14:compatExt spid="_x0000_s196669"/>
                  </a:ext>
                  <a:ext uri="{FF2B5EF4-FFF2-40B4-BE49-F238E27FC236}">
                    <a16:creationId xmlns:a16="http://schemas.microsoft.com/office/drawing/2014/main" id="{00000000-0008-0000-0700-00003D0003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70" name="Group Box 62" hidden="1">
                <a:extLst>
                  <a:ext uri="{63B3BB69-23CF-44E3-9099-C40C66FF867C}">
                    <a14:compatExt spid="_x0000_s196670"/>
                  </a:ext>
                  <a:ext uri="{FF2B5EF4-FFF2-40B4-BE49-F238E27FC236}">
                    <a16:creationId xmlns:a16="http://schemas.microsoft.com/office/drawing/2014/main" id="{00000000-0008-0000-0700-00003E000300}"/>
                  </a:ext>
                </a:extLst>
              </xdr:cNvPr>
              <xdr:cNvSpPr/>
            </xdr:nvSpPr>
            <xdr:spPr bwMode="auto">
              <a:xfrm>
                <a:off x="2994659" y="2201916"/>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0800-00001C000000}"/>
                </a:ext>
              </a:extLst>
            </xdr:cNvPr>
            <xdr:cNvGrpSpPr/>
          </xdr:nvGrpSpPr>
          <xdr:grpSpPr>
            <a:xfrm>
              <a:off x="3702844" y="20443031"/>
              <a:ext cx="1952625" cy="1643063"/>
              <a:chOff x="2994711" y="2201904"/>
              <a:chExt cx="1960969" cy="1646922"/>
            </a:xfrm>
          </xdr:grpSpPr>
          <xdr:sp macro="" textlink="">
            <xdr:nvSpPr>
              <xdr:cNvPr id="196671" name="Option Button 63" descr="Case d'option 47" hidden="1">
                <a:extLst>
                  <a:ext uri="{63B3BB69-23CF-44E3-9099-C40C66FF867C}">
                    <a14:compatExt spid="_x0000_s196671"/>
                  </a:ext>
                  <a:ext uri="{FF2B5EF4-FFF2-40B4-BE49-F238E27FC236}">
                    <a16:creationId xmlns:a16="http://schemas.microsoft.com/office/drawing/2014/main" id="{00000000-0008-0000-0700-00003F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72" name="Option Button 64" hidden="1">
                <a:extLst>
                  <a:ext uri="{63B3BB69-23CF-44E3-9099-C40C66FF867C}">
                    <a14:compatExt spid="_x0000_s196672"/>
                  </a:ext>
                  <a:ext uri="{FF2B5EF4-FFF2-40B4-BE49-F238E27FC236}">
                    <a16:creationId xmlns:a16="http://schemas.microsoft.com/office/drawing/2014/main" id="{00000000-0008-0000-0700-000040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73" name="Option Button 65" hidden="1">
                <a:extLst>
                  <a:ext uri="{63B3BB69-23CF-44E3-9099-C40C66FF867C}">
                    <a14:compatExt spid="_x0000_s196673"/>
                  </a:ext>
                  <a:ext uri="{FF2B5EF4-FFF2-40B4-BE49-F238E27FC236}">
                    <a16:creationId xmlns:a16="http://schemas.microsoft.com/office/drawing/2014/main" id="{00000000-0008-0000-0700-000041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74" name="Option Button 66" hidden="1">
                <a:extLst>
                  <a:ext uri="{63B3BB69-23CF-44E3-9099-C40C66FF867C}">
                    <a14:compatExt spid="_x0000_s196674"/>
                  </a:ext>
                  <a:ext uri="{FF2B5EF4-FFF2-40B4-BE49-F238E27FC236}">
                    <a16:creationId xmlns:a16="http://schemas.microsoft.com/office/drawing/2014/main" id="{00000000-0008-0000-0700-000042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75" name="Group Box 67" hidden="1">
                <a:extLst>
                  <a:ext uri="{63B3BB69-23CF-44E3-9099-C40C66FF867C}">
                    <a14:compatExt spid="_x0000_s196675"/>
                  </a:ext>
                  <a:ext uri="{FF2B5EF4-FFF2-40B4-BE49-F238E27FC236}">
                    <a16:creationId xmlns:a16="http://schemas.microsoft.com/office/drawing/2014/main" id="{00000000-0008-0000-0700-000043000300}"/>
                  </a:ext>
                </a:extLst>
              </xdr:cNvPr>
              <xdr:cNvSpPr/>
            </xdr:nvSpPr>
            <xdr:spPr bwMode="auto">
              <a:xfrm>
                <a:off x="2994711" y="2201904"/>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08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0800-00001E000000}"/>
                </a:ext>
              </a:extLst>
            </xdr:cNvPr>
            <xdr:cNvGrpSpPr/>
          </xdr:nvGrpSpPr>
          <xdr:grpSpPr>
            <a:xfrm>
              <a:off x="3702844" y="30801469"/>
              <a:ext cx="1952625" cy="1645117"/>
              <a:chOff x="2994715" y="2201933"/>
              <a:chExt cx="1960969" cy="1646923"/>
            </a:xfrm>
          </xdr:grpSpPr>
          <xdr:sp macro="" textlink="">
            <xdr:nvSpPr>
              <xdr:cNvPr id="196676" name="Option Button 68" descr="Case d'option 47" hidden="1">
                <a:extLst>
                  <a:ext uri="{63B3BB69-23CF-44E3-9099-C40C66FF867C}">
                    <a14:compatExt spid="_x0000_s196676"/>
                  </a:ext>
                  <a:ext uri="{FF2B5EF4-FFF2-40B4-BE49-F238E27FC236}">
                    <a16:creationId xmlns:a16="http://schemas.microsoft.com/office/drawing/2014/main" id="{00000000-0008-0000-0700-000044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77" name="Option Button 69" hidden="1">
                <a:extLst>
                  <a:ext uri="{63B3BB69-23CF-44E3-9099-C40C66FF867C}">
                    <a14:compatExt spid="_x0000_s196677"/>
                  </a:ext>
                  <a:ext uri="{FF2B5EF4-FFF2-40B4-BE49-F238E27FC236}">
                    <a16:creationId xmlns:a16="http://schemas.microsoft.com/office/drawing/2014/main" id="{00000000-0008-0000-0700-000045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78" name="Option Button 70" hidden="1">
                <a:extLst>
                  <a:ext uri="{63B3BB69-23CF-44E3-9099-C40C66FF867C}">
                    <a14:compatExt spid="_x0000_s196678"/>
                  </a:ext>
                  <a:ext uri="{FF2B5EF4-FFF2-40B4-BE49-F238E27FC236}">
                    <a16:creationId xmlns:a16="http://schemas.microsoft.com/office/drawing/2014/main" id="{00000000-0008-0000-0700-000046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79" name="Option Button 71" hidden="1">
                <a:extLst>
                  <a:ext uri="{63B3BB69-23CF-44E3-9099-C40C66FF867C}">
                    <a14:compatExt spid="_x0000_s196679"/>
                  </a:ext>
                  <a:ext uri="{FF2B5EF4-FFF2-40B4-BE49-F238E27FC236}">
                    <a16:creationId xmlns:a16="http://schemas.microsoft.com/office/drawing/2014/main" id="{00000000-0008-0000-0700-000047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80" name="Group Box 72" hidden="1">
                <a:extLst>
                  <a:ext uri="{63B3BB69-23CF-44E3-9099-C40C66FF867C}">
                    <a14:compatExt spid="_x0000_s196680"/>
                  </a:ext>
                  <a:ext uri="{FF2B5EF4-FFF2-40B4-BE49-F238E27FC236}">
                    <a16:creationId xmlns:a16="http://schemas.microsoft.com/office/drawing/2014/main" id="{00000000-0008-0000-0700-000048000300}"/>
                  </a:ext>
                </a:extLst>
              </xdr:cNvPr>
              <xdr:cNvSpPr/>
            </xdr:nvSpPr>
            <xdr:spPr bwMode="auto">
              <a:xfrm>
                <a:off x="2994715" y="2201933"/>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08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0800-000021000000}"/>
                </a:ext>
              </a:extLst>
            </xdr:cNvPr>
            <xdr:cNvGrpSpPr/>
          </xdr:nvGrpSpPr>
          <xdr:grpSpPr>
            <a:xfrm>
              <a:off x="3702844" y="32444531"/>
              <a:ext cx="1952625" cy="1905000"/>
              <a:chOff x="2995434" y="3846786"/>
              <a:chExt cx="1960181" cy="1644869"/>
            </a:xfrm>
          </xdr:grpSpPr>
          <xdr:sp macro="" textlink="">
            <xdr:nvSpPr>
              <xdr:cNvPr id="196681" name="Option Button 73" hidden="1">
                <a:extLst>
                  <a:ext uri="{63B3BB69-23CF-44E3-9099-C40C66FF867C}">
                    <a14:compatExt spid="_x0000_s196681"/>
                  </a:ext>
                  <a:ext uri="{FF2B5EF4-FFF2-40B4-BE49-F238E27FC236}">
                    <a16:creationId xmlns:a16="http://schemas.microsoft.com/office/drawing/2014/main" id="{00000000-0008-0000-0700-000049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82" name="Option Button 74" hidden="1">
                <a:extLst>
                  <a:ext uri="{63B3BB69-23CF-44E3-9099-C40C66FF867C}">
                    <a14:compatExt spid="_x0000_s196682"/>
                  </a:ext>
                  <a:ext uri="{FF2B5EF4-FFF2-40B4-BE49-F238E27FC236}">
                    <a16:creationId xmlns:a16="http://schemas.microsoft.com/office/drawing/2014/main" id="{00000000-0008-0000-0700-00004A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83" name="Option Button 75" hidden="1">
                <a:extLst>
                  <a:ext uri="{63B3BB69-23CF-44E3-9099-C40C66FF867C}">
                    <a14:compatExt spid="_x0000_s196683"/>
                  </a:ext>
                  <a:ext uri="{FF2B5EF4-FFF2-40B4-BE49-F238E27FC236}">
                    <a16:creationId xmlns:a16="http://schemas.microsoft.com/office/drawing/2014/main" id="{00000000-0008-0000-0700-00004B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84" name="Option Button 76" hidden="1">
                <a:extLst>
                  <a:ext uri="{63B3BB69-23CF-44E3-9099-C40C66FF867C}">
                    <a14:compatExt spid="_x0000_s196684"/>
                  </a:ext>
                  <a:ext uri="{FF2B5EF4-FFF2-40B4-BE49-F238E27FC236}">
                    <a16:creationId xmlns:a16="http://schemas.microsoft.com/office/drawing/2014/main" id="{00000000-0008-0000-0700-00004C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85" name="Group Box 77" hidden="1">
                <a:extLst>
                  <a:ext uri="{63B3BB69-23CF-44E3-9099-C40C66FF867C}">
                    <a14:compatExt spid="_x0000_s196685"/>
                  </a:ext>
                  <a:ext uri="{FF2B5EF4-FFF2-40B4-BE49-F238E27FC236}">
                    <a16:creationId xmlns:a16="http://schemas.microsoft.com/office/drawing/2014/main" id="{00000000-0008-0000-0700-00004D000300}"/>
                  </a:ext>
                </a:extLst>
              </xdr:cNvPr>
              <xdr:cNvSpPr/>
            </xdr:nvSpPr>
            <xdr:spPr bwMode="auto">
              <a:xfrm>
                <a:off x="2995434" y="3846786"/>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08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08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0800-000024000000}"/>
                </a:ext>
              </a:extLst>
            </xdr:cNvPr>
            <xdr:cNvGrpSpPr/>
          </xdr:nvGrpSpPr>
          <xdr:grpSpPr>
            <a:xfrm>
              <a:off x="3703081" y="35992594"/>
              <a:ext cx="1952388" cy="1522150"/>
              <a:chOff x="2994697" y="2201918"/>
              <a:chExt cx="1960968" cy="1646925"/>
            </a:xfrm>
          </xdr:grpSpPr>
          <xdr:sp macro="" textlink="">
            <xdr:nvSpPr>
              <xdr:cNvPr id="196686" name="Option Button 78" descr="Case d'option 47" hidden="1">
                <a:extLst>
                  <a:ext uri="{63B3BB69-23CF-44E3-9099-C40C66FF867C}">
                    <a14:compatExt spid="_x0000_s196686"/>
                  </a:ext>
                  <a:ext uri="{FF2B5EF4-FFF2-40B4-BE49-F238E27FC236}">
                    <a16:creationId xmlns:a16="http://schemas.microsoft.com/office/drawing/2014/main" id="{00000000-0008-0000-0700-00004E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87" name="Option Button 79" hidden="1">
                <a:extLst>
                  <a:ext uri="{63B3BB69-23CF-44E3-9099-C40C66FF867C}">
                    <a14:compatExt spid="_x0000_s196687"/>
                  </a:ext>
                  <a:ext uri="{FF2B5EF4-FFF2-40B4-BE49-F238E27FC236}">
                    <a16:creationId xmlns:a16="http://schemas.microsoft.com/office/drawing/2014/main" id="{00000000-0008-0000-0700-00004F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88" name="Option Button 80" hidden="1">
                <a:extLst>
                  <a:ext uri="{63B3BB69-23CF-44E3-9099-C40C66FF867C}">
                    <a14:compatExt spid="_x0000_s196688"/>
                  </a:ext>
                  <a:ext uri="{FF2B5EF4-FFF2-40B4-BE49-F238E27FC236}">
                    <a16:creationId xmlns:a16="http://schemas.microsoft.com/office/drawing/2014/main" id="{00000000-0008-0000-0700-000050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89" name="Option Button 81" hidden="1">
                <a:extLst>
                  <a:ext uri="{63B3BB69-23CF-44E3-9099-C40C66FF867C}">
                    <a14:compatExt spid="_x0000_s196689"/>
                  </a:ext>
                  <a:ext uri="{FF2B5EF4-FFF2-40B4-BE49-F238E27FC236}">
                    <a16:creationId xmlns:a16="http://schemas.microsoft.com/office/drawing/2014/main" id="{00000000-0008-0000-0700-000051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90" name="Group Box 82" hidden="1">
                <a:extLst>
                  <a:ext uri="{63B3BB69-23CF-44E3-9099-C40C66FF867C}">
                    <a14:compatExt spid="_x0000_s196690"/>
                  </a:ext>
                  <a:ext uri="{FF2B5EF4-FFF2-40B4-BE49-F238E27FC236}">
                    <a16:creationId xmlns:a16="http://schemas.microsoft.com/office/drawing/2014/main" id="{00000000-0008-0000-0700-000052000300}"/>
                  </a:ext>
                </a:extLst>
              </xdr:cNvPr>
              <xdr:cNvSpPr/>
            </xdr:nvSpPr>
            <xdr:spPr bwMode="auto">
              <a:xfrm>
                <a:off x="2994697"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0800-000025000000}"/>
                </a:ext>
              </a:extLst>
            </xdr:cNvPr>
            <xdr:cNvGrpSpPr/>
          </xdr:nvGrpSpPr>
          <xdr:grpSpPr>
            <a:xfrm>
              <a:off x="3702844" y="34349531"/>
              <a:ext cx="1952625" cy="1643063"/>
              <a:chOff x="2994711" y="2201859"/>
              <a:chExt cx="1960969" cy="1646922"/>
            </a:xfrm>
          </xdr:grpSpPr>
          <xdr:sp macro="" textlink="">
            <xdr:nvSpPr>
              <xdr:cNvPr id="196691" name="Option Button 83" descr="Case d'option 47" hidden="1">
                <a:extLst>
                  <a:ext uri="{63B3BB69-23CF-44E3-9099-C40C66FF867C}">
                    <a14:compatExt spid="_x0000_s196691"/>
                  </a:ext>
                  <a:ext uri="{FF2B5EF4-FFF2-40B4-BE49-F238E27FC236}">
                    <a16:creationId xmlns:a16="http://schemas.microsoft.com/office/drawing/2014/main" id="{00000000-0008-0000-0700-000053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92" name="Option Button 84" hidden="1">
                <a:extLst>
                  <a:ext uri="{63B3BB69-23CF-44E3-9099-C40C66FF867C}">
                    <a14:compatExt spid="_x0000_s196692"/>
                  </a:ext>
                  <a:ext uri="{FF2B5EF4-FFF2-40B4-BE49-F238E27FC236}">
                    <a16:creationId xmlns:a16="http://schemas.microsoft.com/office/drawing/2014/main" id="{00000000-0008-0000-0700-000054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93" name="Option Button 85" hidden="1">
                <a:extLst>
                  <a:ext uri="{63B3BB69-23CF-44E3-9099-C40C66FF867C}">
                    <a14:compatExt spid="_x0000_s196693"/>
                  </a:ext>
                  <a:ext uri="{FF2B5EF4-FFF2-40B4-BE49-F238E27FC236}">
                    <a16:creationId xmlns:a16="http://schemas.microsoft.com/office/drawing/2014/main" id="{00000000-0008-0000-0700-000055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94" name="Option Button 86" hidden="1">
                <a:extLst>
                  <a:ext uri="{63B3BB69-23CF-44E3-9099-C40C66FF867C}">
                    <a14:compatExt spid="_x0000_s196694"/>
                  </a:ext>
                  <a:ext uri="{FF2B5EF4-FFF2-40B4-BE49-F238E27FC236}">
                    <a16:creationId xmlns:a16="http://schemas.microsoft.com/office/drawing/2014/main" id="{00000000-0008-0000-0700-000056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695" name="Group Box 87" hidden="1">
                <a:extLst>
                  <a:ext uri="{63B3BB69-23CF-44E3-9099-C40C66FF867C}">
                    <a14:compatExt spid="_x0000_s196695"/>
                  </a:ext>
                  <a:ext uri="{FF2B5EF4-FFF2-40B4-BE49-F238E27FC236}">
                    <a16:creationId xmlns:a16="http://schemas.microsoft.com/office/drawing/2014/main" id="{00000000-0008-0000-0700-000057000300}"/>
                  </a:ext>
                </a:extLst>
              </xdr:cNvPr>
              <xdr:cNvSpPr/>
            </xdr:nvSpPr>
            <xdr:spPr bwMode="auto">
              <a:xfrm>
                <a:off x="2994711" y="2201859"/>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08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0800-000028000000}"/>
                </a:ext>
              </a:extLst>
            </xdr:cNvPr>
            <xdr:cNvGrpSpPr/>
          </xdr:nvGrpSpPr>
          <xdr:grpSpPr>
            <a:xfrm>
              <a:off x="3702844" y="41302781"/>
              <a:ext cx="1952625" cy="1643063"/>
              <a:chOff x="2995434" y="3846797"/>
              <a:chExt cx="1960181" cy="1644870"/>
            </a:xfrm>
          </xdr:grpSpPr>
          <xdr:sp macro="" textlink="">
            <xdr:nvSpPr>
              <xdr:cNvPr id="196696" name="Option Button 88" hidden="1">
                <a:extLst>
                  <a:ext uri="{63B3BB69-23CF-44E3-9099-C40C66FF867C}">
                    <a14:compatExt spid="_x0000_s196696"/>
                  </a:ext>
                  <a:ext uri="{FF2B5EF4-FFF2-40B4-BE49-F238E27FC236}">
                    <a16:creationId xmlns:a16="http://schemas.microsoft.com/office/drawing/2014/main" id="{00000000-0008-0000-0700-000058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697" name="Option Button 89" hidden="1">
                <a:extLst>
                  <a:ext uri="{63B3BB69-23CF-44E3-9099-C40C66FF867C}">
                    <a14:compatExt spid="_x0000_s196697"/>
                  </a:ext>
                  <a:ext uri="{FF2B5EF4-FFF2-40B4-BE49-F238E27FC236}">
                    <a16:creationId xmlns:a16="http://schemas.microsoft.com/office/drawing/2014/main" id="{00000000-0008-0000-0700-000059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698" name="Option Button 90" hidden="1">
                <a:extLst>
                  <a:ext uri="{63B3BB69-23CF-44E3-9099-C40C66FF867C}">
                    <a14:compatExt spid="_x0000_s196698"/>
                  </a:ext>
                  <a:ext uri="{FF2B5EF4-FFF2-40B4-BE49-F238E27FC236}">
                    <a16:creationId xmlns:a16="http://schemas.microsoft.com/office/drawing/2014/main" id="{00000000-0008-0000-0700-00005A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699" name="Option Button 91" hidden="1">
                <a:extLst>
                  <a:ext uri="{63B3BB69-23CF-44E3-9099-C40C66FF867C}">
                    <a14:compatExt spid="_x0000_s196699"/>
                  </a:ext>
                  <a:ext uri="{FF2B5EF4-FFF2-40B4-BE49-F238E27FC236}">
                    <a16:creationId xmlns:a16="http://schemas.microsoft.com/office/drawing/2014/main" id="{00000000-0008-0000-0700-00005B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00" name="Group Box 92" hidden="1">
                <a:extLst>
                  <a:ext uri="{63B3BB69-23CF-44E3-9099-C40C66FF867C}">
                    <a14:compatExt spid="_x0000_s196700"/>
                  </a:ext>
                  <a:ext uri="{FF2B5EF4-FFF2-40B4-BE49-F238E27FC236}">
                    <a16:creationId xmlns:a16="http://schemas.microsoft.com/office/drawing/2014/main" id="{00000000-0008-0000-0700-00005C000300}"/>
                  </a:ext>
                </a:extLst>
              </xdr:cNvPr>
              <xdr:cNvSpPr/>
            </xdr:nvSpPr>
            <xdr:spPr bwMode="auto">
              <a:xfrm>
                <a:off x="2995434" y="3846797"/>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0800-000029000000}"/>
                </a:ext>
              </a:extLst>
            </xdr:cNvPr>
            <xdr:cNvGrpSpPr/>
          </xdr:nvGrpSpPr>
          <xdr:grpSpPr>
            <a:xfrm>
              <a:off x="3702844" y="39659719"/>
              <a:ext cx="1952625" cy="1645117"/>
              <a:chOff x="2994715" y="2201916"/>
              <a:chExt cx="1960969" cy="1646922"/>
            </a:xfrm>
          </xdr:grpSpPr>
          <xdr:sp macro="" textlink="">
            <xdr:nvSpPr>
              <xdr:cNvPr id="196701" name="Option Button 93" descr="Case d'option 47" hidden="1">
                <a:extLst>
                  <a:ext uri="{63B3BB69-23CF-44E3-9099-C40C66FF867C}">
                    <a14:compatExt spid="_x0000_s196701"/>
                  </a:ext>
                  <a:ext uri="{FF2B5EF4-FFF2-40B4-BE49-F238E27FC236}">
                    <a16:creationId xmlns:a16="http://schemas.microsoft.com/office/drawing/2014/main" id="{00000000-0008-0000-0700-00005D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02" name="Option Button 94" hidden="1">
                <a:extLst>
                  <a:ext uri="{63B3BB69-23CF-44E3-9099-C40C66FF867C}">
                    <a14:compatExt spid="_x0000_s196702"/>
                  </a:ext>
                  <a:ext uri="{FF2B5EF4-FFF2-40B4-BE49-F238E27FC236}">
                    <a16:creationId xmlns:a16="http://schemas.microsoft.com/office/drawing/2014/main" id="{00000000-0008-0000-0700-00005E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03" name="Option Button 95" hidden="1">
                <a:extLst>
                  <a:ext uri="{63B3BB69-23CF-44E3-9099-C40C66FF867C}">
                    <a14:compatExt spid="_x0000_s196703"/>
                  </a:ext>
                  <a:ext uri="{FF2B5EF4-FFF2-40B4-BE49-F238E27FC236}">
                    <a16:creationId xmlns:a16="http://schemas.microsoft.com/office/drawing/2014/main" id="{00000000-0008-0000-0700-00005F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04" name="Option Button 96" hidden="1">
                <a:extLst>
                  <a:ext uri="{63B3BB69-23CF-44E3-9099-C40C66FF867C}">
                    <a14:compatExt spid="_x0000_s196704"/>
                  </a:ext>
                  <a:ext uri="{FF2B5EF4-FFF2-40B4-BE49-F238E27FC236}">
                    <a16:creationId xmlns:a16="http://schemas.microsoft.com/office/drawing/2014/main" id="{00000000-0008-0000-0700-000060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05" name="Group Box 97" hidden="1">
                <a:extLst>
                  <a:ext uri="{63B3BB69-23CF-44E3-9099-C40C66FF867C}">
                    <a14:compatExt spid="_x0000_s196705"/>
                  </a:ext>
                  <a:ext uri="{FF2B5EF4-FFF2-40B4-BE49-F238E27FC236}">
                    <a16:creationId xmlns:a16="http://schemas.microsoft.com/office/drawing/2014/main" id="{00000000-0008-0000-0700-000061000300}"/>
                  </a:ext>
                </a:extLst>
              </xdr:cNvPr>
              <xdr:cNvSpPr/>
            </xdr:nvSpPr>
            <xdr:spPr bwMode="auto">
              <a:xfrm>
                <a:off x="2994715" y="2201916"/>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08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08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08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08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64</xdr:row>
          <xdr:rowOff>0</xdr:rowOff>
        </xdr:from>
        <xdr:to>
          <xdr:col>8</xdr:col>
          <xdr:colOff>0</xdr:colOff>
          <xdr:row>65</xdr:row>
          <xdr:rowOff>0</xdr:rowOff>
        </xdr:to>
        <xdr:sp macro="" textlink="">
          <xdr:nvSpPr>
            <xdr:cNvPr id="196706" name="Group Box 98" hidden="1">
              <a:extLst>
                <a:ext uri="{63B3BB69-23CF-44E3-9099-C40C66FF867C}">
                  <a14:compatExt spid="_x0000_s196706"/>
                </a:ext>
                <a:ext uri="{FF2B5EF4-FFF2-40B4-BE49-F238E27FC236}">
                  <a16:creationId xmlns:a16="http://schemas.microsoft.com/office/drawing/2014/main" id="{00000000-0008-0000-0700-0000620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0800-00002E000000}"/>
                </a:ext>
              </a:extLst>
            </xdr:cNvPr>
            <xdr:cNvGrpSpPr/>
          </xdr:nvGrpSpPr>
          <xdr:grpSpPr>
            <a:xfrm>
              <a:off x="3702844" y="46231972"/>
              <a:ext cx="1952625" cy="1643062"/>
              <a:chOff x="2995434" y="3846789"/>
              <a:chExt cx="1960181" cy="1644869"/>
            </a:xfrm>
          </xdr:grpSpPr>
          <xdr:sp macro="" textlink="">
            <xdr:nvSpPr>
              <xdr:cNvPr id="196707" name="Option Button 99" hidden="1">
                <a:extLst>
                  <a:ext uri="{63B3BB69-23CF-44E3-9099-C40C66FF867C}">
                    <a14:compatExt spid="_x0000_s196707"/>
                  </a:ext>
                  <a:ext uri="{FF2B5EF4-FFF2-40B4-BE49-F238E27FC236}">
                    <a16:creationId xmlns:a16="http://schemas.microsoft.com/office/drawing/2014/main" id="{00000000-0008-0000-0700-000063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08" name="Option Button 100" hidden="1">
                <a:extLst>
                  <a:ext uri="{63B3BB69-23CF-44E3-9099-C40C66FF867C}">
                    <a14:compatExt spid="_x0000_s196708"/>
                  </a:ext>
                  <a:ext uri="{FF2B5EF4-FFF2-40B4-BE49-F238E27FC236}">
                    <a16:creationId xmlns:a16="http://schemas.microsoft.com/office/drawing/2014/main" id="{00000000-0008-0000-0700-000064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09" name="Option Button 101" hidden="1">
                <a:extLst>
                  <a:ext uri="{63B3BB69-23CF-44E3-9099-C40C66FF867C}">
                    <a14:compatExt spid="_x0000_s196709"/>
                  </a:ext>
                  <a:ext uri="{FF2B5EF4-FFF2-40B4-BE49-F238E27FC236}">
                    <a16:creationId xmlns:a16="http://schemas.microsoft.com/office/drawing/2014/main" id="{00000000-0008-0000-0700-000065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10" name="Option Button 102" hidden="1">
                <a:extLst>
                  <a:ext uri="{63B3BB69-23CF-44E3-9099-C40C66FF867C}">
                    <a14:compatExt spid="_x0000_s196710"/>
                  </a:ext>
                  <a:ext uri="{FF2B5EF4-FFF2-40B4-BE49-F238E27FC236}">
                    <a16:creationId xmlns:a16="http://schemas.microsoft.com/office/drawing/2014/main" id="{00000000-0008-0000-0700-000066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11" name="Group Box 103" hidden="1">
                <a:extLst>
                  <a:ext uri="{63B3BB69-23CF-44E3-9099-C40C66FF867C}">
                    <a14:compatExt spid="_x0000_s196711"/>
                  </a:ext>
                  <a:ext uri="{FF2B5EF4-FFF2-40B4-BE49-F238E27FC236}">
                    <a16:creationId xmlns:a16="http://schemas.microsoft.com/office/drawing/2014/main" id="{00000000-0008-0000-0700-000067000300}"/>
                  </a:ext>
                </a:extLst>
              </xdr:cNvPr>
              <xdr:cNvSpPr/>
            </xdr:nvSpPr>
            <xdr:spPr bwMode="auto">
              <a:xfrm>
                <a:off x="2995434" y="3846789"/>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0800-00002F000000}"/>
                </a:ext>
              </a:extLst>
            </xdr:cNvPr>
            <xdr:cNvGrpSpPr/>
          </xdr:nvGrpSpPr>
          <xdr:grpSpPr>
            <a:xfrm>
              <a:off x="3706012" y="44588906"/>
              <a:ext cx="1949457" cy="1645121"/>
              <a:chOff x="2994664" y="2201916"/>
              <a:chExt cx="1960968" cy="1646926"/>
            </a:xfrm>
          </xdr:grpSpPr>
          <xdr:sp macro="" textlink="">
            <xdr:nvSpPr>
              <xdr:cNvPr id="196712" name="Option Button 104" descr="Case d'option 47" hidden="1">
                <a:extLst>
                  <a:ext uri="{63B3BB69-23CF-44E3-9099-C40C66FF867C}">
                    <a14:compatExt spid="_x0000_s196712"/>
                  </a:ext>
                  <a:ext uri="{FF2B5EF4-FFF2-40B4-BE49-F238E27FC236}">
                    <a16:creationId xmlns:a16="http://schemas.microsoft.com/office/drawing/2014/main" id="{00000000-0008-0000-0700-000068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13" name="Option Button 105" hidden="1">
                <a:extLst>
                  <a:ext uri="{63B3BB69-23CF-44E3-9099-C40C66FF867C}">
                    <a14:compatExt spid="_x0000_s196713"/>
                  </a:ext>
                  <a:ext uri="{FF2B5EF4-FFF2-40B4-BE49-F238E27FC236}">
                    <a16:creationId xmlns:a16="http://schemas.microsoft.com/office/drawing/2014/main" id="{00000000-0008-0000-0700-000069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14" name="Option Button 106" hidden="1">
                <a:extLst>
                  <a:ext uri="{63B3BB69-23CF-44E3-9099-C40C66FF867C}">
                    <a14:compatExt spid="_x0000_s196714"/>
                  </a:ext>
                  <a:ext uri="{FF2B5EF4-FFF2-40B4-BE49-F238E27FC236}">
                    <a16:creationId xmlns:a16="http://schemas.microsoft.com/office/drawing/2014/main" id="{00000000-0008-0000-0700-00006A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15" name="Option Button 107" hidden="1">
                <a:extLst>
                  <a:ext uri="{63B3BB69-23CF-44E3-9099-C40C66FF867C}">
                    <a14:compatExt spid="_x0000_s196715"/>
                  </a:ext>
                  <a:ext uri="{FF2B5EF4-FFF2-40B4-BE49-F238E27FC236}">
                    <a16:creationId xmlns:a16="http://schemas.microsoft.com/office/drawing/2014/main" id="{00000000-0008-0000-0700-00006B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16" name="Group Box 108" hidden="1">
                <a:extLst>
                  <a:ext uri="{63B3BB69-23CF-44E3-9099-C40C66FF867C}">
                    <a14:compatExt spid="_x0000_s196716"/>
                  </a:ext>
                  <a:ext uri="{FF2B5EF4-FFF2-40B4-BE49-F238E27FC236}">
                    <a16:creationId xmlns:a16="http://schemas.microsoft.com/office/drawing/2014/main" id="{00000000-0008-0000-0700-00006C000300}"/>
                  </a:ext>
                </a:extLst>
              </xdr:cNvPr>
              <xdr:cNvSpPr/>
            </xdr:nvSpPr>
            <xdr:spPr bwMode="auto">
              <a:xfrm>
                <a:off x="2994664" y="2201916"/>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0800-000030000000}"/>
                </a:ext>
              </a:extLst>
            </xdr:cNvPr>
            <xdr:cNvGrpSpPr/>
          </xdr:nvGrpSpPr>
          <xdr:grpSpPr>
            <a:xfrm>
              <a:off x="3702844" y="42945844"/>
              <a:ext cx="1952625" cy="1643062"/>
              <a:chOff x="2994711" y="2201921"/>
              <a:chExt cx="1960969" cy="1646928"/>
            </a:xfrm>
          </xdr:grpSpPr>
          <xdr:sp macro="" textlink="">
            <xdr:nvSpPr>
              <xdr:cNvPr id="196717" name="Option Button 109" descr="Case d'option 47" hidden="1">
                <a:extLst>
                  <a:ext uri="{63B3BB69-23CF-44E3-9099-C40C66FF867C}">
                    <a14:compatExt spid="_x0000_s196717"/>
                  </a:ext>
                  <a:ext uri="{FF2B5EF4-FFF2-40B4-BE49-F238E27FC236}">
                    <a16:creationId xmlns:a16="http://schemas.microsoft.com/office/drawing/2014/main" id="{00000000-0008-0000-0700-00006D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18" name="Option Button 110" hidden="1">
                <a:extLst>
                  <a:ext uri="{63B3BB69-23CF-44E3-9099-C40C66FF867C}">
                    <a14:compatExt spid="_x0000_s196718"/>
                  </a:ext>
                  <a:ext uri="{FF2B5EF4-FFF2-40B4-BE49-F238E27FC236}">
                    <a16:creationId xmlns:a16="http://schemas.microsoft.com/office/drawing/2014/main" id="{00000000-0008-0000-0700-00006E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19" name="Option Button 111" hidden="1">
                <a:extLst>
                  <a:ext uri="{63B3BB69-23CF-44E3-9099-C40C66FF867C}">
                    <a14:compatExt spid="_x0000_s196719"/>
                  </a:ext>
                  <a:ext uri="{FF2B5EF4-FFF2-40B4-BE49-F238E27FC236}">
                    <a16:creationId xmlns:a16="http://schemas.microsoft.com/office/drawing/2014/main" id="{00000000-0008-0000-0700-00006F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20" name="Option Button 112" hidden="1">
                <a:extLst>
                  <a:ext uri="{63B3BB69-23CF-44E3-9099-C40C66FF867C}">
                    <a14:compatExt spid="_x0000_s196720"/>
                  </a:ext>
                  <a:ext uri="{FF2B5EF4-FFF2-40B4-BE49-F238E27FC236}">
                    <a16:creationId xmlns:a16="http://schemas.microsoft.com/office/drawing/2014/main" id="{00000000-0008-0000-0700-000070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21" name="Group Box 113" hidden="1">
                <a:extLst>
                  <a:ext uri="{63B3BB69-23CF-44E3-9099-C40C66FF867C}">
                    <a14:compatExt spid="_x0000_s196721"/>
                  </a:ext>
                  <a:ext uri="{FF2B5EF4-FFF2-40B4-BE49-F238E27FC236}">
                    <a16:creationId xmlns:a16="http://schemas.microsoft.com/office/drawing/2014/main" id="{00000000-0008-0000-0700-000071000300}"/>
                  </a:ext>
                </a:extLst>
              </xdr:cNvPr>
              <xdr:cNvSpPr/>
            </xdr:nvSpPr>
            <xdr:spPr bwMode="auto">
              <a:xfrm>
                <a:off x="2994711" y="2201921"/>
                <a:ext cx="1960969" cy="164692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64</xdr:row>
          <xdr:rowOff>0</xdr:rowOff>
        </xdr:from>
        <xdr:to>
          <xdr:col>8</xdr:col>
          <xdr:colOff>0</xdr:colOff>
          <xdr:row>65</xdr:row>
          <xdr:rowOff>2058</xdr:rowOff>
        </xdr:to>
        <xdr:grpSp>
          <xdr:nvGrpSpPr>
            <xdr:cNvPr id="49" name="Groupe 48">
              <a:extLst>
                <a:ext uri="{FF2B5EF4-FFF2-40B4-BE49-F238E27FC236}">
                  <a16:creationId xmlns:a16="http://schemas.microsoft.com/office/drawing/2014/main" id="{00000000-0008-0000-0800-000031000000}"/>
                </a:ext>
              </a:extLst>
            </xdr:cNvPr>
            <xdr:cNvGrpSpPr/>
          </xdr:nvGrpSpPr>
          <xdr:grpSpPr>
            <a:xfrm>
              <a:off x="3706012" y="47875031"/>
              <a:ext cx="1949457" cy="1643063"/>
              <a:chOff x="2994664" y="2201916"/>
              <a:chExt cx="1960968" cy="1646925"/>
            </a:xfrm>
          </xdr:grpSpPr>
          <xdr:sp macro="" textlink="">
            <xdr:nvSpPr>
              <xdr:cNvPr id="196722" name="Option Button 114" descr="Case d'option 47" hidden="1">
                <a:extLst>
                  <a:ext uri="{63B3BB69-23CF-44E3-9099-C40C66FF867C}">
                    <a14:compatExt spid="_x0000_s196722"/>
                  </a:ext>
                  <a:ext uri="{FF2B5EF4-FFF2-40B4-BE49-F238E27FC236}">
                    <a16:creationId xmlns:a16="http://schemas.microsoft.com/office/drawing/2014/main" id="{00000000-0008-0000-0700-000072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23" name="Option Button 115" hidden="1">
                <a:extLst>
                  <a:ext uri="{63B3BB69-23CF-44E3-9099-C40C66FF867C}">
                    <a14:compatExt spid="_x0000_s196723"/>
                  </a:ext>
                  <a:ext uri="{FF2B5EF4-FFF2-40B4-BE49-F238E27FC236}">
                    <a16:creationId xmlns:a16="http://schemas.microsoft.com/office/drawing/2014/main" id="{00000000-0008-0000-0700-000073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24" name="Option Button 116" hidden="1">
                <a:extLst>
                  <a:ext uri="{63B3BB69-23CF-44E3-9099-C40C66FF867C}">
                    <a14:compatExt spid="_x0000_s196724"/>
                  </a:ext>
                  <a:ext uri="{FF2B5EF4-FFF2-40B4-BE49-F238E27FC236}">
                    <a16:creationId xmlns:a16="http://schemas.microsoft.com/office/drawing/2014/main" id="{00000000-0008-0000-0700-000074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25" name="Option Button 117" hidden="1">
                <a:extLst>
                  <a:ext uri="{63B3BB69-23CF-44E3-9099-C40C66FF867C}">
                    <a14:compatExt spid="_x0000_s196725"/>
                  </a:ext>
                  <a:ext uri="{FF2B5EF4-FFF2-40B4-BE49-F238E27FC236}">
                    <a16:creationId xmlns:a16="http://schemas.microsoft.com/office/drawing/2014/main" id="{00000000-0008-0000-0700-000075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26" name="Group Box 118" hidden="1">
                <a:extLst>
                  <a:ext uri="{63B3BB69-23CF-44E3-9099-C40C66FF867C}">
                    <a14:compatExt spid="_x0000_s196726"/>
                  </a:ext>
                  <a:ext uri="{FF2B5EF4-FFF2-40B4-BE49-F238E27FC236}">
                    <a16:creationId xmlns:a16="http://schemas.microsoft.com/office/drawing/2014/main" id="{00000000-0008-0000-0700-000076000300}"/>
                  </a:ext>
                </a:extLst>
              </xdr:cNvPr>
              <xdr:cNvSpPr/>
            </xdr:nvSpPr>
            <xdr:spPr bwMode="auto">
              <a:xfrm>
                <a:off x="2994664" y="2201916"/>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08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0800-000034000000}"/>
                </a:ext>
              </a:extLst>
            </xdr:cNvPr>
            <xdr:cNvGrpSpPr/>
          </xdr:nvGrpSpPr>
          <xdr:grpSpPr>
            <a:xfrm>
              <a:off x="3702844" y="53613844"/>
              <a:ext cx="1952625" cy="1643062"/>
              <a:chOff x="2995434" y="3846804"/>
              <a:chExt cx="1960181" cy="1644870"/>
            </a:xfrm>
          </xdr:grpSpPr>
          <xdr:sp macro="" textlink="">
            <xdr:nvSpPr>
              <xdr:cNvPr id="196727" name="Option Button 119" hidden="1">
                <a:extLst>
                  <a:ext uri="{63B3BB69-23CF-44E3-9099-C40C66FF867C}">
                    <a14:compatExt spid="_x0000_s196727"/>
                  </a:ext>
                  <a:ext uri="{FF2B5EF4-FFF2-40B4-BE49-F238E27FC236}">
                    <a16:creationId xmlns:a16="http://schemas.microsoft.com/office/drawing/2014/main" id="{00000000-0008-0000-0700-000077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28" name="Option Button 120" hidden="1">
                <a:extLst>
                  <a:ext uri="{63B3BB69-23CF-44E3-9099-C40C66FF867C}">
                    <a14:compatExt spid="_x0000_s196728"/>
                  </a:ext>
                  <a:ext uri="{FF2B5EF4-FFF2-40B4-BE49-F238E27FC236}">
                    <a16:creationId xmlns:a16="http://schemas.microsoft.com/office/drawing/2014/main" id="{00000000-0008-0000-0700-000078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29" name="Option Button 121" hidden="1">
                <a:extLst>
                  <a:ext uri="{63B3BB69-23CF-44E3-9099-C40C66FF867C}">
                    <a14:compatExt spid="_x0000_s196729"/>
                  </a:ext>
                  <a:ext uri="{FF2B5EF4-FFF2-40B4-BE49-F238E27FC236}">
                    <a16:creationId xmlns:a16="http://schemas.microsoft.com/office/drawing/2014/main" id="{00000000-0008-0000-0700-000079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30" name="Option Button 122" hidden="1">
                <a:extLst>
                  <a:ext uri="{63B3BB69-23CF-44E3-9099-C40C66FF867C}">
                    <a14:compatExt spid="_x0000_s196730"/>
                  </a:ext>
                  <a:ext uri="{FF2B5EF4-FFF2-40B4-BE49-F238E27FC236}">
                    <a16:creationId xmlns:a16="http://schemas.microsoft.com/office/drawing/2014/main" id="{00000000-0008-0000-0700-00007A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31" name="Group Box 123" hidden="1">
                <a:extLst>
                  <a:ext uri="{63B3BB69-23CF-44E3-9099-C40C66FF867C}">
                    <a14:compatExt spid="_x0000_s196731"/>
                  </a:ext>
                  <a:ext uri="{FF2B5EF4-FFF2-40B4-BE49-F238E27FC236}">
                    <a16:creationId xmlns:a16="http://schemas.microsoft.com/office/drawing/2014/main" id="{00000000-0008-0000-0700-00007B000300}"/>
                  </a:ext>
                </a:extLst>
              </xdr:cNvPr>
              <xdr:cNvSpPr/>
            </xdr:nvSpPr>
            <xdr:spPr bwMode="auto">
              <a:xfrm>
                <a:off x="2995434" y="3846804"/>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0800-000035000000}"/>
                </a:ext>
              </a:extLst>
            </xdr:cNvPr>
            <xdr:cNvGrpSpPr/>
          </xdr:nvGrpSpPr>
          <xdr:grpSpPr>
            <a:xfrm>
              <a:off x="3702844" y="51970781"/>
              <a:ext cx="1952625" cy="1645118"/>
              <a:chOff x="2994715" y="2201915"/>
              <a:chExt cx="1960969" cy="1646923"/>
            </a:xfrm>
          </xdr:grpSpPr>
          <xdr:sp macro="" textlink="">
            <xdr:nvSpPr>
              <xdr:cNvPr id="196732" name="Option Button 124" descr="Case d'option 47" hidden="1">
                <a:extLst>
                  <a:ext uri="{63B3BB69-23CF-44E3-9099-C40C66FF867C}">
                    <a14:compatExt spid="_x0000_s196732"/>
                  </a:ext>
                  <a:ext uri="{FF2B5EF4-FFF2-40B4-BE49-F238E27FC236}">
                    <a16:creationId xmlns:a16="http://schemas.microsoft.com/office/drawing/2014/main" id="{00000000-0008-0000-0700-00007C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33" name="Option Button 125" hidden="1">
                <a:extLst>
                  <a:ext uri="{63B3BB69-23CF-44E3-9099-C40C66FF867C}">
                    <a14:compatExt spid="_x0000_s196733"/>
                  </a:ext>
                  <a:ext uri="{FF2B5EF4-FFF2-40B4-BE49-F238E27FC236}">
                    <a16:creationId xmlns:a16="http://schemas.microsoft.com/office/drawing/2014/main" id="{00000000-0008-0000-0700-00007D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34" name="Option Button 126" hidden="1">
                <a:extLst>
                  <a:ext uri="{63B3BB69-23CF-44E3-9099-C40C66FF867C}">
                    <a14:compatExt spid="_x0000_s196734"/>
                  </a:ext>
                  <a:ext uri="{FF2B5EF4-FFF2-40B4-BE49-F238E27FC236}">
                    <a16:creationId xmlns:a16="http://schemas.microsoft.com/office/drawing/2014/main" id="{00000000-0008-0000-0700-00007E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35" name="Option Button 127" hidden="1">
                <a:extLst>
                  <a:ext uri="{63B3BB69-23CF-44E3-9099-C40C66FF867C}">
                    <a14:compatExt spid="_x0000_s196735"/>
                  </a:ext>
                  <a:ext uri="{FF2B5EF4-FFF2-40B4-BE49-F238E27FC236}">
                    <a16:creationId xmlns:a16="http://schemas.microsoft.com/office/drawing/2014/main" id="{00000000-0008-0000-0700-00007F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36" name="Group Box 128" hidden="1">
                <a:extLst>
                  <a:ext uri="{63B3BB69-23CF-44E3-9099-C40C66FF867C}">
                    <a14:compatExt spid="_x0000_s196736"/>
                  </a:ext>
                  <a:ext uri="{FF2B5EF4-FFF2-40B4-BE49-F238E27FC236}">
                    <a16:creationId xmlns:a16="http://schemas.microsoft.com/office/drawing/2014/main" id="{00000000-0008-0000-0700-000080000300}"/>
                  </a:ext>
                </a:extLst>
              </xdr:cNvPr>
              <xdr:cNvSpPr/>
            </xdr:nvSpPr>
            <xdr:spPr bwMode="auto">
              <a:xfrm>
                <a:off x="2994715" y="2201915"/>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08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08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08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0</xdr:rowOff>
        </xdr:to>
        <xdr:grpSp>
          <xdr:nvGrpSpPr>
            <xdr:cNvPr id="57" name="Groupe 56">
              <a:extLst>
                <a:ext uri="{FF2B5EF4-FFF2-40B4-BE49-F238E27FC236}">
                  <a16:creationId xmlns:a16="http://schemas.microsoft.com/office/drawing/2014/main" id="{00000000-0008-0000-0800-000039000000}"/>
                </a:ext>
              </a:extLst>
            </xdr:cNvPr>
            <xdr:cNvGrpSpPr/>
          </xdr:nvGrpSpPr>
          <xdr:grpSpPr>
            <a:xfrm>
              <a:off x="3702844" y="58543034"/>
              <a:ext cx="1952625" cy="1643060"/>
              <a:chOff x="2995434" y="3846803"/>
              <a:chExt cx="1960181" cy="1644868"/>
            </a:xfrm>
          </xdr:grpSpPr>
          <xdr:sp macro="" textlink="">
            <xdr:nvSpPr>
              <xdr:cNvPr id="196737" name="Option Button 129" hidden="1">
                <a:extLst>
                  <a:ext uri="{63B3BB69-23CF-44E3-9099-C40C66FF867C}">
                    <a14:compatExt spid="_x0000_s196737"/>
                  </a:ext>
                  <a:ext uri="{FF2B5EF4-FFF2-40B4-BE49-F238E27FC236}">
                    <a16:creationId xmlns:a16="http://schemas.microsoft.com/office/drawing/2014/main" id="{00000000-0008-0000-0700-000081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38" name="Option Button 130" hidden="1">
                <a:extLst>
                  <a:ext uri="{63B3BB69-23CF-44E3-9099-C40C66FF867C}">
                    <a14:compatExt spid="_x0000_s196738"/>
                  </a:ext>
                  <a:ext uri="{FF2B5EF4-FFF2-40B4-BE49-F238E27FC236}">
                    <a16:creationId xmlns:a16="http://schemas.microsoft.com/office/drawing/2014/main" id="{00000000-0008-0000-0700-000082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39" name="Option Button 131" hidden="1">
                <a:extLst>
                  <a:ext uri="{63B3BB69-23CF-44E3-9099-C40C66FF867C}">
                    <a14:compatExt spid="_x0000_s196739"/>
                  </a:ext>
                  <a:ext uri="{FF2B5EF4-FFF2-40B4-BE49-F238E27FC236}">
                    <a16:creationId xmlns:a16="http://schemas.microsoft.com/office/drawing/2014/main" id="{00000000-0008-0000-0700-000083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40" name="Option Button 132" hidden="1">
                <a:extLst>
                  <a:ext uri="{63B3BB69-23CF-44E3-9099-C40C66FF867C}">
                    <a14:compatExt spid="_x0000_s196740"/>
                  </a:ext>
                  <a:ext uri="{FF2B5EF4-FFF2-40B4-BE49-F238E27FC236}">
                    <a16:creationId xmlns:a16="http://schemas.microsoft.com/office/drawing/2014/main" id="{00000000-0008-0000-0700-000084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41" name="Group Box 133" hidden="1">
                <a:extLst>
                  <a:ext uri="{63B3BB69-23CF-44E3-9099-C40C66FF867C}">
                    <a14:compatExt spid="_x0000_s196741"/>
                  </a:ext>
                  <a:ext uri="{FF2B5EF4-FFF2-40B4-BE49-F238E27FC236}">
                    <a16:creationId xmlns:a16="http://schemas.microsoft.com/office/drawing/2014/main" id="{00000000-0008-0000-0700-000085000300}"/>
                  </a:ext>
                </a:extLst>
              </xdr:cNvPr>
              <xdr:cNvSpPr/>
            </xdr:nvSpPr>
            <xdr:spPr bwMode="auto">
              <a:xfrm>
                <a:off x="2995434" y="3846803"/>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0800-00003A000000}"/>
                </a:ext>
              </a:extLst>
            </xdr:cNvPr>
            <xdr:cNvGrpSpPr/>
          </xdr:nvGrpSpPr>
          <xdr:grpSpPr>
            <a:xfrm>
              <a:off x="3706012" y="56899969"/>
              <a:ext cx="1949457" cy="1645120"/>
              <a:chOff x="2994664" y="2201927"/>
              <a:chExt cx="1960968" cy="1646926"/>
            </a:xfrm>
          </xdr:grpSpPr>
          <xdr:sp macro="" textlink="">
            <xdr:nvSpPr>
              <xdr:cNvPr id="196742" name="Option Button 134" descr="Case d'option 47" hidden="1">
                <a:extLst>
                  <a:ext uri="{63B3BB69-23CF-44E3-9099-C40C66FF867C}">
                    <a14:compatExt spid="_x0000_s196742"/>
                  </a:ext>
                  <a:ext uri="{FF2B5EF4-FFF2-40B4-BE49-F238E27FC236}">
                    <a16:creationId xmlns:a16="http://schemas.microsoft.com/office/drawing/2014/main" id="{00000000-0008-0000-0700-000086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43" name="Option Button 135" hidden="1">
                <a:extLst>
                  <a:ext uri="{63B3BB69-23CF-44E3-9099-C40C66FF867C}">
                    <a14:compatExt spid="_x0000_s196743"/>
                  </a:ext>
                  <a:ext uri="{FF2B5EF4-FFF2-40B4-BE49-F238E27FC236}">
                    <a16:creationId xmlns:a16="http://schemas.microsoft.com/office/drawing/2014/main" id="{00000000-0008-0000-0700-000087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44" name="Option Button 136" hidden="1">
                <a:extLst>
                  <a:ext uri="{63B3BB69-23CF-44E3-9099-C40C66FF867C}">
                    <a14:compatExt spid="_x0000_s196744"/>
                  </a:ext>
                  <a:ext uri="{FF2B5EF4-FFF2-40B4-BE49-F238E27FC236}">
                    <a16:creationId xmlns:a16="http://schemas.microsoft.com/office/drawing/2014/main" id="{00000000-0008-0000-0700-000088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45" name="Option Button 137" hidden="1">
                <a:extLst>
                  <a:ext uri="{63B3BB69-23CF-44E3-9099-C40C66FF867C}">
                    <a14:compatExt spid="_x0000_s196745"/>
                  </a:ext>
                  <a:ext uri="{FF2B5EF4-FFF2-40B4-BE49-F238E27FC236}">
                    <a16:creationId xmlns:a16="http://schemas.microsoft.com/office/drawing/2014/main" id="{00000000-0008-0000-0700-000089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46" name="Group Box 138" hidden="1">
                <a:extLst>
                  <a:ext uri="{63B3BB69-23CF-44E3-9099-C40C66FF867C}">
                    <a14:compatExt spid="_x0000_s196746"/>
                  </a:ext>
                  <a:ext uri="{FF2B5EF4-FFF2-40B4-BE49-F238E27FC236}">
                    <a16:creationId xmlns:a16="http://schemas.microsoft.com/office/drawing/2014/main" id="{00000000-0008-0000-0700-00008A000300}"/>
                  </a:ext>
                </a:extLst>
              </xdr:cNvPr>
              <xdr:cNvSpPr/>
            </xdr:nvSpPr>
            <xdr:spPr bwMode="auto">
              <a:xfrm>
                <a:off x="2994664" y="2201927"/>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0800-00003B000000}"/>
                </a:ext>
              </a:extLst>
            </xdr:cNvPr>
            <xdr:cNvGrpSpPr/>
          </xdr:nvGrpSpPr>
          <xdr:grpSpPr>
            <a:xfrm>
              <a:off x="3702844" y="55256906"/>
              <a:ext cx="1952625" cy="1643063"/>
              <a:chOff x="2994711" y="2201919"/>
              <a:chExt cx="1960969" cy="1646929"/>
            </a:xfrm>
          </xdr:grpSpPr>
          <xdr:sp macro="" textlink="">
            <xdr:nvSpPr>
              <xdr:cNvPr id="196747" name="Option Button 139" descr="Case d'option 47" hidden="1">
                <a:extLst>
                  <a:ext uri="{63B3BB69-23CF-44E3-9099-C40C66FF867C}">
                    <a14:compatExt spid="_x0000_s196747"/>
                  </a:ext>
                  <a:ext uri="{FF2B5EF4-FFF2-40B4-BE49-F238E27FC236}">
                    <a16:creationId xmlns:a16="http://schemas.microsoft.com/office/drawing/2014/main" id="{00000000-0008-0000-0700-00008B0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48" name="Option Button 140" hidden="1">
                <a:extLst>
                  <a:ext uri="{63B3BB69-23CF-44E3-9099-C40C66FF867C}">
                    <a14:compatExt spid="_x0000_s196748"/>
                  </a:ext>
                  <a:ext uri="{FF2B5EF4-FFF2-40B4-BE49-F238E27FC236}">
                    <a16:creationId xmlns:a16="http://schemas.microsoft.com/office/drawing/2014/main" id="{00000000-0008-0000-0700-00008C0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49" name="Option Button 141" hidden="1">
                <a:extLst>
                  <a:ext uri="{63B3BB69-23CF-44E3-9099-C40C66FF867C}">
                    <a14:compatExt spid="_x0000_s196749"/>
                  </a:ext>
                  <a:ext uri="{FF2B5EF4-FFF2-40B4-BE49-F238E27FC236}">
                    <a16:creationId xmlns:a16="http://schemas.microsoft.com/office/drawing/2014/main" id="{00000000-0008-0000-0700-00008D0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50" name="Option Button 142" hidden="1">
                <a:extLst>
                  <a:ext uri="{63B3BB69-23CF-44E3-9099-C40C66FF867C}">
                    <a14:compatExt spid="_x0000_s196750"/>
                  </a:ext>
                  <a:ext uri="{FF2B5EF4-FFF2-40B4-BE49-F238E27FC236}">
                    <a16:creationId xmlns:a16="http://schemas.microsoft.com/office/drawing/2014/main" id="{00000000-0008-0000-0700-00008E0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51" name="Group Box 143" hidden="1">
                <a:extLst>
                  <a:ext uri="{63B3BB69-23CF-44E3-9099-C40C66FF867C}">
                    <a14:compatExt spid="_x0000_s196751"/>
                  </a:ext>
                  <a:ext uri="{FF2B5EF4-FFF2-40B4-BE49-F238E27FC236}">
                    <a16:creationId xmlns:a16="http://schemas.microsoft.com/office/drawing/2014/main" id="{00000000-0008-0000-0700-00008F000300}"/>
                  </a:ext>
                </a:extLst>
              </xdr:cNvPr>
              <xdr:cNvSpPr/>
            </xdr:nvSpPr>
            <xdr:spPr bwMode="auto">
              <a:xfrm>
                <a:off x="2994711" y="2201919"/>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196752" name="Group Box 144" hidden="1">
              <a:extLst>
                <a:ext uri="{63B3BB69-23CF-44E3-9099-C40C66FF867C}">
                  <a14:compatExt spid="_x0000_s196752"/>
                </a:ext>
                <a:ext uri="{FF2B5EF4-FFF2-40B4-BE49-F238E27FC236}">
                  <a16:creationId xmlns:a16="http://schemas.microsoft.com/office/drawing/2014/main" id="{00000000-0008-0000-0700-0000900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08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08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08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08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196753" name="Ellipse 196752">
          <a:extLst>
            <a:ext uri="{FF2B5EF4-FFF2-40B4-BE49-F238E27FC236}">
              <a16:creationId xmlns:a16="http://schemas.microsoft.com/office/drawing/2014/main" id="{00000000-0008-0000-0800-0000910003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196754" name="Groupe 196753">
              <a:extLst>
                <a:ext uri="{FF2B5EF4-FFF2-40B4-BE49-F238E27FC236}">
                  <a16:creationId xmlns:a16="http://schemas.microsoft.com/office/drawing/2014/main" id="{00000000-0008-0000-0800-000092000300}"/>
                </a:ext>
              </a:extLst>
            </xdr:cNvPr>
            <xdr:cNvGrpSpPr/>
          </xdr:nvGrpSpPr>
          <xdr:grpSpPr>
            <a:xfrm>
              <a:off x="3702844" y="17156906"/>
              <a:ext cx="1952625" cy="1643063"/>
              <a:chOff x="2995434" y="3846784"/>
              <a:chExt cx="1960181" cy="1644870"/>
            </a:xfrm>
          </xdr:grpSpPr>
          <xdr:sp macro="" textlink="">
            <xdr:nvSpPr>
              <xdr:cNvPr id="196755" name="Option Button 145" hidden="1">
                <a:extLst>
                  <a:ext uri="{63B3BB69-23CF-44E3-9099-C40C66FF867C}">
                    <a14:compatExt spid="_x0000_s196753"/>
                  </a:ext>
                  <a:ext uri="{FF2B5EF4-FFF2-40B4-BE49-F238E27FC236}">
                    <a16:creationId xmlns:a16="http://schemas.microsoft.com/office/drawing/2014/main" id="{00000000-0008-0000-0700-0000930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96756" name="Option Button 146" hidden="1">
                <a:extLst>
                  <a:ext uri="{63B3BB69-23CF-44E3-9099-C40C66FF867C}">
                    <a14:compatExt spid="_x0000_s196754"/>
                  </a:ext>
                  <a:ext uri="{FF2B5EF4-FFF2-40B4-BE49-F238E27FC236}">
                    <a16:creationId xmlns:a16="http://schemas.microsoft.com/office/drawing/2014/main" id="{00000000-0008-0000-0700-0000940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196757" name="Option Button 147" hidden="1">
                <a:extLst>
                  <a:ext uri="{63B3BB69-23CF-44E3-9099-C40C66FF867C}">
                    <a14:compatExt spid="_x0000_s196755"/>
                  </a:ext>
                  <a:ext uri="{FF2B5EF4-FFF2-40B4-BE49-F238E27FC236}">
                    <a16:creationId xmlns:a16="http://schemas.microsoft.com/office/drawing/2014/main" id="{00000000-0008-0000-0700-0000950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196758" name="Option Button 148" hidden="1">
                <a:extLst>
                  <a:ext uri="{63B3BB69-23CF-44E3-9099-C40C66FF867C}">
                    <a14:compatExt spid="_x0000_s196756"/>
                  </a:ext>
                  <a:ext uri="{FF2B5EF4-FFF2-40B4-BE49-F238E27FC236}">
                    <a16:creationId xmlns:a16="http://schemas.microsoft.com/office/drawing/2014/main" id="{00000000-0008-0000-0700-0000960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196759" name="Group Box 149" hidden="1">
                <a:extLst>
                  <a:ext uri="{63B3BB69-23CF-44E3-9099-C40C66FF867C}">
                    <a14:compatExt spid="_x0000_s196757"/>
                  </a:ext>
                  <a:ext uri="{FF2B5EF4-FFF2-40B4-BE49-F238E27FC236}">
                    <a16:creationId xmlns:a16="http://schemas.microsoft.com/office/drawing/2014/main" id="{00000000-0008-0000-0700-000097000300}"/>
                  </a:ext>
                </a:extLst>
              </xdr:cNvPr>
              <xdr:cNvSpPr/>
            </xdr:nvSpPr>
            <xdr:spPr bwMode="auto">
              <a:xfrm>
                <a:off x="2995434" y="3846784"/>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196760" name="ZoneTexte 1">
          <a:extLst>
            <a:ext uri="{FF2B5EF4-FFF2-40B4-BE49-F238E27FC236}">
              <a16:creationId xmlns:a16="http://schemas.microsoft.com/office/drawing/2014/main" id="{00000000-0008-0000-0800-0000980003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196761" name="ZoneTexte 1">
          <a:extLst>
            <a:ext uri="{FF2B5EF4-FFF2-40B4-BE49-F238E27FC236}">
              <a16:creationId xmlns:a16="http://schemas.microsoft.com/office/drawing/2014/main" id="{00000000-0008-0000-0800-0000990003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196768" name="ZoneTexte 1">
          <a:extLst>
            <a:ext uri="{FF2B5EF4-FFF2-40B4-BE49-F238E27FC236}">
              <a16:creationId xmlns:a16="http://schemas.microsoft.com/office/drawing/2014/main" id="{00000000-0008-0000-0800-0000A00003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48</xdr:row>
      <xdr:rowOff>22859</xdr:rowOff>
    </xdr:from>
    <xdr:to>
      <xdr:col>9</xdr:col>
      <xdr:colOff>4572000</xdr:colOff>
      <xdr:row>49</xdr:row>
      <xdr:rowOff>0</xdr:rowOff>
    </xdr:to>
    <xdr:sp macro="" textlink="" fLocksText="0">
      <xdr:nvSpPr>
        <xdr:cNvPr id="196775" name="ZoneTexte 1">
          <a:extLst>
            <a:ext uri="{FF2B5EF4-FFF2-40B4-BE49-F238E27FC236}">
              <a16:creationId xmlns:a16="http://schemas.microsoft.com/office/drawing/2014/main" id="{00000000-0008-0000-0800-0000A70003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196776" name="ZoneTexte 1">
          <a:extLst>
            <a:ext uri="{FF2B5EF4-FFF2-40B4-BE49-F238E27FC236}">
              <a16:creationId xmlns:a16="http://schemas.microsoft.com/office/drawing/2014/main" id="{00000000-0008-0000-0800-0000A80003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36194</xdr:colOff>
      <xdr:row>12</xdr:row>
      <xdr:rowOff>64770</xdr:rowOff>
    </xdr:from>
    <xdr:to>
      <xdr:col>9</xdr:col>
      <xdr:colOff>4508173</xdr:colOff>
      <xdr:row>12</xdr:row>
      <xdr:rowOff>1619250</xdr:rowOff>
    </xdr:to>
    <xdr:sp macro="" textlink="" fLocksText="0">
      <xdr:nvSpPr>
        <xdr:cNvPr id="196762" name="ZoneTexte 196761">
          <a:extLst>
            <a:ext uri="{FF2B5EF4-FFF2-40B4-BE49-F238E27FC236}">
              <a16:creationId xmlns:a16="http://schemas.microsoft.com/office/drawing/2014/main" id="{B0234D11-59DC-4349-92BF-78D606A5C400}"/>
            </a:ext>
          </a:extLst>
        </xdr:cNvPr>
        <xdr:cNvSpPr txBox="1">
          <a:spLocks noChangeArrowheads="1"/>
        </xdr:cNvSpPr>
      </xdr:nvSpPr>
      <xdr:spPr bwMode="auto">
        <a:xfrm>
          <a:off x="6906100" y="5065395"/>
          <a:ext cx="4471979" cy="155448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59530</xdr:colOff>
      <xdr:row>28</xdr:row>
      <xdr:rowOff>47624</xdr:rowOff>
    </xdr:from>
    <xdr:to>
      <xdr:col>9</xdr:col>
      <xdr:colOff>4531509</xdr:colOff>
      <xdr:row>28</xdr:row>
      <xdr:rowOff>1602104</xdr:rowOff>
    </xdr:to>
    <xdr:sp macro="" textlink="" fLocksText="0">
      <xdr:nvSpPr>
        <xdr:cNvPr id="196763" name="ZoneTexte 196762">
          <a:extLst>
            <a:ext uri="{FF2B5EF4-FFF2-40B4-BE49-F238E27FC236}">
              <a16:creationId xmlns:a16="http://schemas.microsoft.com/office/drawing/2014/main" id="{A4E420C8-D149-465F-A72D-DDBC74D6E5B8}"/>
            </a:ext>
          </a:extLst>
        </xdr:cNvPr>
        <xdr:cNvSpPr txBox="1">
          <a:spLocks noChangeArrowheads="1"/>
        </xdr:cNvSpPr>
      </xdr:nvSpPr>
      <xdr:spPr bwMode="auto">
        <a:xfrm>
          <a:off x="6929436" y="18847593"/>
          <a:ext cx="4471979" cy="155448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59530</xdr:colOff>
      <xdr:row>44</xdr:row>
      <xdr:rowOff>95255</xdr:rowOff>
    </xdr:from>
    <xdr:to>
      <xdr:col>9</xdr:col>
      <xdr:colOff>4531509</xdr:colOff>
      <xdr:row>44</xdr:row>
      <xdr:rowOff>1649735</xdr:rowOff>
    </xdr:to>
    <xdr:sp macro="" textlink="" fLocksText="0">
      <xdr:nvSpPr>
        <xdr:cNvPr id="196764" name="ZoneTexte 196763">
          <a:extLst>
            <a:ext uri="{FF2B5EF4-FFF2-40B4-BE49-F238E27FC236}">
              <a16:creationId xmlns:a16="http://schemas.microsoft.com/office/drawing/2014/main" id="{435A7CC7-D39A-4EB9-B496-42FA2F0E8E88}"/>
            </a:ext>
          </a:extLst>
        </xdr:cNvPr>
        <xdr:cNvSpPr txBox="1">
          <a:spLocks noChangeArrowheads="1"/>
        </xdr:cNvSpPr>
      </xdr:nvSpPr>
      <xdr:spPr bwMode="auto">
        <a:xfrm>
          <a:off x="6929436" y="32539786"/>
          <a:ext cx="4471979" cy="155448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47624</xdr:colOff>
      <xdr:row>60</xdr:row>
      <xdr:rowOff>35718</xdr:rowOff>
    </xdr:from>
    <xdr:to>
      <xdr:col>9</xdr:col>
      <xdr:colOff>4519603</xdr:colOff>
      <xdr:row>60</xdr:row>
      <xdr:rowOff>1590198</xdr:rowOff>
    </xdr:to>
    <xdr:sp macro="" textlink="" fLocksText="0">
      <xdr:nvSpPr>
        <xdr:cNvPr id="196765" name="ZoneTexte 196764">
          <a:extLst>
            <a:ext uri="{FF2B5EF4-FFF2-40B4-BE49-F238E27FC236}">
              <a16:creationId xmlns:a16="http://schemas.microsoft.com/office/drawing/2014/main" id="{C4CF0B84-2528-41B7-9CDE-CE5359B4A915}"/>
            </a:ext>
          </a:extLst>
        </xdr:cNvPr>
        <xdr:cNvSpPr txBox="1">
          <a:spLocks noChangeArrowheads="1"/>
        </xdr:cNvSpPr>
      </xdr:nvSpPr>
      <xdr:spPr bwMode="auto">
        <a:xfrm>
          <a:off x="6917530" y="41338499"/>
          <a:ext cx="4471979" cy="155448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71436</xdr:colOff>
      <xdr:row>78</xdr:row>
      <xdr:rowOff>35718</xdr:rowOff>
    </xdr:from>
    <xdr:to>
      <xdr:col>9</xdr:col>
      <xdr:colOff>4543415</xdr:colOff>
      <xdr:row>78</xdr:row>
      <xdr:rowOff>1590198</xdr:rowOff>
    </xdr:to>
    <xdr:sp macro="" textlink="" fLocksText="0">
      <xdr:nvSpPr>
        <xdr:cNvPr id="196766" name="ZoneTexte 196765">
          <a:extLst>
            <a:ext uri="{FF2B5EF4-FFF2-40B4-BE49-F238E27FC236}">
              <a16:creationId xmlns:a16="http://schemas.microsoft.com/office/drawing/2014/main" id="{AA174AA8-D9D4-427B-9A6F-650E374F04A6}"/>
            </a:ext>
          </a:extLst>
        </xdr:cNvPr>
        <xdr:cNvSpPr txBox="1">
          <a:spLocks noChangeArrowheads="1"/>
        </xdr:cNvSpPr>
      </xdr:nvSpPr>
      <xdr:spPr bwMode="auto">
        <a:xfrm>
          <a:off x="6941342" y="53649562"/>
          <a:ext cx="4471979" cy="155448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1047750</xdr:colOff>
      <xdr:row>21</xdr:row>
      <xdr:rowOff>79375</xdr:rowOff>
    </xdr:from>
    <xdr:to>
      <xdr:col>6</xdr:col>
      <xdr:colOff>4111625</xdr:colOff>
      <xdr:row>22</xdr:row>
      <xdr:rowOff>111125</xdr:rowOff>
    </xdr:to>
    <xdr:sp macro="[0]!CalculMaturiteVF" textlink="">
      <xdr:nvSpPr>
        <xdr:cNvPr id="4" name="Rectangle : coins arrondis 3">
          <a:extLst>
            <a:ext uri="{FF2B5EF4-FFF2-40B4-BE49-F238E27FC236}">
              <a16:creationId xmlns:a16="http://schemas.microsoft.com/office/drawing/2014/main" id="{00000000-0008-0000-0900-000004000000}"/>
            </a:ext>
          </a:extLst>
        </xdr:cNvPr>
        <xdr:cNvSpPr/>
      </xdr:nvSpPr>
      <xdr:spPr>
        <a:xfrm>
          <a:off x="3603625" y="8366125"/>
          <a:ext cx="3063875" cy="666750"/>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0A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0A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0A00-000005000000}"/>
                </a:ext>
              </a:extLst>
            </xdr:cNvPr>
            <xdr:cNvGrpSpPr/>
          </xdr:nvGrpSpPr>
          <xdr:grpSpPr>
            <a:xfrm>
              <a:off x="3706091" y="5045364"/>
              <a:ext cx="1962727" cy="1651000"/>
              <a:chOff x="2995436" y="3846794"/>
              <a:chExt cx="1960181" cy="1644870"/>
            </a:xfrm>
          </xdr:grpSpPr>
          <xdr:sp macro="" textlink="">
            <xdr:nvSpPr>
              <xdr:cNvPr id="240641" name="Option Button 1" hidden="1">
                <a:extLst>
                  <a:ext uri="{63B3BB69-23CF-44E3-9099-C40C66FF867C}">
                    <a14:compatExt spid="_x0000_s240641"/>
                  </a:ext>
                  <a:ext uri="{FF2B5EF4-FFF2-40B4-BE49-F238E27FC236}">
                    <a16:creationId xmlns:a16="http://schemas.microsoft.com/office/drawing/2014/main" id="{00000000-0008-0000-0900-000001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642" name="Option Button 2" hidden="1">
                <a:extLst>
                  <a:ext uri="{63B3BB69-23CF-44E3-9099-C40C66FF867C}">
                    <a14:compatExt spid="_x0000_s240642"/>
                  </a:ext>
                  <a:ext uri="{FF2B5EF4-FFF2-40B4-BE49-F238E27FC236}">
                    <a16:creationId xmlns:a16="http://schemas.microsoft.com/office/drawing/2014/main" id="{00000000-0008-0000-0900-000002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643" name="Option Button 3" hidden="1">
                <a:extLst>
                  <a:ext uri="{63B3BB69-23CF-44E3-9099-C40C66FF867C}">
                    <a14:compatExt spid="_x0000_s240643"/>
                  </a:ext>
                  <a:ext uri="{FF2B5EF4-FFF2-40B4-BE49-F238E27FC236}">
                    <a16:creationId xmlns:a16="http://schemas.microsoft.com/office/drawing/2014/main" id="{00000000-0008-0000-0900-000003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644" name="Option Button 4" hidden="1">
                <a:extLst>
                  <a:ext uri="{63B3BB69-23CF-44E3-9099-C40C66FF867C}">
                    <a14:compatExt spid="_x0000_s240644"/>
                  </a:ext>
                  <a:ext uri="{FF2B5EF4-FFF2-40B4-BE49-F238E27FC236}">
                    <a16:creationId xmlns:a16="http://schemas.microsoft.com/office/drawing/2014/main" id="{00000000-0008-0000-0900-000004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645" name="Group Box 5" hidden="1">
                <a:extLst>
                  <a:ext uri="{63B3BB69-23CF-44E3-9099-C40C66FF867C}">
                    <a14:compatExt spid="_x0000_s240645"/>
                  </a:ext>
                  <a:ext uri="{FF2B5EF4-FFF2-40B4-BE49-F238E27FC236}">
                    <a16:creationId xmlns:a16="http://schemas.microsoft.com/office/drawing/2014/main" id="{00000000-0008-0000-0900-000005AC0300}"/>
                  </a:ext>
                </a:extLst>
              </xdr:cNvPr>
              <xdr:cNvSpPr/>
            </xdr:nvSpPr>
            <xdr:spPr bwMode="auto">
              <a:xfrm>
                <a:off x="2995436" y="3846794"/>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0A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0A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0A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0A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0A00-00000A000000}"/>
                </a:ext>
              </a:extLst>
            </xdr:cNvPr>
            <xdr:cNvGrpSpPr/>
          </xdr:nvGrpSpPr>
          <xdr:grpSpPr>
            <a:xfrm>
              <a:off x="3706091" y="3394366"/>
              <a:ext cx="1964316" cy="1653056"/>
              <a:chOff x="3693195" y="3303814"/>
              <a:chExt cx="1959430" cy="1648422"/>
            </a:xfrm>
          </xdr:grpSpPr>
          <xdr:sp macro="" textlink="">
            <xdr:nvSpPr>
              <xdr:cNvPr id="240647" name="Group Box 7" hidden="1">
                <a:extLst>
                  <a:ext uri="{63B3BB69-23CF-44E3-9099-C40C66FF867C}">
                    <a14:compatExt spid="_x0000_s240647"/>
                  </a:ext>
                  <a:ext uri="{FF2B5EF4-FFF2-40B4-BE49-F238E27FC236}">
                    <a16:creationId xmlns:a16="http://schemas.microsoft.com/office/drawing/2014/main" id="{00000000-0008-0000-0900-000007AC0300}"/>
                  </a:ext>
                </a:extLst>
              </xdr:cNvPr>
              <xdr:cNvSpPr/>
            </xdr:nvSpPr>
            <xdr:spPr bwMode="auto">
              <a:xfrm>
                <a:off x="3693195" y="3303814"/>
                <a:ext cx="1959426" cy="1648422"/>
              </a:xfrm>
              <a:prstGeom prst="rect">
                <a:avLst/>
              </a:prstGeom>
              <a:noFill/>
              <a:ln w="9525">
                <a:miter lim="800000"/>
                <a:headEnd/>
                <a:tailEnd/>
              </a:ln>
              <a:extLst>
                <a:ext uri="{909E8E84-426E-40DD-AFC4-6F175D3DCCD1}">
                  <a14:hiddenFill>
                    <a:noFill/>
                  </a14:hiddenFill>
                </a:ext>
              </a:extLst>
            </xdr:spPr>
          </xdr:sp>
          <xdr:sp macro="" textlink="">
            <xdr:nvSpPr>
              <xdr:cNvPr id="240648" name="Option Button 8" descr="Case d'option 47" hidden="1">
                <a:extLst>
                  <a:ext uri="{63B3BB69-23CF-44E3-9099-C40C66FF867C}">
                    <a14:compatExt spid="_x0000_s240648"/>
                  </a:ext>
                  <a:ext uri="{FF2B5EF4-FFF2-40B4-BE49-F238E27FC236}">
                    <a16:creationId xmlns:a16="http://schemas.microsoft.com/office/drawing/2014/main" id="{00000000-0008-0000-0900-000008AC03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649" name="Option Button 9" hidden="1">
                <a:extLst>
                  <a:ext uri="{63B3BB69-23CF-44E3-9099-C40C66FF867C}">
                    <a14:compatExt spid="_x0000_s240649"/>
                  </a:ext>
                  <a:ext uri="{FF2B5EF4-FFF2-40B4-BE49-F238E27FC236}">
                    <a16:creationId xmlns:a16="http://schemas.microsoft.com/office/drawing/2014/main" id="{00000000-0008-0000-0900-000009AC03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650" name="Option Button 10" hidden="1">
                <a:extLst>
                  <a:ext uri="{63B3BB69-23CF-44E3-9099-C40C66FF867C}">
                    <a14:compatExt spid="_x0000_s240650"/>
                  </a:ext>
                  <a:ext uri="{FF2B5EF4-FFF2-40B4-BE49-F238E27FC236}">
                    <a16:creationId xmlns:a16="http://schemas.microsoft.com/office/drawing/2014/main" id="{00000000-0008-0000-0900-00000AAC03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651" name="Option Button 11" hidden="1">
                <a:extLst>
                  <a:ext uri="{63B3BB69-23CF-44E3-9099-C40C66FF867C}">
                    <a14:compatExt spid="_x0000_s240651"/>
                  </a:ext>
                  <a:ext uri="{FF2B5EF4-FFF2-40B4-BE49-F238E27FC236}">
                    <a16:creationId xmlns:a16="http://schemas.microsoft.com/office/drawing/2014/main" id="{00000000-0008-0000-0900-00000BAC03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0A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0A00-000012000000}"/>
                </a:ext>
              </a:extLst>
            </xdr:cNvPr>
            <xdr:cNvGrpSpPr/>
          </xdr:nvGrpSpPr>
          <xdr:grpSpPr>
            <a:xfrm>
              <a:off x="3706091" y="10517909"/>
              <a:ext cx="1962727" cy="1651000"/>
              <a:chOff x="2995436" y="3846803"/>
              <a:chExt cx="1960181" cy="1644871"/>
            </a:xfrm>
          </xdr:grpSpPr>
          <xdr:sp macro="" textlink="">
            <xdr:nvSpPr>
              <xdr:cNvPr id="240677" name="Option Button 37" hidden="1">
                <a:extLst>
                  <a:ext uri="{63B3BB69-23CF-44E3-9099-C40C66FF867C}">
                    <a14:compatExt spid="_x0000_s240677"/>
                  </a:ext>
                  <a:ext uri="{FF2B5EF4-FFF2-40B4-BE49-F238E27FC236}">
                    <a16:creationId xmlns:a16="http://schemas.microsoft.com/office/drawing/2014/main" id="{00000000-0008-0000-0900-000025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678" name="Option Button 38" hidden="1">
                <a:extLst>
                  <a:ext uri="{63B3BB69-23CF-44E3-9099-C40C66FF867C}">
                    <a14:compatExt spid="_x0000_s240678"/>
                  </a:ext>
                  <a:ext uri="{FF2B5EF4-FFF2-40B4-BE49-F238E27FC236}">
                    <a16:creationId xmlns:a16="http://schemas.microsoft.com/office/drawing/2014/main" id="{00000000-0008-0000-0900-000026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679" name="Option Button 39" hidden="1">
                <a:extLst>
                  <a:ext uri="{63B3BB69-23CF-44E3-9099-C40C66FF867C}">
                    <a14:compatExt spid="_x0000_s240679"/>
                  </a:ext>
                  <a:ext uri="{FF2B5EF4-FFF2-40B4-BE49-F238E27FC236}">
                    <a16:creationId xmlns:a16="http://schemas.microsoft.com/office/drawing/2014/main" id="{00000000-0008-0000-0900-000027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680" name="Option Button 40" hidden="1">
                <a:extLst>
                  <a:ext uri="{63B3BB69-23CF-44E3-9099-C40C66FF867C}">
                    <a14:compatExt spid="_x0000_s240680"/>
                  </a:ext>
                  <a:ext uri="{FF2B5EF4-FFF2-40B4-BE49-F238E27FC236}">
                    <a16:creationId xmlns:a16="http://schemas.microsoft.com/office/drawing/2014/main" id="{00000000-0008-0000-0900-000028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681" name="Group Box 41" hidden="1">
                <a:extLst>
                  <a:ext uri="{63B3BB69-23CF-44E3-9099-C40C66FF867C}">
                    <a14:compatExt spid="_x0000_s240681"/>
                  </a:ext>
                  <a:ext uri="{FF2B5EF4-FFF2-40B4-BE49-F238E27FC236}">
                    <a16:creationId xmlns:a16="http://schemas.microsoft.com/office/drawing/2014/main" id="{00000000-0008-0000-0900-000029AC0300}"/>
                  </a:ext>
                </a:extLst>
              </xdr:cNvPr>
              <xdr:cNvSpPr/>
            </xdr:nvSpPr>
            <xdr:spPr bwMode="auto">
              <a:xfrm>
                <a:off x="2995436" y="3846803"/>
                <a:ext cx="1960181" cy="164487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0A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0A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0A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0A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0A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0A00-000019000000}"/>
                </a:ext>
              </a:extLst>
            </xdr:cNvPr>
            <xdr:cNvGrpSpPr/>
          </xdr:nvGrpSpPr>
          <xdr:grpSpPr>
            <a:xfrm>
              <a:off x="3707548" y="17537545"/>
              <a:ext cx="1961871" cy="1651000"/>
              <a:chOff x="2994671" y="2201911"/>
              <a:chExt cx="1960968" cy="1646924"/>
            </a:xfrm>
          </xdr:grpSpPr>
          <xdr:sp macro="" textlink="">
            <xdr:nvSpPr>
              <xdr:cNvPr id="240688" name="Option Button 48" descr="Case d'option 47" hidden="1">
                <a:extLst>
                  <a:ext uri="{63B3BB69-23CF-44E3-9099-C40C66FF867C}">
                    <a14:compatExt spid="_x0000_s240688"/>
                  </a:ext>
                  <a:ext uri="{FF2B5EF4-FFF2-40B4-BE49-F238E27FC236}">
                    <a16:creationId xmlns:a16="http://schemas.microsoft.com/office/drawing/2014/main" id="{00000000-0008-0000-0900-000030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689" name="Option Button 49" hidden="1">
                <a:extLst>
                  <a:ext uri="{63B3BB69-23CF-44E3-9099-C40C66FF867C}">
                    <a14:compatExt spid="_x0000_s240689"/>
                  </a:ext>
                  <a:ext uri="{FF2B5EF4-FFF2-40B4-BE49-F238E27FC236}">
                    <a16:creationId xmlns:a16="http://schemas.microsoft.com/office/drawing/2014/main" id="{00000000-0008-0000-0900-000031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690" name="Option Button 50" hidden="1">
                <a:extLst>
                  <a:ext uri="{63B3BB69-23CF-44E3-9099-C40C66FF867C}">
                    <a14:compatExt spid="_x0000_s240690"/>
                  </a:ext>
                  <a:ext uri="{FF2B5EF4-FFF2-40B4-BE49-F238E27FC236}">
                    <a16:creationId xmlns:a16="http://schemas.microsoft.com/office/drawing/2014/main" id="{00000000-0008-0000-0900-000032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691" name="Option Button 51" hidden="1">
                <a:extLst>
                  <a:ext uri="{63B3BB69-23CF-44E3-9099-C40C66FF867C}">
                    <a14:compatExt spid="_x0000_s240691"/>
                  </a:ext>
                  <a:ext uri="{FF2B5EF4-FFF2-40B4-BE49-F238E27FC236}">
                    <a16:creationId xmlns:a16="http://schemas.microsoft.com/office/drawing/2014/main" id="{00000000-0008-0000-0900-000033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692" name="Group Box 52" hidden="1">
                <a:extLst>
                  <a:ext uri="{63B3BB69-23CF-44E3-9099-C40C66FF867C}">
                    <a14:compatExt spid="_x0000_s240692"/>
                  </a:ext>
                  <a:ext uri="{FF2B5EF4-FFF2-40B4-BE49-F238E27FC236}">
                    <a16:creationId xmlns:a16="http://schemas.microsoft.com/office/drawing/2014/main" id="{00000000-0008-0000-0900-000034AC0300}"/>
                  </a:ext>
                </a:extLst>
              </xdr:cNvPr>
              <xdr:cNvSpPr/>
            </xdr:nvSpPr>
            <xdr:spPr bwMode="auto">
              <a:xfrm>
                <a:off x="2994671" y="2201911"/>
                <a:ext cx="196096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0A00-00001A000000}"/>
                </a:ext>
              </a:extLst>
            </xdr:cNvPr>
            <xdr:cNvGrpSpPr/>
          </xdr:nvGrpSpPr>
          <xdr:grpSpPr>
            <a:xfrm>
              <a:off x="3706091" y="15886548"/>
              <a:ext cx="1962727" cy="1651000"/>
              <a:chOff x="2995436" y="3846781"/>
              <a:chExt cx="1960181" cy="1644869"/>
            </a:xfrm>
          </xdr:grpSpPr>
          <xdr:sp macro="" textlink="">
            <xdr:nvSpPr>
              <xdr:cNvPr id="240693" name="Option Button 53" hidden="1">
                <a:extLst>
                  <a:ext uri="{63B3BB69-23CF-44E3-9099-C40C66FF867C}">
                    <a14:compatExt spid="_x0000_s240693"/>
                  </a:ext>
                  <a:ext uri="{FF2B5EF4-FFF2-40B4-BE49-F238E27FC236}">
                    <a16:creationId xmlns:a16="http://schemas.microsoft.com/office/drawing/2014/main" id="{00000000-0008-0000-0900-000035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694" name="Option Button 54" hidden="1">
                <a:extLst>
                  <a:ext uri="{63B3BB69-23CF-44E3-9099-C40C66FF867C}">
                    <a14:compatExt spid="_x0000_s240694"/>
                  </a:ext>
                  <a:ext uri="{FF2B5EF4-FFF2-40B4-BE49-F238E27FC236}">
                    <a16:creationId xmlns:a16="http://schemas.microsoft.com/office/drawing/2014/main" id="{00000000-0008-0000-0900-000036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695" name="Option Button 55" hidden="1">
                <a:extLst>
                  <a:ext uri="{63B3BB69-23CF-44E3-9099-C40C66FF867C}">
                    <a14:compatExt spid="_x0000_s240695"/>
                  </a:ext>
                  <a:ext uri="{FF2B5EF4-FFF2-40B4-BE49-F238E27FC236}">
                    <a16:creationId xmlns:a16="http://schemas.microsoft.com/office/drawing/2014/main" id="{00000000-0008-0000-0900-000037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696" name="Option Button 56" hidden="1">
                <a:extLst>
                  <a:ext uri="{63B3BB69-23CF-44E3-9099-C40C66FF867C}">
                    <a14:compatExt spid="_x0000_s240696"/>
                  </a:ext>
                  <a:ext uri="{FF2B5EF4-FFF2-40B4-BE49-F238E27FC236}">
                    <a16:creationId xmlns:a16="http://schemas.microsoft.com/office/drawing/2014/main" id="{00000000-0008-0000-0900-000038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697" name="Group Box 57" hidden="1">
                <a:extLst>
                  <a:ext uri="{63B3BB69-23CF-44E3-9099-C40C66FF867C}">
                    <a14:compatExt spid="_x0000_s240697"/>
                  </a:ext>
                  <a:ext uri="{FF2B5EF4-FFF2-40B4-BE49-F238E27FC236}">
                    <a16:creationId xmlns:a16="http://schemas.microsoft.com/office/drawing/2014/main" id="{00000000-0008-0000-0900-000039AC0300}"/>
                  </a:ext>
                </a:extLst>
              </xdr:cNvPr>
              <xdr:cNvSpPr/>
            </xdr:nvSpPr>
            <xdr:spPr bwMode="auto">
              <a:xfrm>
                <a:off x="2995436" y="3846781"/>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8</xdr:col>
          <xdr:colOff>66260</xdr:colOff>
          <xdr:row>31</xdr:row>
          <xdr:rowOff>2058</xdr:rowOff>
        </xdr:to>
        <xdr:grpSp>
          <xdr:nvGrpSpPr>
            <xdr:cNvPr id="27" name="Groupe 26">
              <a:extLst>
                <a:ext uri="{FF2B5EF4-FFF2-40B4-BE49-F238E27FC236}">
                  <a16:creationId xmlns:a16="http://schemas.microsoft.com/office/drawing/2014/main" id="{00000000-0008-0000-0A00-00001B000000}"/>
                </a:ext>
              </a:extLst>
            </xdr:cNvPr>
            <xdr:cNvGrpSpPr/>
          </xdr:nvGrpSpPr>
          <xdr:grpSpPr>
            <a:xfrm>
              <a:off x="3706651" y="14235852"/>
              <a:ext cx="2028427" cy="1652751"/>
              <a:chOff x="2994659" y="2201919"/>
              <a:chExt cx="1960969" cy="1646924"/>
            </a:xfrm>
          </xdr:grpSpPr>
          <xdr:sp macro="" textlink="">
            <xdr:nvSpPr>
              <xdr:cNvPr id="240698" name="Option Button 58" descr="Case d'option 47" hidden="1">
                <a:extLst>
                  <a:ext uri="{63B3BB69-23CF-44E3-9099-C40C66FF867C}">
                    <a14:compatExt spid="_x0000_s240698"/>
                  </a:ext>
                  <a:ext uri="{FF2B5EF4-FFF2-40B4-BE49-F238E27FC236}">
                    <a16:creationId xmlns:a16="http://schemas.microsoft.com/office/drawing/2014/main" id="{00000000-0008-0000-0900-00003AAC03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699" name="Option Button 59" hidden="1">
                <a:extLst>
                  <a:ext uri="{63B3BB69-23CF-44E3-9099-C40C66FF867C}">
                    <a14:compatExt spid="_x0000_s240699"/>
                  </a:ext>
                  <a:ext uri="{FF2B5EF4-FFF2-40B4-BE49-F238E27FC236}">
                    <a16:creationId xmlns:a16="http://schemas.microsoft.com/office/drawing/2014/main" id="{00000000-0008-0000-0900-00003B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00" name="Option Button 60" hidden="1">
                <a:extLst>
                  <a:ext uri="{63B3BB69-23CF-44E3-9099-C40C66FF867C}">
                    <a14:compatExt spid="_x0000_s240700"/>
                  </a:ext>
                  <a:ext uri="{FF2B5EF4-FFF2-40B4-BE49-F238E27FC236}">
                    <a16:creationId xmlns:a16="http://schemas.microsoft.com/office/drawing/2014/main" id="{00000000-0008-0000-0900-00003C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01" name="Option Button 61" hidden="1">
                <a:extLst>
                  <a:ext uri="{63B3BB69-23CF-44E3-9099-C40C66FF867C}">
                    <a14:compatExt spid="_x0000_s240701"/>
                  </a:ext>
                  <a:ext uri="{FF2B5EF4-FFF2-40B4-BE49-F238E27FC236}">
                    <a16:creationId xmlns:a16="http://schemas.microsoft.com/office/drawing/2014/main" id="{00000000-0008-0000-0900-00003DAC0300}"/>
                  </a:ext>
                </a:extLst>
              </xdr:cNvPr>
              <xdr:cNvSpPr/>
            </xdr:nvSpPr>
            <xdr:spPr bwMode="auto">
              <a:xfrm>
                <a:off x="3102128" y="3024876"/>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02" name="Group Box 62" hidden="1">
                <a:extLst>
                  <a:ext uri="{63B3BB69-23CF-44E3-9099-C40C66FF867C}">
                    <a14:compatExt spid="_x0000_s240702"/>
                  </a:ext>
                  <a:ext uri="{FF2B5EF4-FFF2-40B4-BE49-F238E27FC236}">
                    <a16:creationId xmlns:a16="http://schemas.microsoft.com/office/drawing/2014/main" id="{00000000-0008-0000-0900-00003EAC0300}"/>
                  </a:ext>
                </a:extLst>
              </xdr:cNvPr>
              <xdr:cNvSpPr/>
            </xdr:nvSpPr>
            <xdr:spPr bwMode="auto">
              <a:xfrm>
                <a:off x="2994659" y="2201919"/>
                <a:ext cx="1896808"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0A00-00001C000000}"/>
                </a:ext>
              </a:extLst>
            </xdr:cNvPr>
            <xdr:cNvGrpSpPr/>
          </xdr:nvGrpSpPr>
          <xdr:grpSpPr>
            <a:xfrm>
              <a:off x="3706091" y="12168909"/>
              <a:ext cx="1962727" cy="2066636"/>
              <a:chOff x="2994711" y="2201917"/>
              <a:chExt cx="1960969" cy="1646923"/>
            </a:xfrm>
          </xdr:grpSpPr>
          <xdr:sp macro="" textlink="">
            <xdr:nvSpPr>
              <xdr:cNvPr id="240703" name="Option Button 63" descr="Case d'option 47" hidden="1">
                <a:extLst>
                  <a:ext uri="{63B3BB69-23CF-44E3-9099-C40C66FF867C}">
                    <a14:compatExt spid="_x0000_s240703"/>
                  </a:ext>
                  <a:ext uri="{FF2B5EF4-FFF2-40B4-BE49-F238E27FC236}">
                    <a16:creationId xmlns:a16="http://schemas.microsoft.com/office/drawing/2014/main" id="{00000000-0008-0000-0900-00003F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04" name="Option Button 64" hidden="1">
                <a:extLst>
                  <a:ext uri="{63B3BB69-23CF-44E3-9099-C40C66FF867C}">
                    <a14:compatExt spid="_x0000_s240704"/>
                  </a:ext>
                  <a:ext uri="{FF2B5EF4-FFF2-40B4-BE49-F238E27FC236}">
                    <a16:creationId xmlns:a16="http://schemas.microsoft.com/office/drawing/2014/main" id="{00000000-0008-0000-0900-000040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05" name="Option Button 65" hidden="1">
                <a:extLst>
                  <a:ext uri="{63B3BB69-23CF-44E3-9099-C40C66FF867C}">
                    <a14:compatExt spid="_x0000_s240705"/>
                  </a:ext>
                  <a:ext uri="{FF2B5EF4-FFF2-40B4-BE49-F238E27FC236}">
                    <a16:creationId xmlns:a16="http://schemas.microsoft.com/office/drawing/2014/main" id="{00000000-0008-0000-0900-000041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06" name="Option Button 66" hidden="1">
                <a:extLst>
                  <a:ext uri="{63B3BB69-23CF-44E3-9099-C40C66FF867C}">
                    <a14:compatExt spid="_x0000_s240706"/>
                  </a:ext>
                  <a:ext uri="{FF2B5EF4-FFF2-40B4-BE49-F238E27FC236}">
                    <a16:creationId xmlns:a16="http://schemas.microsoft.com/office/drawing/2014/main" id="{00000000-0008-0000-0900-000042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07" name="Group Box 67" hidden="1">
                <a:extLst>
                  <a:ext uri="{63B3BB69-23CF-44E3-9099-C40C66FF867C}">
                    <a14:compatExt spid="_x0000_s240707"/>
                  </a:ext>
                  <a:ext uri="{FF2B5EF4-FFF2-40B4-BE49-F238E27FC236}">
                    <a16:creationId xmlns:a16="http://schemas.microsoft.com/office/drawing/2014/main" id="{00000000-0008-0000-0900-000043AC0300}"/>
                  </a:ext>
                </a:extLst>
              </xdr:cNvPr>
              <xdr:cNvSpPr/>
            </xdr:nvSpPr>
            <xdr:spPr bwMode="auto">
              <a:xfrm>
                <a:off x="2994711" y="2201917"/>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0A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0A00-00001E000000}"/>
                </a:ext>
              </a:extLst>
            </xdr:cNvPr>
            <xdr:cNvGrpSpPr/>
          </xdr:nvGrpSpPr>
          <xdr:grpSpPr>
            <a:xfrm>
              <a:off x="3706091" y="21359091"/>
              <a:ext cx="1962727" cy="1653055"/>
              <a:chOff x="2994715" y="2201920"/>
              <a:chExt cx="1960969" cy="1646923"/>
            </a:xfrm>
          </xdr:grpSpPr>
          <xdr:sp macro="" textlink="">
            <xdr:nvSpPr>
              <xdr:cNvPr id="240708" name="Option Button 68" descr="Case d'option 47" hidden="1">
                <a:extLst>
                  <a:ext uri="{63B3BB69-23CF-44E3-9099-C40C66FF867C}">
                    <a14:compatExt spid="_x0000_s240708"/>
                  </a:ext>
                  <a:ext uri="{FF2B5EF4-FFF2-40B4-BE49-F238E27FC236}">
                    <a16:creationId xmlns:a16="http://schemas.microsoft.com/office/drawing/2014/main" id="{00000000-0008-0000-0900-000044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09" name="Option Button 69" hidden="1">
                <a:extLst>
                  <a:ext uri="{63B3BB69-23CF-44E3-9099-C40C66FF867C}">
                    <a14:compatExt spid="_x0000_s240709"/>
                  </a:ext>
                  <a:ext uri="{FF2B5EF4-FFF2-40B4-BE49-F238E27FC236}">
                    <a16:creationId xmlns:a16="http://schemas.microsoft.com/office/drawing/2014/main" id="{00000000-0008-0000-0900-000045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10" name="Option Button 70" hidden="1">
                <a:extLst>
                  <a:ext uri="{63B3BB69-23CF-44E3-9099-C40C66FF867C}">
                    <a14:compatExt spid="_x0000_s240710"/>
                  </a:ext>
                  <a:ext uri="{FF2B5EF4-FFF2-40B4-BE49-F238E27FC236}">
                    <a16:creationId xmlns:a16="http://schemas.microsoft.com/office/drawing/2014/main" id="{00000000-0008-0000-0900-000046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11" name="Option Button 71" hidden="1">
                <a:extLst>
                  <a:ext uri="{63B3BB69-23CF-44E3-9099-C40C66FF867C}">
                    <a14:compatExt spid="_x0000_s240711"/>
                  </a:ext>
                  <a:ext uri="{FF2B5EF4-FFF2-40B4-BE49-F238E27FC236}">
                    <a16:creationId xmlns:a16="http://schemas.microsoft.com/office/drawing/2014/main" id="{00000000-0008-0000-0900-000047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12" name="Group Box 72" hidden="1">
                <a:extLst>
                  <a:ext uri="{63B3BB69-23CF-44E3-9099-C40C66FF867C}">
                    <a14:compatExt spid="_x0000_s240712"/>
                  </a:ext>
                  <a:ext uri="{FF2B5EF4-FFF2-40B4-BE49-F238E27FC236}">
                    <a16:creationId xmlns:a16="http://schemas.microsoft.com/office/drawing/2014/main" id="{00000000-0008-0000-0900-000048AC0300}"/>
                  </a:ext>
                </a:extLst>
              </xdr:cNvPr>
              <xdr:cNvSpPr/>
            </xdr:nvSpPr>
            <xdr:spPr bwMode="auto">
              <a:xfrm>
                <a:off x="2994715" y="2201920"/>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0A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0A00-000021000000}"/>
                </a:ext>
              </a:extLst>
            </xdr:cNvPr>
            <xdr:cNvGrpSpPr/>
          </xdr:nvGrpSpPr>
          <xdr:grpSpPr>
            <a:xfrm>
              <a:off x="3706091" y="23010091"/>
              <a:ext cx="1962727" cy="1905000"/>
              <a:chOff x="2995436" y="3846784"/>
              <a:chExt cx="1960181" cy="1644870"/>
            </a:xfrm>
          </xdr:grpSpPr>
          <xdr:sp macro="" textlink="">
            <xdr:nvSpPr>
              <xdr:cNvPr id="240713" name="Option Button 73" hidden="1">
                <a:extLst>
                  <a:ext uri="{63B3BB69-23CF-44E3-9099-C40C66FF867C}">
                    <a14:compatExt spid="_x0000_s240713"/>
                  </a:ext>
                  <a:ext uri="{FF2B5EF4-FFF2-40B4-BE49-F238E27FC236}">
                    <a16:creationId xmlns:a16="http://schemas.microsoft.com/office/drawing/2014/main" id="{00000000-0008-0000-0900-000049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14" name="Option Button 74" hidden="1">
                <a:extLst>
                  <a:ext uri="{63B3BB69-23CF-44E3-9099-C40C66FF867C}">
                    <a14:compatExt spid="_x0000_s240714"/>
                  </a:ext>
                  <a:ext uri="{FF2B5EF4-FFF2-40B4-BE49-F238E27FC236}">
                    <a16:creationId xmlns:a16="http://schemas.microsoft.com/office/drawing/2014/main" id="{00000000-0008-0000-0900-00004A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15" name="Option Button 75" hidden="1">
                <a:extLst>
                  <a:ext uri="{63B3BB69-23CF-44E3-9099-C40C66FF867C}">
                    <a14:compatExt spid="_x0000_s240715"/>
                  </a:ext>
                  <a:ext uri="{FF2B5EF4-FFF2-40B4-BE49-F238E27FC236}">
                    <a16:creationId xmlns:a16="http://schemas.microsoft.com/office/drawing/2014/main" id="{00000000-0008-0000-0900-00004B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16" name="Option Button 76" hidden="1">
                <a:extLst>
                  <a:ext uri="{63B3BB69-23CF-44E3-9099-C40C66FF867C}">
                    <a14:compatExt spid="_x0000_s240716"/>
                  </a:ext>
                  <a:ext uri="{FF2B5EF4-FFF2-40B4-BE49-F238E27FC236}">
                    <a16:creationId xmlns:a16="http://schemas.microsoft.com/office/drawing/2014/main" id="{00000000-0008-0000-0900-00004C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17" name="Group Box 77" hidden="1">
                <a:extLst>
                  <a:ext uri="{63B3BB69-23CF-44E3-9099-C40C66FF867C}">
                    <a14:compatExt spid="_x0000_s240717"/>
                  </a:ext>
                  <a:ext uri="{FF2B5EF4-FFF2-40B4-BE49-F238E27FC236}">
                    <a16:creationId xmlns:a16="http://schemas.microsoft.com/office/drawing/2014/main" id="{00000000-0008-0000-0900-00004DAC0300}"/>
                  </a:ext>
                </a:extLst>
              </xdr:cNvPr>
              <xdr:cNvSpPr/>
            </xdr:nvSpPr>
            <xdr:spPr bwMode="auto">
              <a:xfrm>
                <a:off x="2995436" y="3846784"/>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0A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0A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237</xdr:colOff>
          <xdr:row>46</xdr:row>
          <xdr:rowOff>0</xdr:rowOff>
        </xdr:from>
        <xdr:to>
          <xdr:col>8</xdr:col>
          <xdr:colOff>0</xdr:colOff>
          <xdr:row>46</xdr:row>
          <xdr:rowOff>1522150</xdr:rowOff>
        </xdr:to>
        <xdr:grpSp>
          <xdr:nvGrpSpPr>
            <xdr:cNvPr id="36" name="Groupe 35">
              <a:extLst>
                <a:ext uri="{FF2B5EF4-FFF2-40B4-BE49-F238E27FC236}">
                  <a16:creationId xmlns:a16="http://schemas.microsoft.com/office/drawing/2014/main" id="{00000000-0008-0000-0A00-000024000000}"/>
                </a:ext>
              </a:extLst>
            </xdr:cNvPr>
            <xdr:cNvGrpSpPr/>
          </xdr:nvGrpSpPr>
          <xdr:grpSpPr>
            <a:xfrm>
              <a:off x="3706328" y="26566091"/>
              <a:ext cx="1962490" cy="1522150"/>
              <a:chOff x="2994710" y="2201918"/>
              <a:chExt cx="1960968" cy="1646925"/>
            </a:xfrm>
          </xdr:grpSpPr>
          <xdr:sp macro="" textlink="">
            <xdr:nvSpPr>
              <xdr:cNvPr id="240718" name="Option Button 78" descr="Case d'option 47" hidden="1">
                <a:extLst>
                  <a:ext uri="{63B3BB69-23CF-44E3-9099-C40C66FF867C}">
                    <a14:compatExt spid="_x0000_s240718"/>
                  </a:ext>
                  <a:ext uri="{FF2B5EF4-FFF2-40B4-BE49-F238E27FC236}">
                    <a16:creationId xmlns:a16="http://schemas.microsoft.com/office/drawing/2014/main" id="{00000000-0008-0000-0900-00004E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19" name="Option Button 79" hidden="1">
                <a:extLst>
                  <a:ext uri="{63B3BB69-23CF-44E3-9099-C40C66FF867C}">
                    <a14:compatExt spid="_x0000_s240719"/>
                  </a:ext>
                  <a:ext uri="{FF2B5EF4-FFF2-40B4-BE49-F238E27FC236}">
                    <a16:creationId xmlns:a16="http://schemas.microsoft.com/office/drawing/2014/main" id="{00000000-0008-0000-0900-00004F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20" name="Option Button 80" hidden="1">
                <a:extLst>
                  <a:ext uri="{63B3BB69-23CF-44E3-9099-C40C66FF867C}">
                    <a14:compatExt spid="_x0000_s240720"/>
                  </a:ext>
                  <a:ext uri="{FF2B5EF4-FFF2-40B4-BE49-F238E27FC236}">
                    <a16:creationId xmlns:a16="http://schemas.microsoft.com/office/drawing/2014/main" id="{00000000-0008-0000-0900-000050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21" name="Option Button 81" hidden="1">
                <a:extLst>
                  <a:ext uri="{63B3BB69-23CF-44E3-9099-C40C66FF867C}">
                    <a14:compatExt spid="_x0000_s240721"/>
                  </a:ext>
                  <a:ext uri="{FF2B5EF4-FFF2-40B4-BE49-F238E27FC236}">
                    <a16:creationId xmlns:a16="http://schemas.microsoft.com/office/drawing/2014/main" id="{00000000-0008-0000-0900-000051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22" name="Group Box 82" hidden="1">
                <a:extLst>
                  <a:ext uri="{63B3BB69-23CF-44E3-9099-C40C66FF867C}">
                    <a14:compatExt spid="_x0000_s240722"/>
                  </a:ext>
                  <a:ext uri="{FF2B5EF4-FFF2-40B4-BE49-F238E27FC236}">
                    <a16:creationId xmlns:a16="http://schemas.microsoft.com/office/drawing/2014/main" id="{00000000-0008-0000-0900-000052AC0300}"/>
                  </a:ext>
                </a:extLst>
              </xdr:cNvPr>
              <xdr:cNvSpPr/>
            </xdr:nvSpPr>
            <xdr:spPr bwMode="auto">
              <a:xfrm>
                <a:off x="2994710"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0A00-000025000000}"/>
                </a:ext>
              </a:extLst>
            </xdr:cNvPr>
            <xdr:cNvGrpSpPr/>
          </xdr:nvGrpSpPr>
          <xdr:grpSpPr>
            <a:xfrm>
              <a:off x="3706091" y="24915091"/>
              <a:ext cx="1962727" cy="1651000"/>
              <a:chOff x="2994711" y="2201872"/>
              <a:chExt cx="1960969" cy="1646924"/>
            </a:xfrm>
          </xdr:grpSpPr>
          <xdr:sp macro="" textlink="">
            <xdr:nvSpPr>
              <xdr:cNvPr id="240723" name="Option Button 83" descr="Case d'option 47" hidden="1">
                <a:extLst>
                  <a:ext uri="{63B3BB69-23CF-44E3-9099-C40C66FF867C}">
                    <a14:compatExt spid="_x0000_s240723"/>
                  </a:ext>
                  <a:ext uri="{FF2B5EF4-FFF2-40B4-BE49-F238E27FC236}">
                    <a16:creationId xmlns:a16="http://schemas.microsoft.com/office/drawing/2014/main" id="{00000000-0008-0000-0900-000053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24" name="Option Button 84" hidden="1">
                <a:extLst>
                  <a:ext uri="{63B3BB69-23CF-44E3-9099-C40C66FF867C}">
                    <a14:compatExt spid="_x0000_s240724"/>
                  </a:ext>
                  <a:ext uri="{FF2B5EF4-FFF2-40B4-BE49-F238E27FC236}">
                    <a16:creationId xmlns:a16="http://schemas.microsoft.com/office/drawing/2014/main" id="{00000000-0008-0000-0900-000054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25" name="Option Button 85" hidden="1">
                <a:extLst>
                  <a:ext uri="{63B3BB69-23CF-44E3-9099-C40C66FF867C}">
                    <a14:compatExt spid="_x0000_s240725"/>
                  </a:ext>
                  <a:ext uri="{FF2B5EF4-FFF2-40B4-BE49-F238E27FC236}">
                    <a16:creationId xmlns:a16="http://schemas.microsoft.com/office/drawing/2014/main" id="{00000000-0008-0000-0900-000055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26" name="Option Button 86" hidden="1">
                <a:extLst>
                  <a:ext uri="{63B3BB69-23CF-44E3-9099-C40C66FF867C}">
                    <a14:compatExt spid="_x0000_s240726"/>
                  </a:ext>
                  <a:ext uri="{FF2B5EF4-FFF2-40B4-BE49-F238E27FC236}">
                    <a16:creationId xmlns:a16="http://schemas.microsoft.com/office/drawing/2014/main" id="{00000000-0008-0000-0900-000056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27" name="Group Box 87" hidden="1">
                <a:extLst>
                  <a:ext uri="{63B3BB69-23CF-44E3-9099-C40C66FF867C}">
                    <a14:compatExt spid="_x0000_s240727"/>
                  </a:ext>
                  <a:ext uri="{FF2B5EF4-FFF2-40B4-BE49-F238E27FC236}">
                    <a16:creationId xmlns:a16="http://schemas.microsoft.com/office/drawing/2014/main" id="{00000000-0008-0000-0900-000057AC0300}"/>
                  </a:ext>
                </a:extLst>
              </xdr:cNvPr>
              <xdr:cNvSpPr/>
            </xdr:nvSpPr>
            <xdr:spPr bwMode="auto">
              <a:xfrm>
                <a:off x="2994711" y="2201872"/>
                <a:ext cx="1960969" cy="16469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0A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0A00-000028000000}"/>
                </a:ext>
              </a:extLst>
            </xdr:cNvPr>
            <xdr:cNvGrpSpPr/>
          </xdr:nvGrpSpPr>
          <xdr:grpSpPr>
            <a:xfrm>
              <a:off x="3706091" y="31911636"/>
              <a:ext cx="1962727" cy="1651000"/>
              <a:chOff x="2995436" y="3846786"/>
              <a:chExt cx="1960181" cy="1644870"/>
            </a:xfrm>
          </xdr:grpSpPr>
          <xdr:sp macro="" textlink="">
            <xdr:nvSpPr>
              <xdr:cNvPr id="240728" name="Option Button 88" hidden="1">
                <a:extLst>
                  <a:ext uri="{63B3BB69-23CF-44E3-9099-C40C66FF867C}">
                    <a14:compatExt spid="_x0000_s240728"/>
                  </a:ext>
                  <a:ext uri="{FF2B5EF4-FFF2-40B4-BE49-F238E27FC236}">
                    <a16:creationId xmlns:a16="http://schemas.microsoft.com/office/drawing/2014/main" id="{00000000-0008-0000-0900-000058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29" name="Option Button 89" hidden="1">
                <a:extLst>
                  <a:ext uri="{63B3BB69-23CF-44E3-9099-C40C66FF867C}">
                    <a14:compatExt spid="_x0000_s240729"/>
                  </a:ext>
                  <a:ext uri="{FF2B5EF4-FFF2-40B4-BE49-F238E27FC236}">
                    <a16:creationId xmlns:a16="http://schemas.microsoft.com/office/drawing/2014/main" id="{00000000-0008-0000-0900-000059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30" name="Option Button 90" hidden="1">
                <a:extLst>
                  <a:ext uri="{63B3BB69-23CF-44E3-9099-C40C66FF867C}">
                    <a14:compatExt spid="_x0000_s240730"/>
                  </a:ext>
                  <a:ext uri="{FF2B5EF4-FFF2-40B4-BE49-F238E27FC236}">
                    <a16:creationId xmlns:a16="http://schemas.microsoft.com/office/drawing/2014/main" id="{00000000-0008-0000-0900-00005A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31" name="Option Button 91" hidden="1">
                <a:extLst>
                  <a:ext uri="{63B3BB69-23CF-44E3-9099-C40C66FF867C}">
                    <a14:compatExt spid="_x0000_s240731"/>
                  </a:ext>
                  <a:ext uri="{FF2B5EF4-FFF2-40B4-BE49-F238E27FC236}">
                    <a16:creationId xmlns:a16="http://schemas.microsoft.com/office/drawing/2014/main" id="{00000000-0008-0000-0900-00005B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32" name="Group Box 92" hidden="1">
                <a:extLst>
                  <a:ext uri="{63B3BB69-23CF-44E3-9099-C40C66FF867C}">
                    <a14:compatExt spid="_x0000_s240732"/>
                  </a:ext>
                  <a:ext uri="{FF2B5EF4-FFF2-40B4-BE49-F238E27FC236}">
                    <a16:creationId xmlns:a16="http://schemas.microsoft.com/office/drawing/2014/main" id="{00000000-0008-0000-0900-00005CAC0300}"/>
                  </a:ext>
                </a:extLst>
              </xdr:cNvPr>
              <xdr:cNvSpPr/>
            </xdr:nvSpPr>
            <xdr:spPr bwMode="auto">
              <a:xfrm>
                <a:off x="2995436" y="3846786"/>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0A00-000029000000}"/>
                </a:ext>
              </a:extLst>
            </xdr:cNvPr>
            <xdr:cNvGrpSpPr/>
          </xdr:nvGrpSpPr>
          <xdr:grpSpPr>
            <a:xfrm>
              <a:off x="3706091" y="30260636"/>
              <a:ext cx="1962727" cy="1653055"/>
              <a:chOff x="2994715" y="2201917"/>
              <a:chExt cx="1960969" cy="1646923"/>
            </a:xfrm>
          </xdr:grpSpPr>
          <xdr:sp macro="" textlink="">
            <xdr:nvSpPr>
              <xdr:cNvPr id="240733" name="Option Button 93" descr="Case d'option 47" hidden="1">
                <a:extLst>
                  <a:ext uri="{63B3BB69-23CF-44E3-9099-C40C66FF867C}">
                    <a14:compatExt spid="_x0000_s240733"/>
                  </a:ext>
                  <a:ext uri="{FF2B5EF4-FFF2-40B4-BE49-F238E27FC236}">
                    <a16:creationId xmlns:a16="http://schemas.microsoft.com/office/drawing/2014/main" id="{00000000-0008-0000-0900-00005D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34" name="Option Button 94" hidden="1">
                <a:extLst>
                  <a:ext uri="{63B3BB69-23CF-44E3-9099-C40C66FF867C}">
                    <a14:compatExt spid="_x0000_s240734"/>
                  </a:ext>
                  <a:ext uri="{FF2B5EF4-FFF2-40B4-BE49-F238E27FC236}">
                    <a16:creationId xmlns:a16="http://schemas.microsoft.com/office/drawing/2014/main" id="{00000000-0008-0000-0900-00005E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35" name="Option Button 95" hidden="1">
                <a:extLst>
                  <a:ext uri="{63B3BB69-23CF-44E3-9099-C40C66FF867C}">
                    <a14:compatExt spid="_x0000_s240735"/>
                  </a:ext>
                  <a:ext uri="{FF2B5EF4-FFF2-40B4-BE49-F238E27FC236}">
                    <a16:creationId xmlns:a16="http://schemas.microsoft.com/office/drawing/2014/main" id="{00000000-0008-0000-0900-00005F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36" name="Option Button 96" hidden="1">
                <a:extLst>
                  <a:ext uri="{63B3BB69-23CF-44E3-9099-C40C66FF867C}">
                    <a14:compatExt spid="_x0000_s240736"/>
                  </a:ext>
                  <a:ext uri="{FF2B5EF4-FFF2-40B4-BE49-F238E27FC236}">
                    <a16:creationId xmlns:a16="http://schemas.microsoft.com/office/drawing/2014/main" id="{00000000-0008-0000-0900-000060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37" name="Group Box 97" hidden="1">
                <a:extLst>
                  <a:ext uri="{63B3BB69-23CF-44E3-9099-C40C66FF867C}">
                    <a14:compatExt spid="_x0000_s240737"/>
                  </a:ext>
                  <a:ext uri="{FF2B5EF4-FFF2-40B4-BE49-F238E27FC236}">
                    <a16:creationId xmlns:a16="http://schemas.microsoft.com/office/drawing/2014/main" id="{00000000-0008-0000-0900-000061AC0300}"/>
                  </a:ext>
                </a:extLst>
              </xdr:cNvPr>
              <xdr:cNvSpPr/>
            </xdr:nvSpPr>
            <xdr:spPr bwMode="auto">
              <a:xfrm>
                <a:off x="2994715" y="2201917"/>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0A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0A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0A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0A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0A00-00002E000000}"/>
                </a:ext>
              </a:extLst>
            </xdr:cNvPr>
            <xdr:cNvGrpSpPr/>
          </xdr:nvGrpSpPr>
          <xdr:grpSpPr>
            <a:xfrm>
              <a:off x="3706091" y="36864639"/>
              <a:ext cx="1962727" cy="1650997"/>
              <a:chOff x="2995436" y="3846793"/>
              <a:chExt cx="1960181" cy="1644867"/>
            </a:xfrm>
          </xdr:grpSpPr>
          <xdr:sp macro="" textlink="">
            <xdr:nvSpPr>
              <xdr:cNvPr id="240739" name="Option Button 99" hidden="1">
                <a:extLst>
                  <a:ext uri="{63B3BB69-23CF-44E3-9099-C40C66FF867C}">
                    <a14:compatExt spid="_x0000_s240739"/>
                  </a:ext>
                  <a:ext uri="{FF2B5EF4-FFF2-40B4-BE49-F238E27FC236}">
                    <a16:creationId xmlns:a16="http://schemas.microsoft.com/office/drawing/2014/main" id="{00000000-0008-0000-0900-000063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40" name="Option Button 100" hidden="1">
                <a:extLst>
                  <a:ext uri="{63B3BB69-23CF-44E3-9099-C40C66FF867C}">
                    <a14:compatExt spid="_x0000_s240740"/>
                  </a:ext>
                  <a:ext uri="{FF2B5EF4-FFF2-40B4-BE49-F238E27FC236}">
                    <a16:creationId xmlns:a16="http://schemas.microsoft.com/office/drawing/2014/main" id="{00000000-0008-0000-0900-000064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41" name="Option Button 101" hidden="1">
                <a:extLst>
                  <a:ext uri="{63B3BB69-23CF-44E3-9099-C40C66FF867C}">
                    <a14:compatExt spid="_x0000_s240741"/>
                  </a:ext>
                  <a:ext uri="{FF2B5EF4-FFF2-40B4-BE49-F238E27FC236}">
                    <a16:creationId xmlns:a16="http://schemas.microsoft.com/office/drawing/2014/main" id="{00000000-0008-0000-0900-000065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42" name="Option Button 102" hidden="1">
                <a:extLst>
                  <a:ext uri="{63B3BB69-23CF-44E3-9099-C40C66FF867C}">
                    <a14:compatExt spid="_x0000_s240742"/>
                  </a:ext>
                  <a:ext uri="{FF2B5EF4-FFF2-40B4-BE49-F238E27FC236}">
                    <a16:creationId xmlns:a16="http://schemas.microsoft.com/office/drawing/2014/main" id="{00000000-0008-0000-0900-000066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43" name="Group Box 103" hidden="1">
                <a:extLst>
                  <a:ext uri="{63B3BB69-23CF-44E3-9099-C40C66FF867C}">
                    <a14:compatExt spid="_x0000_s240743"/>
                  </a:ext>
                  <a:ext uri="{FF2B5EF4-FFF2-40B4-BE49-F238E27FC236}">
                    <a16:creationId xmlns:a16="http://schemas.microsoft.com/office/drawing/2014/main" id="{00000000-0008-0000-0900-000067AC0300}"/>
                  </a:ext>
                </a:extLst>
              </xdr:cNvPr>
              <xdr:cNvSpPr/>
            </xdr:nvSpPr>
            <xdr:spPr bwMode="auto">
              <a:xfrm>
                <a:off x="2995436" y="3846793"/>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0A00-00002F000000}"/>
                </a:ext>
              </a:extLst>
            </xdr:cNvPr>
            <xdr:cNvGrpSpPr/>
          </xdr:nvGrpSpPr>
          <xdr:grpSpPr>
            <a:xfrm>
              <a:off x="3709259" y="35213636"/>
              <a:ext cx="1959559" cy="1653058"/>
              <a:chOff x="2994664" y="2201917"/>
              <a:chExt cx="1960968" cy="1646927"/>
            </a:xfrm>
          </xdr:grpSpPr>
          <xdr:sp macro="" textlink="">
            <xdr:nvSpPr>
              <xdr:cNvPr id="240744" name="Option Button 104" descr="Case d'option 47" hidden="1">
                <a:extLst>
                  <a:ext uri="{63B3BB69-23CF-44E3-9099-C40C66FF867C}">
                    <a14:compatExt spid="_x0000_s240744"/>
                  </a:ext>
                  <a:ext uri="{FF2B5EF4-FFF2-40B4-BE49-F238E27FC236}">
                    <a16:creationId xmlns:a16="http://schemas.microsoft.com/office/drawing/2014/main" id="{00000000-0008-0000-0900-000068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45" name="Option Button 105" hidden="1">
                <a:extLst>
                  <a:ext uri="{63B3BB69-23CF-44E3-9099-C40C66FF867C}">
                    <a14:compatExt spid="_x0000_s240745"/>
                  </a:ext>
                  <a:ext uri="{FF2B5EF4-FFF2-40B4-BE49-F238E27FC236}">
                    <a16:creationId xmlns:a16="http://schemas.microsoft.com/office/drawing/2014/main" id="{00000000-0008-0000-0900-000069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46" name="Option Button 106" hidden="1">
                <a:extLst>
                  <a:ext uri="{63B3BB69-23CF-44E3-9099-C40C66FF867C}">
                    <a14:compatExt spid="_x0000_s240746"/>
                  </a:ext>
                  <a:ext uri="{FF2B5EF4-FFF2-40B4-BE49-F238E27FC236}">
                    <a16:creationId xmlns:a16="http://schemas.microsoft.com/office/drawing/2014/main" id="{00000000-0008-0000-0900-00006A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47" name="Option Button 107" hidden="1">
                <a:extLst>
                  <a:ext uri="{63B3BB69-23CF-44E3-9099-C40C66FF867C}">
                    <a14:compatExt spid="_x0000_s240747"/>
                  </a:ext>
                  <a:ext uri="{FF2B5EF4-FFF2-40B4-BE49-F238E27FC236}">
                    <a16:creationId xmlns:a16="http://schemas.microsoft.com/office/drawing/2014/main" id="{00000000-0008-0000-0900-00006B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48" name="Group Box 108" hidden="1">
                <a:extLst>
                  <a:ext uri="{63B3BB69-23CF-44E3-9099-C40C66FF867C}">
                    <a14:compatExt spid="_x0000_s240748"/>
                  </a:ext>
                  <a:ext uri="{FF2B5EF4-FFF2-40B4-BE49-F238E27FC236}">
                    <a16:creationId xmlns:a16="http://schemas.microsoft.com/office/drawing/2014/main" id="{00000000-0008-0000-0900-00006CAC0300}"/>
                  </a:ext>
                </a:extLst>
              </xdr:cNvPr>
              <xdr:cNvSpPr/>
            </xdr:nvSpPr>
            <xdr:spPr bwMode="auto">
              <a:xfrm>
                <a:off x="2994664" y="2201917"/>
                <a:ext cx="1960968" cy="164692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0A00-000030000000}"/>
                </a:ext>
              </a:extLst>
            </xdr:cNvPr>
            <xdr:cNvGrpSpPr/>
          </xdr:nvGrpSpPr>
          <xdr:grpSpPr>
            <a:xfrm>
              <a:off x="3706091" y="33562636"/>
              <a:ext cx="1962727" cy="1651000"/>
              <a:chOff x="2994711" y="2201922"/>
              <a:chExt cx="1960969" cy="1646925"/>
            </a:xfrm>
          </xdr:grpSpPr>
          <xdr:sp macro="" textlink="">
            <xdr:nvSpPr>
              <xdr:cNvPr id="240749" name="Option Button 109" descr="Case d'option 47" hidden="1">
                <a:extLst>
                  <a:ext uri="{63B3BB69-23CF-44E3-9099-C40C66FF867C}">
                    <a14:compatExt spid="_x0000_s240749"/>
                  </a:ext>
                  <a:ext uri="{FF2B5EF4-FFF2-40B4-BE49-F238E27FC236}">
                    <a16:creationId xmlns:a16="http://schemas.microsoft.com/office/drawing/2014/main" id="{00000000-0008-0000-0900-00006D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50" name="Option Button 110" hidden="1">
                <a:extLst>
                  <a:ext uri="{63B3BB69-23CF-44E3-9099-C40C66FF867C}">
                    <a14:compatExt spid="_x0000_s240750"/>
                  </a:ext>
                  <a:ext uri="{FF2B5EF4-FFF2-40B4-BE49-F238E27FC236}">
                    <a16:creationId xmlns:a16="http://schemas.microsoft.com/office/drawing/2014/main" id="{00000000-0008-0000-0900-00006E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51" name="Option Button 111" hidden="1">
                <a:extLst>
                  <a:ext uri="{63B3BB69-23CF-44E3-9099-C40C66FF867C}">
                    <a14:compatExt spid="_x0000_s240751"/>
                  </a:ext>
                  <a:ext uri="{FF2B5EF4-FFF2-40B4-BE49-F238E27FC236}">
                    <a16:creationId xmlns:a16="http://schemas.microsoft.com/office/drawing/2014/main" id="{00000000-0008-0000-0900-00006F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52" name="Option Button 112" hidden="1">
                <a:extLst>
                  <a:ext uri="{63B3BB69-23CF-44E3-9099-C40C66FF867C}">
                    <a14:compatExt spid="_x0000_s240752"/>
                  </a:ext>
                  <a:ext uri="{FF2B5EF4-FFF2-40B4-BE49-F238E27FC236}">
                    <a16:creationId xmlns:a16="http://schemas.microsoft.com/office/drawing/2014/main" id="{00000000-0008-0000-0900-000070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53" name="Group Box 113" hidden="1">
                <a:extLst>
                  <a:ext uri="{63B3BB69-23CF-44E3-9099-C40C66FF867C}">
                    <a14:compatExt spid="_x0000_s240753"/>
                  </a:ext>
                  <a:ext uri="{FF2B5EF4-FFF2-40B4-BE49-F238E27FC236}">
                    <a16:creationId xmlns:a16="http://schemas.microsoft.com/office/drawing/2014/main" id="{00000000-0008-0000-0900-000071AC0300}"/>
                  </a:ext>
                </a:extLst>
              </xdr:cNvPr>
              <xdr:cNvSpPr/>
            </xdr:nvSpPr>
            <xdr:spPr bwMode="auto">
              <a:xfrm>
                <a:off x="2994711" y="2201922"/>
                <a:ext cx="1960969"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0A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0A00-000034000000}"/>
                </a:ext>
              </a:extLst>
            </xdr:cNvPr>
            <xdr:cNvGrpSpPr/>
          </xdr:nvGrpSpPr>
          <xdr:grpSpPr>
            <a:xfrm>
              <a:off x="3706091" y="42660455"/>
              <a:ext cx="1962727" cy="1651000"/>
              <a:chOff x="2995436" y="3846794"/>
              <a:chExt cx="1960181" cy="1644871"/>
            </a:xfrm>
          </xdr:grpSpPr>
          <xdr:sp macro="" textlink="">
            <xdr:nvSpPr>
              <xdr:cNvPr id="240759" name="Option Button 119" hidden="1">
                <a:extLst>
                  <a:ext uri="{63B3BB69-23CF-44E3-9099-C40C66FF867C}">
                    <a14:compatExt spid="_x0000_s240759"/>
                  </a:ext>
                  <a:ext uri="{FF2B5EF4-FFF2-40B4-BE49-F238E27FC236}">
                    <a16:creationId xmlns:a16="http://schemas.microsoft.com/office/drawing/2014/main" id="{00000000-0008-0000-0900-000077AC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60" name="Option Button 120" hidden="1">
                <a:extLst>
                  <a:ext uri="{63B3BB69-23CF-44E3-9099-C40C66FF867C}">
                    <a14:compatExt spid="_x0000_s240760"/>
                  </a:ext>
                  <a:ext uri="{FF2B5EF4-FFF2-40B4-BE49-F238E27FC236}">
                    <a16:creationId xmlns:a16="http://schemas.microsoft.com/office/drawing/2014/main" id="{00000000-0008-0000-0900-000078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61" name="Option Button 121" hidden="1">
                <a:extLst>
                  <a:ext uri="{63B3BB69-23CF-44E3-9099-C40C66FF867C}">
                    <a14:compatExt spid="_x0000_s240761"/>
                  </a:ext>
                  <a:ext uri="{FF2B5EF4-FFF2-40B4-BE49-F238E27FC236}">
                    <a16:creationId xmlns:a16="http://schemas.microsoft.com/office/drawing/2014/main" id="{00000000-0008-0000-0900-000079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62" name="Option Button 122" hidden="1">
                <a:extLst>
                  <a:ext uri="{63B3BB69-23CF-44E3-9099-C40C66FF867C}">
                    <a14:compatExt spid="_x0000_s240762"/>
                  </a:ext>
                  <a:ext uri="{FF2B5EF4-FFF2-40B4-BE49-F238E27FC236}">
                    <a16:creationId xmlns:a16="http://schemas.microsoft.com/office/drawing/2014/main" id="{00000000-0008-0000-0900-00007A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63" name="Group Box 123" hidden="1">
                <a:extLst>
                  <a:ext uri="{63B3BB69-23CF-44E3-9099-C40C66FF867C}">
                    <a14:compatExt spid="_x0000_s240763"/>
                  </a:ext>
                  <a:ext uri="{FF2B5EF4-FFF2-40B4-BE49-F238E27FC236}">
                    <a16:creationId xmlns:a16="http://schemas.microsoft.com/office/drawing/2014/main" id="{00000000-0008-0000-0900-00007BAC0300}"/>
                  </a:ext>
                </a:extLst>
              </xdr:cNvPr>
              <xdr:cNvSpPr/>
            </xdr:nvSpPr>
            <xdr:spPr bwMode="auto">
              <a:xfrm>
                <a:off x="2995436" y="3846794"/>
                <a:ext cx="1960181" cy="164487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0A00-000035000000}"/>
                </a:ext>
              </a:extLst>
            </xdr:cNvPr>
            <xdr:cNvGrpSpPr/>
          </xdr:nvGrpSpPr>
          <xdr:grpSpPr>
            <a:xfrm>
              <a:off x="3706091" y="41009455"/>
              <a:ext cx="1962727" cy="1653055"/>
              <a:chOff x="2994715" y="2201915"/>
              <a:chExt cx="1960969" cy="1646923"/>
            </a:xfrm>
          </xdr:grpSpPr>
          <xdr:sp macro="" textlink="">
            <xdr:nvSpPr>
              <xdr:cNvPr id="240764" name="Option Button 124" descr="Case d'option 47" hidden="1">
                <a:extLst>
                  <a:ext uri="{63B3BB69-23CF-44E3-9099-C40C66FF867C}">
                    <a14:compatExt spid="_x0000_s240764"/>
                  </a:ext>
                  <a:ext uri="{FF2B5EF4-FFF2-40B4-BE49-F238E27FC236}">
                    <a16:creationId xmlns:a16="http://schemas.microsoft.com/office/drawing/2014/main" id="{00000000-0008-0000-0900-00007C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65" name="Option Button 125" hidden="1">
                <a:extLst>
                  <a:ext uri="{63B3BB69-23CF-44E3-9099-C40C66FF867C}">
                    <a14:compatExt spid="_x0000_s240765"/>
                  </a:ext>
                  <a:ext uri="{FF2B5EF4-FFF2-40B4-BE49-F238E27FC236}">
                    <a16:creationId xmlns:a16="http://schemas.microsoft.com/office/drawing/2014/main" id="{00000000-0008-0000-0900-00007D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66" name="Option Button 126" hidden="1">
                <a:extLst>
                  <a:ext uri="{63B3BB69-23CF-44E3-9099-C40C66FF867C}">
                    <a14:compatExt spid="_x0000_s240766"/>
                  </a:ext>
                  <a:ext uri="{FF2B5EF4-FFF2-40B4-BE49-F238E27FC236}">
                    <a16:creationId xmlns:a16="http://schemas.microsoft.com/office/drawing/2014/main" id="{00000000-0008-0000-0900-00007E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67" name="Option Button 127" hidden="1">
                <a:extLst>
                  <a:ext uri="{63B3BB69-23CF-44E3-9099-C40C66FF867C}">
                    <a14:compatExt spid="_x0000_s240767"/>
                  </a:ext>
                  <a:ext uri="{FF2B5EF4-FFF2-40B4-BE49-F238E27FC236}">
                    <a16:creationId xmlns:a16="http://schemas.microsoft.com/office/drawing/2014/main" id="{00000000-0008-0000-0900-00007F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68" name="Group Box 128" hidden="1">
                <a:extLst>
                  <a:ext uri="{63B3BB69-23CF-44E3-9099-C40C66FF867C}">
                    <a14:compatExt spid="_x0000_s240768"/>
                  </a:ext>
                  <a:ext uri="{FF2B5EF4-FFF2-40B4-BE49-F238E27FC236}">
                    <a16:creationId xmlns:a16="http://schemas.microsoft.com/office/drawing/2014/main" id="{00000000-0008-0000-0900-000080AC0300}"/>
                  </a:ext>
                </a:extLst>
              </xdr:cNvPr>
              <xdr:cNvSpPr/>
            </xdr:nvSpPr>
            <xdr:spPr bwMode="auto">
              <a:xfrm>
                <a:off x="2994715" y="2201915"/>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0A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2036380</xdr:rowOff>
    </xdr:to>
    <xdr:sp macro="" textlink="" fLocksText="0">
      <xdr:nvSpPr>
        <xdr:cNvPr id="55" name="ZoneTexte 1">
          <a:extLst>
            <a:ext uri="{FF2B5EF4-FFF2-40B4-BE49-F238E27FC236}">
              <a16:creationId xmlns:a16="http://schemas.microsoft.com/office/drawing/2014/main" id="{00000000-0008-0000-0A00-000037000000}"/>
            </a:ext>
          </a:extLst>
        </xdr:cNvPr>
        <xdr:cNvSpPr txBox="1">
          <a:spLocks noChangeArrowheads="1"/>
        </xdr:cNvSpPr>
      </xdr:nvSpPr>
      <xdr:spPr bwMode="auto">
        <a:xfrm>
          <a:off x="6876256" y="6362700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0A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0A00-00003A000000}"/>
                </a:ext>
              </a:extLst>
            </xdr:cNvPr>
            <xdr:cNvGrpSpPr/>
          </xdr:nvGrpSpPr>
          <xdr:grpSpPr>
            <a:xfrm>
              <a:off x="3709259" y="45962455"/>
              <a:ext cx="1959559" cy="1651000"/>
              <a:chOff x="2994664" y="2201918"/>
              <a:chExt cx="1960968" cy="1646925"/>
            </a:xfrm>
          </xdr:grpSpPr>
          <xdr:sp macro="" textlink="">
            <xdr:nvSpPr>
              <xdr:cNvPr id="240774" name="Option Button 134" descr="Case d'option 47" hidden="1">
                <a:extLst>
                  <a:ext uri="{63B3BB69-23CF-44E3-9099-C40C66FF867C}">
                    <a14:compatExt spid="_x0000_s240774"/>
                  </a:ext>
                  <a:ext uri="{FF2B5EF4-FFF2-40B4-BE49-F238E27FC236}">
                    <a16:creationId xmlns:a16="http://schemas.microsoft.com/office/drawing/2014/main" id="{00000000-0008-0000-0900-000086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75" name="Option Button 135" hidden="1">
                <a:extLst>
                  <a:ext uri="{63B3BB69-23CF-44E3-9099-C40C66FF867C}">
                    <a14:compatExt spid="_x0000_s240775"/>
                  </a:ext>
                  <a:ext uri="{FF2B5EF4-FFF2-40B4-BE49-F238E27FC236}">
                    <a16:creationId xmlns:a16="http://schemas.microsoft.com/office/drawing/2014/main" id="{00000000-0008-0000-0900-000087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76" name="Option Button 136" hidden="1">
                <a:extLst>
                  <a:ext uri="{63B3BB69-23CF-44E3-9099-C40C66FF867C}">
                    <a14:compatExt spid="_x0000_s240776"/>
                  </a:ext>
                  <a:ext uri="{FF2B5EF4-FFF2-40B4-BE49-F238E27FC236}">
                    <a16:creationId xmlns:a16="http://schemas.microsoft.com/office/drawing/2014/main" id="{00000000-0008-0000-0900-000088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77" name="Option Button 137" hidden="1">
                <a:extLst>
                  <a:ext uri="{63B3BB69-23CF-44E3-9099-C40C66FF867C}">
                    <a14:compatExt spid="_x0000_s240777"/>
                  </a:ext>
                  <a:ext uri="{FF2B5EF4-FFF2-40B4-BE49-F238E27FC236}">
                    <a16:creationId xmlns:a16="http://schemas.microsoft.com/office/drawing/2014/main" id="{00000000-0008-0000-0900-000089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78" name="Group Box 138" hidden="1">
                <a:extLst>
                  <a:ext uri="{63B3BB69-23CF-44E3-9099-C40C66FF867C}">
                    <a14:compatExt spid="_x0000_s240778"/>
                  </a:ext>
                  <a:ext uri="{FF2B5EF4-FFF2-40B4-BE49-F238E27FC236}">
                    <a16:creationId xmlns:a16="http://schemas.microsoft.com/office/drawing/2014/main" id="{00000000-0008-0000-0900-00008AAC0300}"/>
                  </a:ext>
                </a:extLst>
              </xdr:cNvPr>
              <xdr:cNvSpPr/>
            </xdr:nvSpPr>
            <xdr:spPr bwMode="auto">
              <a:xfrm>
                <a:off x="2994664" y="2201918"/>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0A00-00003B000000}"/>
                </a:ext>
              </a:extLst>
            </xdr:cNvPr>
            <xdr:cNvGrpSpPr/>
          </xdr:nvGrpSpPr>
          <xdr:grpSpPr>
            <a:xfrm>
              <a:off x="3706091" y="44311455"/>
              <a:ext cx="1962727" cy="1651000"/>
              <a:chOff x="2994711" y="2201919"/>
              <a:chExt cx="1960969" cy="1646929"/>
            </a:xfrm>
          </xdr:grpSpPr>
          <xdr:sp macro="" textlink="">
            <xdr:nvSpPr>
              <xdr:cNvPr id="240779" name="Option Button 139" descr="Case d'option 47" hidden="1">
                <a:extLst>
                  <a:ext uri="{63B3BB69-23CF-44E3-9099-C40C66FF867C}">
                    <a14:compatExt spid="_x0000_s240779"/>
                  </a:ext>
                  <a:ext uri="{FF2B5EF4-FFF2-40B4-BE49-F238E27FC236}">
                    <a16:creationId xmlns:a16="http://schemas.microsoft.com/office/drawing/2014/main" id="{00000000-0008-0000-0900-00008B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80" name="Option Button 140" hidden="1">
                <a:extLst>
                  <a:ext uri="{63B3BB69-23CF-44E3-9099-C40C66FF867C}">
                    <a14:compatExt spid="_x0000_s240780"/>
                  </a:ext>
                  <a:ext uri="{FF2B5EF4-FFF2-40B4-BE49-F238E27FC236}">
                    <a16:creationId xmlns:a16="http://schemas.microsoft.com/office/drawing/2014/main" id="{00000000-0008-0000-0900-00008C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81" name="Option Button 141" hidden="1">
                <a:extLst>
                  <a:ext uri="{63B3BB69-23CF-44E3-9099-C40C66FF867C}">
                    <a14:compatExt spid="_x0000_s240781"/>
                  </a:ext>
                  <a:ext uri="{FF2B5EF4-FFF2-40B4-BE49-F238E27FC236}">
                    <a16:creationId xmlns:a16="http://schemas.microsoft.com/office/drawing/2014/main" id="{00000000-0008-0000-0900-00008D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82" name="Option Button 142" hidden="1">
                <a:extLst>
                  <a:ext uri="{63B3BB69-23CF-44E3-9099-C40C66FF867C}">
                    <a14:compatExt spid="_x0000_s240782"/>
                  </a:ext>
                  <a:ext uri="{FF2B5EF4-FFF2-40B4-BE49-F238E27FC236}">
                    <a16:creationId xmlns:a16="http://schemas.microsoft.com/office/drawing/2014/main" id="{00000000-0008-0000-0900-00008E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83" name="Group Box 143" hidden="1">
                <a:extLst>
                  <a:ext uri="{63B3BB69-23CF-44E3-9099-C40C66FF867C}">
                    <a14:compatExt spid="_x0000_s240783"/>
                  </a:ext>
                  <a:ext uri="{FF2B5EF4-FFF2-40B4-BE49-F238E27FC236}">
                    <a16:creationId xmlns:a16="http://schemas.microsoft.com/office/drawing/2014/main" id="{00000000-0008-0000-0900-00008FAC0300}"/>
                  </a:ext>
                </a:extLst>
              </xdr:cNvPr>
              <xdr:cNvSpPr/>
            </xdr:nvSpPr>
            <xdr:spPr bwMode="auto">
              <a:xfrm>
                <a:off x="2994711" y="2201919"/>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240784" name="Group Box 144" hidden="1">
              <a:extLst>
                <a:ext uri="{63B3BB69-23CF-44E3-9099-C40C66FF867C}">
                  <a14:compatExt spid="_x0000_s240784"/>
                </a:ext>
                <a:ext uri="{FF2B5EF4-FFF2-40B4-BE49-F238E27FC236}">
                  <a16:creationId xmlns:a16="http://schemas.microsoft.com/office/drawing/2014/main" id="{00000000-0008-0000-0900-000090A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0A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0A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0A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0A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240640" name="Ellipse 240639">
          <a:extLst>
            <a:ext uri="{FF2B5EF4-FFF2-40B4-BE49-F238E27FC236}">
              <a16:creationId xmlns:a16="http://schemas.microsoft.com/office/drawing/2014/main" id="{00000000-0008-0000-0A00-000000AC03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240785" name="Groupe 240784">
              <a:extLst>
                <a:ext uri="{FF2B5EF4-FFF2-40B4-BE49-F238E27FC236}">
                  <a16:creationId xmlns:a16="http://schemas.microsoft.com/office/drawing/2014/main" id="{00000000-0008-0000-0A00-000091AC0300}"/>
                </a:ext>
              </a:extLst>
            </xdr:cNvPr>
            <xdr:cNvGrpSpPr/>
          </xdr:nvGrpSpPr>
          <xdr:grpSpPr>
            <a:xfrm>
              <a:off x="3706091" y="8866909"/>
              <a:ext cx="1962727" cy="1651000"/>
              <a:chOff x="2995436" y="3846782"/>
              <a:chExt cx="1960181" cy="1644870"/>
            </a:xfrm>
          </xdr:grpSpPr>
          <xdr:sp macro="" textlink="">
            <xdr:nvSpPr>
              <xdr:cNvPr id="11" name="Option Button 145" hidden="1">
                <a:extLst>
                  <a:ext uri="{63B3BB69-23CF-44E3-9099-C40C66FF867C}">
                    <a14:compatExt spid="_x0000_s240785"/>
                  </a:ext>
                  <a:ext uri="{FF2B5EF4-FFF2-40B4-BE49-F238E27FC236}">
                    <a16:creationId xmlns:a16="http://schemas.microsoft.com/office/drawing/2014/main" id="{00000000-0008-0000-0900-00000B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786" name="Option Button 146" hidden="1">
                <a:extLst>
                  <a:ext uri="{63B3BB69-23CF-44E3-9099-C40C66FF867C}">
                    <a14:compatExt spid="_x0000_s240786"/>
                  </a:ext>
                  <a:ext uri="{FF2B5EF4-FFF2-40B4-BE49-F238E27FC236}">
                    <a16:creationId xmlns:a16="http://schemas.microsoft.com/office/drawing/2014/main" id="{00000000-0008-0000-0900-000092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787" name="Option Button 147" hidden="1">
                <a:extLst>
                  <a:ext uri="{63B3BB69-23CF-44E3-9099-C40C66FF867C}">
                    <a14:compatExt spid="_x0000_s240787"/>
                  </a:ext>
                  <a:ext uri="{FF2B5EF4-FFF2-40B4-BE49-F238E27FC236}">
                    <a16:creationId xmlns:a16="http://schemas.microsoft.com/office/drawing/2014/main" id="{00000000-0008-0000-0900-000093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788" name="Option Button 148" hidden="1">
                <a:extLst>
                  <a:ext uri="{63B3BB69-23CF-44E3-9099-C40C66FF867C}">
                    <a14:compatExt spid="_x0000_s240788"/>
                  </a:ext>
                  <a:ext uri="{FF2B5EF4-FFF2-40B4-BE49-F238E27FC236}">
                    <a16:creationId xmlns:a16="http://schemas.microsoft.com/office/drawing/2014/main" id="{00000000-0008-0000-0900-000094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789" name="Group Box 149" hidden="1">
                <a:extLst>
                  <a:ext uri="{63B3BB69-23CF-44E3-9099-C40C66FF867C}">
                    <a14:compatExt spid="_x0000_s240789"/>
                  </a:ext>
                  <a:ext uri="{FF2B5EF4-FFF2-40B4-BE49-F238E27FC236}">
                    <a16:creationId xmlns:a16="http://schemas.microsoft.com/office/drawing/2014/main" id="{00000000-0008-0000-0900-000095AC0300}"/>
                  </a:ext>
                </a:extLst>
              </xdr:cNvPr>
              <xdr:cNvSpPr/>
            </xdr:nvSpPr>
            <xdr:spPr bwMode="auto">
              <a:xfrm>
                <a:off x="2995436" y="3846782"/>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240791" name="ZoneTexte 1">
          <a:extLst>
            <a:ext uri="{FF2B5EF4-FFF2-40B4-BE49-F238E27FC236}">
              <a16:creationId xmlns:a16="http://schemas.microsoft.com/office/drawing/2014/main" id="{00000000-0008-0000-0A00-000097AC03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240792" name="ZoneTexte 1">
          <a:extLst>
            <a:ext uri="{FF2B5EF4-FFF2-40B4-BE49-F238E27FC236}">
              <a16:creationId xmlns:a16="http://schemas.microsoft.com/office/drawing/2014/main" id="{00000000-0008-0000-0A00-000098AC03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240799" name="ZoneTexte 1">
          <a:extLst>
            <a:ext uri="{FF2B5EF4-FFF2-40B4-BE49-F238E27FC236}">
              <a16:creationId xmlns:a16="http://schemas.microsoft.com/office/drawing/2014/main" id="{00000000-0008-0000-0A00-00009FAC03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48</xdr:row>
      <xdr:rowOff>22859</xdr:rowOff>
    </xdr:from>
    <xdr:to>
      <xdr:col>9</xdr:col>
      <xdr:colOff>4572000</xdr:colOff>
      <xdr:row>49</xdr:row>
      <xdr:rowOff>0</xdr:rowOff>
    </xdr:to>
    <xdr:sp macro="" textlink="" fLocksText="0">
      <xdr:nvSpPr>
        <xdr:cNvPr id="240806" name="ZoneTexte 1">
          <a:extLst>
            <a:ext uri="{FF2B5EF4-FFF2-40B4-BE49-F238E27FC236}">
              <a16:creationId xmlns:a16="http://schemas.microsoft.com/office/drawing/2014/main" id="{00000000-0008-0000-0A00-0000A6AC03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240807" name="ZoneTexte 1">
          <a:extLst>
            <a:ext uri="{FF2B5EF4-FFF2-40B4-BE49-F238E27FC236}">
              <a16:creationId xmlns:a16="http://schemas.microsoft.com/office/drawing/2014/main" id="{00000000-0008-0000-0A00-0000A7AC03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240814" name="ZoneTexte 1">
          <a:extLst>
            <a:ext uri="{FF2B5EF4-FFF2-40B4-BE49-F238E27FC236}">
              <a16:creationId xmlns:a16="http://schemas.microsoft.com/office/drawing/2014/main" id="{00000000-0008-0000-0A00-0000AEAC03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240815" name="ZoneTexte 1">
          <a:extLst>
            <a:ext uri="{FF2B5EF4-FFF2-40B4-BE49-F238E27FC236}">
              <a16:creationId xmlns:a16="http://schemas.microsoft.com/office/drawing/2014/main" id="{00000000-0008-0000-0A00-0000AFAC03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240828" name="ZoneTexte 1">
          <a:extLst>
            <a:ext uri="{FF2B5EF4-FFF2-40B4-BE49-F238E27FC236}">
              <a16:creationId xmlns:a16="http://schemas.microsoft.com/office/drawing/2014/main" id="{00000000-0008-0000-0A00-0000BCAC03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240830" name="Groupe 240829">
              <a:extLst>
                <a:ext uri="{FF2B5EF4-FFF2-40B4-BE49-F238E27FC236}">
                  <a16:creationId xmlns:a16="http://schemas.microsoft.com/office/drawing/2014/main" id="{00000000-0008-0000-0A00-0000BEAC0300}"/>
                </a:ext>
              </a:extLst>
            </xdr:cNvPr>
            <xdr:cNvGrpSpPr/>
          </xdr:nvGrpSpPr>
          <xdr:grpSpPr>
            <a:xfrm>
              <a:off x="3706091" y="51388818"/>
              <a:ext cx="1962727" cy="1651000"/>
              <a:chOff x="2995436" y="3846796"/>
              <a:chExt cx="1960181" cy="1644866"/>
            </a:xfrm>
          </xdr:grpSpPr>
          <xdr:sp macro="" textlink="">
            <xdr:nvSpPr>
              <xdr:cNvPr id="12" name="Option Button 175" hidden="1">
                <a:extLst>
                  <a:ext uri="{63B3BB69-23CF-44E3-9099-C40C66FF867C}">
                    <a14:compatExt spid="_x0000_s240815"/>
                  </a:ext>
                  <a:ext uri="{FF2B5EF4-FFF2-40B4-BE49-F238E27FC236}">
                    <a16:creationId xmlns:a16="http://schemas.microsoft.com/office/drawing/2014/main" id="{00000000-0008-0000-0900-00000C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816" name="Option Button 176" hidden="1">
                <a:extLst>
                  <a:ext uri="{63B3BB69-23CF-44E3-9099-C40C66FF867C}">
                    <a14:compatExt spid="_x0000_s240816"/>
                  </a:ext>
                  <a:ext uri="{FF2B5EF4-FFF2-40B4-BE49-F238E27FC236}">
                    <a16:creationId xmlns:a16="http://schemas.microsoft.com/office/drawing/2014/main" id="{00000000-0008-0000-0900-0000B0AC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817" name="Option Button 177" hidden="1">
                <a:extLst>
                  <a:ext uri="{63B3BB69-23CF-44E3-9099-C40C66FF867C}">
                    <a14:compatExt spid="_x0000_s240817"/>
                  </a:ext>
                  <a:ext uri="{FF2B5EF4-FFF2-40B4-BE49-F238E27FC236}">
                    <a16:creationId xmlns:a16="http://schemas.microsoft.com/office/drawing/2014/main" id="{00000000-0008-0000-0900-0000B1AC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818" name="Option Button 178" hidden="1">
                <a:extLst>
                  <a:ext uri="{63B3BB69-23CF-44E3-9099-C40C66FF867C}">
                    <a14:compatExt spid="_x0000_s240818"/>
                  </a:ext>
                  <a:ext uri="{FF2B5EF4-FFF2-40B4-BE49-F238E27FC236}">
                    <a16:creationId xmlns:a16="http://schemas.microsoft.com/office/drawing/2014/main" id="{00000000-0008-0000-0900-0000B2AC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819" name="Group Box 179" hidden="1">
                <a:extLst>
                  <a:ext uri="{63B3BB69-23CF-44E3-9099-C40C66FF867C}">
                    <a14:compatExt spid="_x0000_s240819"/>
                  </a:ext>
                  <a:ext uri="{FF2B5EF4-FFF2-40B4-BE49-F238E27FC236}">
                    <a16:creationId xmlns:a16="http://schemas.microsoft.com/office/drawing/2014/main" id="{00000000-0008-0000-0900-0000B3AC0300}"/>
                  </a:ext>
                </a:extLst>
              </xdr:cNvPr>
              <xdr:cNvSpPr/>
            </xdr:nvSpPr>
            <xdr:spPr bwMode="auto">
              <a:xfrm>
                <a:off x="2995436" y="3846796"/>
                <a:ext cx="1960181" cy="164486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240836" name="Groupe 240835">
              <a:extLst>
                <a:ext uri="{FF2B5EF4-FFF2-40B4-BE49-F238E27FC236}">
                  <a16:creationId xmlns:a16="http://schemas.microsoft.com/office/drawing/2014/main" id="{00000000-0008-0000-0A00-0000C4AC0300}"/>
                </a:ext>
              </a:extLst>
            </xdr:cNvPr>
            <xdr:cNvGrpSpPr/>
          </xdr:nvGrpSpPr>
          <xdr:grpSpPr>
            <a:xfrm>
              <a:off x="3706091" y="49737818"/>
              <a:ext cx="1962727" cy="1653055"/>
              <a:chOff x="2994715" y="2201915"/>
              <a:chExt cx="1960969" cy="1646923"/>
            </a:xfrm>
          </xdr:grpSpPr>
          <xdr:sp macro="" textlink="">
            <xdr:nvSpPr>
              <xdr:cNvPr id="240820" name="Option Button 180" descr="Case d'option 47" hidden="1">
                <a:extLst>
                  <a:ext uri="{63B3BB69-23CF-44E3-9099-C40C66FF867C}">
                    <a14:compatExt spid="_x0000_s240820"/>
                  </a:ext>
                  <a:ext uri="{FF2B5EF4-FFF2-40B4-BE49-F238E27FC236}">
                    <a16:creationId xmlns:a16="http://schemas.microsoft.com/office/drawing/2014/main" id="{00000000-0008-0000-0900-0000B4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821" name="Option Button 181" hidden="1">
                <a:extLst>
                  <a:ext uri="{63B3BB69-23CF-44E3-9099-C40C66FF867C}">
                    <a14:compatExt spid="_x0000_s240821"/>
                  </a:ext>
                  <a:ext uri="{FF2B5EF4-FFF2-40B4-BE49-F238E27FC236}">
                    <a16:creationId xmlns:a16="http://schemas.microsoft.com/office/drawing/2014/main" id="{00000000-0008-0000-0900-0000B5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822" name="Option Button 182" hidden="1">
                <a:extLst>
                  <a:ext uri="{63B3BB69-23CF-44E3-9099-C40C66FF867C}">
                    <a14:compatExt spid="_x0000_s240822"/>
                  </a:ext>
                  <a:ext uri="{FF2B5EF4-FFF2-40B4-BE49-F238E27FC236}">
                    <a16:creationId xmlns:a16="http://schemas.microsoft.com/office/drawing/2014/main" id="{00000000-0008-0000-0900-0000B6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823" name="Option Button 183" hidden="1">
                <a:extLst>
                  <a:ext uri="{63B3BB69-23CF-44E3-9099-C40C66FF867C}">
                    <a14:compatExt spid="_x0000_s240823"/>
                  </a:ext>
                  <a:ext uri="{FF2B5EF4-FFF2-40B4-BE49-F238E27FC236}">
                    <a16:creationId xmlns:a16="http://schemas.microsoft.com/office/drawing/2014/main" id="{00000000-0008-0000-0900-0000B7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824" name="Group Box 184" hidden="1">
                <a:extLst>
                  <a:ext uri="{63B3BB69-23CF-44E3-9099-C40C66FF867C}">
                    <a14:compatExt spid="_x0000_s240824"/>
                  </a:ext>
                  <a:ext uri="{FF2B5EF4-FFF2-40B4-BE49-F238E27FC236}">
                    <a16:creationId xmlns:a16="http://schemas.microsoft.com/office/drawing/2014/main" id="{00000000-0008-0000-0900-0000B8AC0300}"/>
                  </a:ext>
                </a:extLst>
              </xdr:cNvPr>
              <xdr:cNvSpPr/>
            </xdr:nvSpPr>
            <xdr:spPr bwMode="auto">
              <a:xfrm>
                <a:off x="2994715" y="2201915"/>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240842" name="ZoneTexte 1">
          <a:extLst>
            <a:ext uri="{FF2B5EF4-FFF2-40B4-BE49-F238E27FC236}">
              <a16:creationId xmlns:a16="http://schemas.microsoft.com/office/drawing/2014/main" id="{00000000-0008-0000-0A00-0000CAAC03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2036380</xdr:rowOff>
    </xdr:to>
    <xdr:sp macro="" textlink="" fLocksText="0">
      <xdr:nvSpPr>
        <xdr:cNvPr id="240843" name="ZoneTexte 1">
          <a:extLst>
            <a:ext uri="{FF2B5EF4-FFF2-40B4-BE49-F238E27FC236}">
              <a16:creationId xmlns:a16="http://schemas.microsoft.com/office/drawing/2014/main" id="{00000000-0008-0000-0A00-0000CBAC0300}"/>
            </a:ext>
          </a:extLst>
        </xdr:cNvPr>
        <xdr:cNvSpPr txBox="1">
          <a:spLocks noChangeArrowheads="1"/>
        </xdr:cNvSpPr>
      </xdr:nvSpPr>
      <xdr:spPr bwMode="auto">
        <a:xfrm>
          <a:off x="6876256" y="773201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240844" name="ZoneTexte 1">
          <a:extLst>
            <a:ext uri="{FF2B5EF4-FFF2-40B4-BE49-F238E27FC236}">
              <a16:creationId xmlns:a16="http://schemas.microsoft.com/office/drawing/2014/main" id="{00000000-0008-0000-0A00-0000CCAC03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240851" name="Groupe 240850">
              <a:extLst>
                <a:ext uri="{FF2B5EF4-FFF2-40B4-BE49-F238E27FC236}">
                  <a16:creationId xmlns:a16="http://schemas.microsoft.com/office/drawing/2014/main" id="{00000000-0008-0000-0A00-0000D3AC0300}"/>
                </a:ext>
              </a:extLst>
            </xdr:cNvPr>
            <xdr:cNvGrpSpPr/>
          </xdr:nvGrpSpPr>
          <xdr:grpSpPr>
            <a:xfrm>
              <a:off x="3709259" y="54690818"/>
              <a:ext cx="1959559" cy="1651000"/>
              <a:chOff x="2994664" y="2201922"/>
              <a:chExt cx="1960968" cy="1646925"/>
            </a:xfrm>
          </xdr:grpSpPr>
          <xdr:sp macro="" textlink="">
            <xdr:nvSpPr>
              <xdr:cNvPr id="13" name="Option Button 190" descr="Case d'option 47" hidden="1">
                <a:extLst>
                  <a:ext uri="{63B3BB69-23CF-44E3-9099-C40C66FF867C}">
                    <a14:compatExt spid="_x0000_s240830"/>
                  </a:ext>
                  <a:ext uri="{FF2B5EF4-FFF2-40B4-BE49-F238E27FC236}">
                    <a16:creationId xmlns:a16="http://schemas.microsoft.com/office/drawing/2014/main" id="{00000000-0008-0000-0900-00000D0000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0831" name="Option Button 191" hidden="1">
                <a:extLst>
                  <a:ext uri="{63B3BB69-23CF-44E3-9099-C40C66FF867C}">
                    <a14:compatExt spid="_x0000_s240831"/>
                  </a:ext>
                  <a:ext uri="{FF2B5EF4-FFF2-40B4-BE49-F238E27FC236}">
                    <a16:creationId xmlns:a16="http://schemas.microsoft.com/office/drawing/2014/main" id="{00000000-0008-0000-0900-0000BFAC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832" name="Option Button 192" hidden="1">
                <a:extLst>
                  <a:ext uri="{63B3BB69-23CF-44E3-9099-C40C66FF867C}">
                    <a14:compatExt spid="_x0000_s240832"/>
                  </a:ext>
                  <a:ext uri="{FF2B5EF4-FFF2-40B4-BE49-F238E27FC236}">
                    <a16:creationId xmlns:a16="http://schemas.microsoft.com/office/drawing/2014/main" id="{00000000-0008-0000-0900-0000C0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833" name="Option Button 193" hidden="1">
                <a:extLst>
                  <a:ext uri="{63B3BB69-23CF-44E3-9099-C40C66FF867C}">
                    <a14:compatExt spid="_x0000_s240833"/>
                  </a:ext>
                  <a:ext uri="{FF2B5EF4-FFF2-40B4-BE49-F238E27FC236}">
                    <a16:creationId xmlns:a16="http://schemas.microsoft.com/office/drawing/2014/main" id="{00000000-0008-0000-0900-0000C1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834" name="Group Box 194" hidden="1">
                <a:extLst>
                  <a:ext uri="{63B3BB69-23CF-44E3-9099-C40C66FF867C}">
                    <a14:compatExt spid="_x0000_s240834"/>
                  </a:ext>
                  <a:ext uri="{FF2B5EF4-FFF2-40B4-BE49-F238E27FC236}">
                    <a16:creationId xmlns:a16="http://schemas.microsoft.com/office/drawing/2014/main" id="{00000000-0008-0000-0900-0000C2AC0300}"/>
                  </a:ext>
                </a:extLst>
              </xdr:cNvPr>
              <xdr:cNvSpPr/>
            </xdr:nvSpPr>
            <xdr:spPr bwMode="auto">
              <a:xfrm>
                <a:off x="2994664" y="2201922"/>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240857" name="Groupe 240856">
              <a:extLst>
                <a:ext uri="{FF2B5EF4-FFF2-40B4-BE49-F238E27FC236}">
                  <a16:creationId xmlns:a16="http://schemas.microsoft.com/office/drawing/2014/main" id="{00000000-0008-0000-0A00-0000D9AC0300}"/>
                </a:ext>
              </a:extLst>
            </xdr:cNvPr>
            <xdr:cNvGrpSpPr/>
          </xdr:nvGrpSpPr>
          <xdr:grpSpPr>
            <a:xfrm>
              <a:off x="3706091" y="53039818"/>
              <a:ext cx="1962727" cy="1651000"/>
              <a:chOff x="2994711" y="2201919"/>
              <a:chExt cx="1960969" cy="1646929"/>
            </a:xfrm>
          </xdr:grpSpPr>
          <xdr:sp macro="" textlink="">
            <xdr:nvSpPr>
              <xdr:cNvPr id="240835" name="Option Button 195" descr="Case d'option 47" hidden="1">
                <a:extLst>
                  <a:ext uri="{63B3BB69-23CF-44E3-9099-C40C66FF867C}">
                    <a14:compatExt spid="_x0000_s240835"/>
                  </a:ext>
                  <a:ext uri="{FF2B5EF4-FFF2-40B4-BE49-F238E27FC236}">
                    <a16:creationId xmlns:a16="http://schemas.microsoft.com/office/drawing/2014/main" id="{00000000-0008-0000-0900-0000C3AC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14" name="Option Button 196" hidden="1">
                <a:extLst>
                  <a:ext uri="{63B3BB69-23CF-44E3-9099-C40C66FF867C}">
                    <a14:compatExt spid="_x0000_s240836"/>
                  </a:ext>
                  <a:ext uri="{FF2B5EF4-FFF2-40B4-BE49-F238E27FC236}">
                    <a16:creationId xmlns:a16="http://schemas.microsoft.com/office/drawing/2014/main" id="{00000000-0008-0000-0900-00000E0000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0837" name="Option Button 197" hidden="1">
                <a:extLst>
                  <a:ext uri="{63B3BB69-23CF-44E3-9099-C40C66FF867C}">
                    <a14:compatExt spid="_x0000_s240837"/>
                  </a:ext>
                  <a:ext uri="{FF2B5EF4-FFF2-40B4-BE49-F238E27FC236}">
                    <a16:creationId xmlns:a16="http://schemas.microsoft.com/office/drawing/2014/main" id="{00000000-0008-0000-0900-0000C5AC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0838" name="Option Button 198" hidden="1">
                <a:extLst>
                  <a:ext uri="{63B3BB69-23CF-44E3-9099-C40C66FF867C}">
                    <a14:compatExt spid="_x0000_s240838"/>
                  </a:ext>
                  <a:ext uri="{FF2B5EF4-FFF2-40B4-BE49-F238E27FC236}">
                    <a16:creationId xmlns:a16="http://schemas.microsoft.com/office/drawing/2014/main" id="{00000000-0008-0000-0900-0000C6AC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0839" name="Group Box 199" hidden="1">
                <a:extLst>
                  <a:ext uri="{63B3BB69-23CF-44E3-9099-C40C66FF867C}">
                    <a14:compatExt spid="_x0000_s240839"/>
                  </a:ext>
                  <a:ext uri="{FF2B5EF4-FFF2-40B4-BE49-F238E27FC236}">
                    <a16:creationId xmlns:a16="http://schemas.microsoft.com/office/drawing/2014/main" id="{00000000-0008-0000-0900-0000C7AC0300}"/>
                  </a:ext>
                </a:extLst>
              </xdr:cNvPr>
              <xdr:cNvSpPr/>
            </xdr:nvSpPr>
            <xdr:spPr bwMode="auto">
              <a:xfrm>
                <a:off x="2994711" y="2201919"/>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240863" name="Ellipse 240862">
          <a:extLst>
            <a:ext uri="{FF2B5EF4-FFF2-40B4-BE49-F238E27FC236}">
              <a16:creationId xmlns:a16="http://schemas.microsoft.com/office/drawing/2014/main" id="{00000000-0008-0000-0A00-0000DFAC03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240864" name="ZoneTexte 1">
          <a:extLst>
            <a:ext uri="{FF2B5EF4-FFF2-40B4-BE49-F238E27FC236}">
              <a16:creationId xmlns:a16="http://schemas.microsoft.com/office/drawing/2014/main" id="{00000000-0008-0000-0A00-0000E0AC03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240865" name="ZoneTexte 1">
          <a:extLst>
            <a:ext uri="{FF2B5EF4-FFF2-40B4-BE49-F238E27FC236}">
              <a16:creationId xmlns:a16="http://schemas.microsoft.com/office/drawing/2014/main" id="{00000000-0008-0000-0A00-0000E1AC03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240878" name="ZoneTexte 1">
          <a:extLst>
            <a:ext uri="{FF2B5EF4-FFF2-40B4-BE49-F238E27FC236}">
              <a16:creationId xmlns:a16="http://schemas.microsoft.com/office/drawing/2014/main" id="{00000000-0008-0000-0A00-0000EEAC03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110</xdr:row>
      <xdr:rowOff>57150</xdr:rowOff>
    </xdr:from>
    <xdr:to>
      <xdr:col>9</xdr:col>
      <xdr:colOff>4451453</xdr:colOff>
      <xdr:row>111</xdr:row>
      <xdr:rowOff>0</xdr:rowOff>
    </xdr:to>
    <xdr:sp macro="" textlink="">
      <xdr:nvSpPr>
        <xdr:cNvPr id="240879" name="ZoneTexte 1">
          <a:extLst>
            <a:ext uri="{FF2B5EF4-FFF2-40B4-BE49-F238E27FC236}">
              <a16:creationId xmlns:a16="http://schemas.microsoft.com/office/drawing/2014/main" id="{00000000-0008-0000-0A00-0000EFAC0300}"/>
            </a:ext>
          </a:extLst>
        </xdr:cNvPr>
        <xdr:cNvSpPr txBox="1">
          <a:spLocks noChangeArrowheads="1"/>
        </xdr:cNvSpPr>
      </xdr:nvSpPr>
      <xdr:spPr bwMode="auto">
        <a:xfrm>
          <a:off x="6894195" y="87755730"/>
          <a:ext cx="4422878" cy="158877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a:lstStyle/>
        <a:p>
          <a:endParaRPr lang="fr-FR"/>
        </a:p>
      </xdr:txBody>
    </xdr:sp>
    <xdr:clientData/>
  </xdr:twoCellAnchor>
  <xdr:twoCellAnchor>
    <xdr:from>
      <xdr:col>9</xdr:col>
      <xdr:colOff>28575</xdr:colOff>
      <xdr:row>111</xdr:row>
      <xdr:rowOff>15675</xdr:rowOff>
    </xdr:from>
    <xdr:to>
      <xdr:col>9</xdr:col>
      <xdr:colOff>4503756</xdr:colOff>
      <xdr:row>112</xdr:row>
      <xdr:rowOff>0</xdr:rowOff>
    </xdr:to>
    <xdr:sp macro="" textlink="" fLocksText="0">
      <xdr:nvSpPr>
        <xdr:cNvPr id="240892" name="ZoneTexte 1">
          <a:extLst>
            <a:ext uri="{FF2B5EF4-FFF2-40B4-BE49-F238E27FC236}">
              <a16:creationId xmlns:a16="http://schemas.microsoft.com/office/drawing/2014/main" id="{00000000-0008-0000-0A00-0000FCAC03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2036380</xdr:rowOff>
    </xdr:to>
    <xdr:sp macro="" textlink="" fLocksText="0">
      <xdr:nvSpPr>
        <xdr:cNvPr id="240893" name="ZoneTexte 1">
          <a:extLst>
            <a:ext uri="{FF2B5EF4-FFF2-40B4-BE49-F238E27FC236}">
              <a16:creationId xmlns:a16="http://schemas.microsoft.com/office/drawing/2014/main" id="{00000000-0008-0000-0A00-0000FDAC0300}"/>
            </a:ext>
          </a:extLst>
        </xdr:cNvPr>
        <xdr:cNvSpPr txBox="1">
          <a:spLocks noChangeArrowheads="1"/>
        </xdr:cNvSpPr>
      </xdr:nvSpPr>
      <xdr:spPr bwMode="auto">
        <a:xfrm>
          <a:off x="6876256" y="910132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240894" name="ZoneTexte 1">
          <a:extLst>
            <a:ext uri="{FF2B5EF4-FFF2-40B4-BE49-F238E27FC236}">
              <a16:creationId xmlns:a16="http://schemas.microsoft.com/office/drawing/2014/main" id="{00000000-0008-0000-0A00-0000FEAC03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5</xdr:col>
      <xdr:colOff>9181</xdr:colOff>
      <xdr:row>106</xdr:row>
      <xdr:rowOff>165251</xdr:rowOff>
    </xdr:from>
    <xdr:to>
      <xdr:col>5</xdr:col>
      <xdr:colOff>462364</xdr:colOff>
      <xdr:row>107</xdr:row>
      <xdr:rowOff>415621</xdr:rowOff>
    </xdr:to>
    <xdr:sp macro="" textlink="">
      <xdr:nvSpPr>
        <xdr:cNvPr id="240913" name="Ellipse 240912">
          <a:extLst>
            <a:ext uri="{FF2B5EF4-FFF2-40B4-BE49-F238E27FC236}">
              <a16:creationId xmlns:a16="http://schemas.microsoft.com/office/drawing/2014/main" id="{00000000-0008-0000-0A00-000011AD03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36285</xdr:colOff>
      <xdr:row>12</xdr:row>
      <xdr:rowOff>24190</xdr:rowOff>
    </xdr:from>
    <xdr:to>
      <xdr:col>9</xdr:col>
      <xdr:colOff>4508264</xdr:colOff>
      <xdr:row>13</xdr:row>
      <xdr:rowOff>0</xdr:rowOff>
    </xdr:to>
    <xdr:sp macro="" textlink="" fLocksText="0">
      <xdr:nvSpPr>
        <xdr:cNvPr id="15" name="ZoneTexte 14">
          <a:extLst>
            <a:ext uri="{FF2B5EF4-FFF2-40B4-BE49-F238E27FC236}">
              <a16:creationId xmlns:a16="http://schemas.microsoft.com/office/drawing/2014/main" id="{52975F94-47E7-4CD1-BC39-A821C3D252B6}"/>
            </a:ext>
          </a:extLst>
        </xdr:cNvPr>
        <xdr:cNvSpPr txBox="1">
          <a:spLocks noChangeArrowheads="1"/>
        </xdr:cNvSpPr>
      </xdr:nvSpPr>
      <xdr:spPr bwMode="auto">
        <a:xfrm>
          <a:off x="6906380" y="5043714"/>
          <a:ext cx="4471979" cy="1620762"/>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48380</xdr:colOff>
      <xdr:row>28</xdr:row>
      <xdr:rowOff>24190</xdr:rowOff>
    </xdr:from>
    <xdr:to>
      <xdr:col>9</xdr:col>
      <xdr:colOff>4520359</xdr:colOff>
      <xdr:row>29</xdr:row>
      <xdr:rowOff>1330</xdr:rowOff>
    </xdr:to>
    <xdr:sp macro="" textlink="" fLocksText="0">
      <xdr:nvSpPr>
        <xdr:cNvPr id="24" name="ZoneTexte 23">
          <a:extLst>
            <a:ext uri="{FF2B5EF4-FFF2-40B4-BE49-F238E27FC236}">
              <a16:creationId xmlns:a16="http://schemas.microsoft.com/office/drawing/2014/main" id="{78FB6E82-7C61-4A06-913A-9BD87042F718}"/>
            </a:ext>
          </a:extLst>
        </xdr:cNvPr>
        <xdr:cNvSpPr txBox="1">
          <a:spLocks noChangeArrowheads="1"/>
        </xdr:cNvSpPr>
      </xdr:nvSpPr>
      <xdr:spPr bwMode="auto">
        <a:xfrm>
          <a:off x="6918475" y="10498666"/>
          <a:ext cx="4471979" cy="162209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31314</xdr:colOff>
      <xdr:row>44</xdr:row>
      <xdr:rowOff>31314</xdr:rowOff>
    </xdr:from>
    <xdr:to>
      <xdr:col>9</xdr:col>
      <xdr:colOff>4572000</xdr:colOff>
      <xdr:row>44</xdr:row>
      <xdr:rowOff>1899781</xdr:rowOff>
    </xdr:to>
    <xdr:sp macro="" textlink="" fLocksText="0">
      <xdr:nvSpPr>
        <xdr:cNvPr id="49" name="ZoneTexte 48">
          <a:extLst>
            <a:ext uri="{FF2B5EF4-FFF2-40B4-BE49-F238E27FC236}">
              <a16:creationId xmlns:a16="http://schemas.microsoft.com/office/drawing/2014/main" id="{F4D882A0-E891-4027-B344-69D207800F1B}"/>
            </a:ext>
          </a:extLst>
        </xdr:cNvPr>
        <xdr:cNvSpPr txBox="1">
          <a:spLocks noChangeArrowheads="1"/>
        </xdr:cNvSpPr>
      </xdr:nvSpPr>
      <xdr:spPr bwMode="auto">
        <a:xfrm>
          <a:off x="6899752" y="23047889"/>
          <a:ext cx="4540686" cy="1868467"/>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20876</xdr:colOff>
      <xdr:row>60</xdr:row>
      <xdr:rowOff>20876</xdr:rowOff>
    </xdr:from>
    <xdr:to>
      <xdr:col>9</xdr:col>
      <xdr:colOff>4492855</xdr:colOff>
      <xdr:row>60</xdr:row>
      <xdr:rowOff>1647276</xdr:rowOff>
    </xdr:to>
    <xdr:sp macro="" textlink="" fLocksText="0">
      <xdr:nvSpPr>
        <xdr:cNvPr id="57" name="ZoneTexte 56">
          <a:extLst>
            <a:ext uri="{FF2B5EF4-FFF2-40B4-BE49-F238E27FC236}">
              <a16:creationId xmlns:a16="http://schemas.microsoft.com/office/drawing/2014/main" id="{FDCF0CC3-5282-4D6B-8D29-7A51FEFB94DF}"/>
            </a:ext>
          </a:extLst>
        </xdr:cNvPr>
        <xdr:cNvSpPr txBox="1">
          <a:spLocks noChangeArrowheads="1"/>
        </xdr:cNvSpPr>
      </xdr:nvSpPr>
      <xdr:spPr bwMode="auto">
        <a:xfrm>
          <a:off x="6889314" y="31951808"/>
          <a:ext cx="4471979" cy="16264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20876</xdr:colOff>
      <xdr:row>78</xdr:row>
      <xdr:rowOff>20876</xdr:rowOff>
    </xdr:from>
    <xdr:to>
      <xdr:col>9</xdr:col>
      <xdr:colOff>4492855</xdr:colOff>
      <xdr:row>78</xdr:row>
      <xdr:rowOff>1647276</xdr:rowOff>
    </xdr:to>
    <xdr:sp macro="" textlink="" fLocksText="0">
      <xdr:nvSpPr>
        <xdr:cNvPr id="240646" name="ZoneTexte 240645">
          <a:extLst>
            <a:ext uri="{FF2B5EF4-FFF2-40B4-BE49-F238E27FC236}">
              <a16:creationId xmlns:a16="http://schemas.microsoft.com/office/drawing/2014/main" id="{368F79F9-5425-4D4A-8509-1357BFF9E354}"/>
            </a:ext>
          </a:extLst>
        </xdr:cNvPr>
        <xdr:cNvSpPr txBox="1">
          <a:spLocks noChangeArrowheads="1"/>
        </xdr:cNvSpPr>
      </xdr:nvSpPr>
      <xdr:spPr bwMode="auto">
        <a:xfrm>
          <a:off x="6889314" y="42713753"/>
          <a:ext cx="4471979" cy="16264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20876</xdr:colOff>
      <xdr:row>94</xdr:row>
      <xdr:rowOff>20876</xdr:rowOff>
    </xdr:from>
    <xdr:to>
      <xdr:col>9</xdr:col>
      <xdr:colOff>4492855</xdr:colOff>
      <xdr:row>94</xdr:row>
      <xdr:rowOff>1647276</xdr:rowOff>
    </xdr:to>
    <xdr:sp macro="" textlink="" fLocksText="0">
      <xdr:nvSpPr>
        <xdr:cNvPr id="240652" name="ZoneTexte 240651">
          <a:extLst>
            <a:ext uri="{FF2B5EF4-FFF2-40B4-BE49-F238E27FC236}">
              <a16:creationId xmlns:a16="http://schemas.microsoft.com/office/drawing/2014/main" id="{A59E1E80-8FDA-4579-B408-E7BD2189FF88}"/>
            </a:ext>
          </a:extLst>
        </xdr:cNvPr>
        <xdr:cNvSpPr txBox="1">
          <a:spLocks noChangeArrowheads="1"/>
        </xdr:cNvSpPr>
      </xdr:nvSpPr>
      <xdr:spPr bwMode="auto">
        <a:xfrm>
          <a:off x="6889314" y="51450657"/>
          <a:ext cx="4471979" cy="16264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1022806</xdr:colOff>
      <xdr:row>21</xdr:row>
      <xdr:rowOff>75871</xdr:rowOff>
    </xdr:from>
    <xdr:to>
      <xdr:col>6</xdr:col>
      <xdr:colOff>4086681</xdr:colOff>
      <xdr:row>22</xdr:row>
      <xdr:rowOff>108857</xdr:rowOff>
    </xdr:to>
    <xdr:sp macro="[0]!CalculMaturiteVF" textlink="">
      <xdr:nvSpPr>
        <xdr:cNvPr id="2" name="Rectangle : coins arrondis 1">
          <a:extLst>
            <a:ext uri="{FF2B5EF4-FFF2-40B4-BE49-F238E27FC236}">
              <a16:creationId xmlns:a16="http://schemas.microsoft.com/office/drawing/2014/main" id="{00000000-0008-0000-0B00-000002000000}"/>
            </a:ext>
          </a:extLst>
        </xdr:cNvPr>
        <xdr:cNvSpPr/>
      </xdr:nvSpPr>
      <xdr:spPr>
        <a:xfrm>
          <a:off x="3567342" y="8825264"/>
          <a:ext cx="3063875" cy="672522"/>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28574</xdr:colOff>
      <xdr:row>11</xdr:row>
      <xdr:rowOff>22860</xdr:rowOff>
    </xdr:from>
    <xdr:to>
      <xdr:col>9</xdr:col>
      <xdr:colOff>4500553</xdr:colOff>
      <xdr:row>12</xdr:row>
      <xdr:rowOff>0</xdr:rowOff>
    </xdr:to>
    <xdr:sp macro="" textlink="" fLocksText="0">
      <xdr:nvSpPr>
        <xdr:cNvPr id="2" name="ZoneTexte 1">
          <a:extLst>
            <a:ext uri="{FF2B5EF4-FFF2-40B4-BE49-F238E27FC236}">
              <a16:creationId xmlns:a16="http://schemas.microsoft.com/office/drawing/2014/main" id="{00000000-0008-0000-0C00-000002000000}"/>
            </a:ext>
          </a:extLst>
        </xdr:cNvPr>
        <xdr:cNvSpPr txBox="1">
          <a:spLocks noChangeArrowheads="1"/>
        </xdr:cNvSpPr>
      </xdr:nvSpPr>
      <xdr:spPr bwMode="auto">
        <a:xfrm>
          <a:off x="6894194" y="3398520"/>
          <a:ext cx="447197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28574</xdr:colOff>
      <xdr:row>13</xdr:row>
      <xdr:rowOff>15675</xdr:rowOff>
    </xdr:from>
    <xdr:to>
      <xdr:col>9</xdr:col>
      <xdr:colOff>4500553</xdr:colOff>
      <xdr:row>14</xdr:row>
      <xdr:rowOff>0</xdr:rowOff>
    </xdr:to>
    <xdr:sp macro="" textlink="" fLocksText="0">
      <xdr:nvSpPr>
        <xdr:cNvPr id="4" name="ZoneTexte 1">
          <a:extLst>
            <a:ext uri="{FF2B5EF4-FFF2-40B4-BE49-F238E27FC236}">
              <a16:creationId xmlns:a16="http://schemas.microsoft.com/office/drawing/2014/main" id="{00000000-0008-0000-0C00-000004000000}"/>
            </a:ext>
          </a:extLst>
        </xdr:cNvPr>
        <xdr:cNvSpPr txBox="1">
          <a:spLocks noChangeArrowheads="1"/>
        </xdr:cNvSpPr>
      </xdr:nvSpPr>
      <xdr:spPr bwMode="auto">
        <a:xfrm>
          <a:off x="6894194" y="6683175"/>
          <a:ext cx="447197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xdr:row>
          <xdr:rowOff>0</xdr:rowOff>
        </xdr:from>
        <xdr:to>
          <xdr:col>8</xdr:col>
          <xdr:colOff>0</xdr:colOff>
          <xdr:row>13</xdr:row>
          <xdr:rowOff>0</xdr:rowOff>
        </xdr:to>
        <xdr:grpSp>
          <xdr:nvGrpSpPr>
            <xdr:cNvPr id="5" name="Groupe 4">
              <a:extLst>
                <a:ext uri="{FF2B5EF4-FFF2-40B4-BE49-F238E27FC236}">
                  <a16:creationId xmlns:a16="http://schemas.microsoft.com/office/drawing/2014/main" id="{00000000-0008-0000-0C00-000005000000}"/>
                </a:ext>
              </a:extLst>
            </xdr:cNvPr>
            <xdr:cNvGrpSpPr/>
          </xdr:nvGrpSpPr>
          <xdr:grpSpPr>
            <a:xfrm>
              <a:off x="4009292" y="5052646"/>
              <a:ext cx="1957754" cy="1969477"/>
              <a:chOff x="2995436" y="3846789"/>
              <a:chExt cx="1960181" cy="1644870"/>
            </a:xfrm>
          </xdr:grpSpPr>
          <xdr:sp macro="" textlink="">
            <xdr:nvSpPr>
              <xdr:cNvPr id="241665" name="Option Button 1" hidden="1">
                <a:extLst>
                  <a:ext uri="{63B3BB69-23CF-44E3-9099-C40C66FF867C}">
                    <a14:compatExt spid="_x0000_s241665"/>
                  </a:ext>
                  <a:ext uri="{FF2B5EF4-FFF2-40B4-BE49-F238E27FC236}">
                    <a16:creationId xmlns:a16="http://schemas.microsoft.com/office/drawing/2014/main" id="{00000000-0008-0000-0B00-000001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66" name="Option Button 2" hidden="1">
                <a:extLst>
                  <a:ext uri="{63B3BB69-23CF-44E3-9099-C40C66FF867C}">
                    <a14:compatExt spid="_x0000_s241666"/>
                  </a:ext>
                  <a:ext uri="{FF2B5EF4-FFF2-40B4-BE49-F238E27FC236}">
                    <a16:creationId xmlns:a16="http://schemas.microsoft.com/office/drawing/2014/main" id="{00000000-0008-0000-0B00-000002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67" name="Option Button 3" hidden="1">
                <a:extLst>
                  <a:ext uri="{63B3BB69-23CF-44E3-9099-C40C66FF867C}">
                    <a14:compatExt spid="_x0000_s241667"/>
                  </a:ext>
                  <a:ext uri="{FF2B5EF4-FFF2-40B4-BE49-F238E27FC236}">
                    <a16:creationId xmlns:a16="http://schemas.microsoft.com/office/drawing/2014/main" id="{00000000-0008-0000-0B00-000003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68" name="Option Button 4" hidden="1">
                <a:extLst>
                  <a:ext uri="{63B3BB69-23CF-44E3-9099-C40C66FF867C}">
                    <a14:compatExt spid="_x0000_s241668"/>
                  </a:ext>
                  <a:ext uri="{FF2B5EF4-FFF2-40B4-BE49-F238E27FC236}">
                    <a16:creationId xmlns:a16="http://schemas.microsoft.com/office/drawing/2014/main" id="{00000000-0008-0000-0B00-000004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669" name="Group Box 5" hidden="1">
                <a:extLst>
                  <a:ext uri="{63B3BB69-23CF-44E3-9099-C40C66FF867C}">
                    <a14:compatExt spid="_x0000_s241669"/>
                  </a:ext>
                  <a:ext uri="{FF2B5EF4-FFF2-40B4-BE49-F238E27FC236}">
                    <a16:creationId xmlns:a16="http://schemas.microsoft.com/office/drawing/2014/main" id="{00000000-0008-0000-0B00-000005B00300}"/>
                  </a:ext>
                </a:extLst>
              </xdr:cNvPr>
              <xdr:cNvSpPr/>
            </xdr:nvSpPr>
            <xdr:spPr bwMode="auto">
              <a:xfrm>
                <a:off x="2995436" y="3846789"/>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14</xdr:row>
      <xdr:rowOff>22859</xdr:rowOff>
    </xdr:from>
    <xdr:to>
      <xdr:col>9</xdr:col>
      <xdr:colOff>4529350</xdr:colOff>
      <xdr:row>14</xdr:row>
      <xdr:rowOff>2074332</xdr:rowOff>
    </xdr:to>
    <xdr:sp macro="" textlink="" fLocksText="0">
      <xdr:nvSpPr>
        <xdr:cNvPr id="6" name="ZoneTexte 1">
          <a:extLst>
            <a:ext uri="{FF2B5EF4-FFF2-40B4-BE49-F238E27FC236}">
              <a16:creationId xmlns:a16="http://schemas.microsoft.com/office/drawing/2014/main" id="{00000000-0008-0000-0C00-000006000000}"/>
            </a:ext>
          </a:extLst>
        </xdr:cNvPr>
        <xdr:cNvSpPr txBox="1">
          <a:spLocks noChangeArrowheads="1"/>
        </xdr:cNvSpPr>
      </xdr:nvSpPr>
      <xdr:spPr bwMode="auto">
        <a:xfrm>
          <a:off x="6876255" y="8336279"/>
          <a:ext cx="4518715" cy="162475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15</xdr:row>
      <xdr:rowOff>19739</xdr:rowOff>
    </xdr:from>
    <xdr:to>
      <xdr:col>9</xdr:col>
      <xdr:colOff>4529667</xdr:colOff>
      <xdr:row>15</xdr:row>
      <xdr:rowOff>1621739</xdr:rowOff>
    </xdr:to>
    <xdr:sp macro="" textlink="" fLocksText="0">
      <xdr:nvSpPr>
        <xdr:cNvPr id="7" name="ZoneTexte 1">
          <a:extLst>
            <a:ext uri="{FF2B5EF4-FFF2-40B4-BE49-F238E27FC236}">
              <a16:creationId xmlns:a16="http://schemas.microsoft.com/office/drawing/2014/main" id="{00000000-0008-0000-0C00-000007000000}"/>
            </a:ext>
          </a:extLst>
        </xdr:cNvPr>
        <xdr:cNvSpPr txBox="1">
          <a:spLocks noChangeArrowheads="1"/>
        </xdr:cNvSpPr>
      </xdr:nvSpPr>
      <xdr:spPr bwMode="auto">
        <a:xfrm>
          <a:off x="6876572" y="9979079"/>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16</xdr:row>
      <xdr:rowOff>38468</xdr:rowOff>
    </xdr:from>
    <xdr:to>
      <xdr:col>9</xdr:col>
      <xdr:colOff>4529667</xdr:colOff>
      <xdr:row>16</xdr:row>
      <xdr:rowOff>1640468</xdr:rowOff>
    </xdr:to>
    <xdr:sp macro="" textlink="" fLocksText="0">
      <xdr:nvSpPr>
        <xdr:cNvPr id="8" name="ZoneTexte 1">
          <a:extLst>
            <a:ext uri="{FF2B5EF4-FFF2-40B4-BE49-F238E27FC236}">
              <a16:creationId xmlns:a16="http://schemas.microsoft.com/office/drawing/2014/main" id="{00000000-0008-0000-0C00-000008000000}"/>
            </a:ext>
          </a:extLst>
        </xdr:cNvPr>
        <xdr:cNvSpPr txBox="1">
          <a:spLocks noChangeArrowheads="1"/>
        </xdr:cNvSpPr>
      </xdr:nvSpPr>
      <xdr:spPr bwMode="auto">
        <a:xfrm>
          <a:off x="6876572" y="11643728"/>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15715</xdr:colOff>
      <xdr:row>17</xdr:row>
      <xdr:rowOff>12060</xdr:rowOff>
    </xdr:from>
    <xdr:to>
      <xdr:col>9</xdr:col>
      <xdr:colOff>4534430</xdr:colOff>
      <xdr:row>17</xdr:row>
      <xdr:rowOff>1614060</xdr:rowOff>
    </xdr:to>
    <xdr:sp macro="" textlink="" fLocksText="0">
      <xdr:nvSpPr>
        <xdr:cNvPr id="9" name="ZoneTexte 1">
          <a:extLst>
            <a:ext uri="{FF2B5EF4-FFF2-40B4-BE49-F238E27FC236}">
              <a16:creationId xmlns:a16="http://schemas.microsoft.com/office/drawing/2014/main" id="{00000000-0008-0000-0C00-000009000000}"/>
            </a:ext>
          </a:extLst>
        </xdr:cNvPr>
        <xdr:cNvSpPr txBox="1">
          <a:spLocks noChangeArrowheads="1"/>
        </xdr:cNvSpPr>
      </xdr:nvSpPr>
      <xdr:spPr bwMode="auto">
        <a:xfrm>
          <a:off x="6881335" y="13263240"/>
          <a:ext cx="4518715"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xdr:row>
          <xdr:rowOff>2</xdr:rowOff>
        </xdr:from>
        <xdr:to>
          <xdr:col>8</xdr:col>
          <xdr:colOff>1589</xdr:colOff>
          <xdr:row>12</xdr:row>
          <xdr:rowOff>2058</xdr:rowOff>
        </xdr:to>
        <xdr:grpSp>
          <xdr:nvGrpSpPr>
            <xdr:cNvPr id="10" name="Groupe 9">
              <a:extLst>
                <a:ext uri="{FF2B5EF4-FFF2-40B4-BE49-F238E27FC236}">
                  <a16:creationId xmlns:a16="http://schemas.microsoft.com/office/drawing/2014/main" id="{00000000-0008-0000-0C00-00000A000000}"/>
                </a:ext>
              </a:extLst>
            </xdr:cNvPr>
            <xdr:cNvGrpSpPr/>
          </xdr:nvGrpSpPr>
          <xdr:grpSpPr>
            <a:xfrm>
              <a:off x="4009292" y="3411417"/>
              <a:ext cx="1959343" cy="1643287"/>
              <a:chOff x="3693193" y="3303827"/>
              <a:chExt cx="1959432" cy="1648421"/>
            </a:xfrm>
          </xdr:grpSpPr>
          <xdr:sp macro="" textlink="">
            <xdr:nvSpPr>
              <xdr:cNvPr id="241671" name="Group Box 7" hidden="1">
                <a:extLst>
                  <a:ext uri="{63B3BB69-23CF-44E3-9099-C40C66FF867C}">
                    <a14:compatExt spid="_x0000_s241671"/>
                  </a:ext>
                  <a:ext uri="{FF2B5EF4-FFF2-40B4-BE49-F238E27FC236}">
                    <a16:creationId xmlns:a16="http://schemas.microsoft.com/office/drawing/2014/main" id="{00000000-0008-0000-0B00-000007B00300}"/>
                  </a:ext>
                </a:extLst>
              </xdr:cNvPr>
              <xdr:cNvSpPr/>
            </xdr:nvSpPr>
            <xdr:spPr bwMode="auto">
              <a:xfrm>
                <a:off x="3693193" y="3303827"/>
                <a:ext cx="1959426" cy="1648421"/>
              </a:xfrm>
              <a:prstGeom prst="rect">
                <a:avLst/>
              </a:prstGeom>
              <a:noFill/>
              <a:ln w="9525">
                <a:miter lim="800000"/>
                <a:headEnd/>
                <a:tailEnd/>
              </a:ln>
              <a:extLst>
                <a:ext uri="{909E8E84-426E-40DD-AFC4-6F175D3DCCD1}">
                  <a14:hiddenFill>
                    <a:noFill/>
                  </a14:hiddenFill>
                </a:ext>
              </a:extLst>
            </xdr:spPr>
          </xdr:sp>
          <xdr:sp macro="" textlink="">
            <xdr:nvSpPr>
              <xdr:cNvPr id="241672" name="Option Button 8" descr="Case d'option 47" hidden="1">
                <a:extLst>
                  <a:ext uri="{63B3BB69-23CF-44E3-9099-C40C66FF867C}">
                    <a14:compatExt spid="_x0000_s241672"/>
                  </a:ext>
                  <a:ext uri="{FF2B5EF4-FFF2-40B4-BE49-F238E27FC236}">
                    <a16:creationId xmlns:a16="http://schemas.microsoft.com/office/drawing/2014/main" id="{00000000-0008-0000-0B00-000008B00300}"/>
                  </a:ext>
                </a:extLst>
              </xdr:cNvPr>
              <xdr:cNvSpPr/>
            </xdr:nvSpPr>
            <xdr:spPr bwMode="auto">
              <a:xfrm>
                <a:off x="3800580" y="3372498"/>
                <a:ext cx="1393365" cy="1906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73" name="Option Button 9" hidden="1">
                <a:extLst>
                  <a:ext uri="{63B3BB69-23CF-44E3-9099-C40C66FF867C}">
                    <a14:compatExt spid="_x0000_s241673"/>
                  </a:ext>
                  <a:ext uri="{FF2B5EF4-FFF2-40B4-BE49-F238E27FC236}">
                    <a16:creationId xmlns:a16="http://schemas.microsoft.com/office/drawing/2014/main" id="{00000000-0008-0000-0B00-000009B00300}"/>
                  </a:ext>
                </a:extLst>
              </xdr:cNvPr>
              <xdr:cNvSpPr/>
            </xdr:nvSpPr>
            <xdr:spPr bwMode="auto">
              <a:xfrm>
                <a:off x="3800580" y="3608933"/>
                <a:ext cx="1850207" cy="198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74" name="Option Button 10" hidden="1">
                <a:extLst>
                  <a:ext uri="{63B3BB69-23CF-44E3-9099-C40C66FF867C}">
                    <a14:compatExt spid="_x0000_s241674"/>
                  </a:ext>
                  <a:ext uri="{FF2B5EF4-FFF2-40B4-BE49-F238E27FC236}">
                    <a16:creationId xmlns:a16="http://schemas.microsoft.com/office/drawing/2014/main" id="{00000000-0008-0000-0B00-00000AB00300}"/>
                  </a:ext>
                </a:extLst>
              </xdr:cNvPr>
              <xdr:cNvSpPr/>
            </xdr:nvSpPr>
            <xdr:spPr bwMode="auto">
              <a:xfrm>
                <a:off x="3800580" y="3883503"/>
                <a:ext cx="1852045" cy="1754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75" name="Option Button 11" hidden="1">
                <a:extLst>
                  <a:ext uri="{63B3BB69-23CF-44E3-9099-C40C66FF867C}">
                    <a14:compatExt spid="_x0000_s241675"/>
                  </a:ext>
                  <a:ext uri="{FF2B5EF4-FFF2-40B4-BE49-F238E27FC236}">
                    <a16:creationId xmlns:a16="http://schemas.microsoft.com/office/drawing/2014/main" id="{00000000-0008-0000-0B00-00000BB00300}"/>
                  </a:ext>
                </a:extLst>
              </xdr:cNvPr>
              <xdr:cNvSpPr/>
            </xdr:nvSpPr>
            <xdr:spPr bwMode="auto">
              <a:xfrm>
                <a:off x="3800580" y="4127565"/>
                <a:ext cx="829928" cy="1830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2</xdr:rowOff>
        </xdr:from>
        <xdr:to>
          <xdr:col>8</xdr:col>
          <xdr:colOff>0</xdr:colOff>
          <xdr:row>18</xdr:row>
          <xdr:rowOff>378</xdr:rowOff>
        </xdr:to>
        <xdr:grpSp>
          <xdr:nvGrpSpPr>
            <xdr:cNvPr id="11" name="Groupe 10">
              <a:extLst>
                <a:ext uri="{FF2B5EF4-FFF2-40B4-BE49-F238E27FC236}">
                  <a16:creationId xmlns:a16="http://schemas.microsoft.com/office/drawing/2014/main" id="{00000000-0008-0000-0C00-00000B000000}"/>
                </a:ext>
              </a:extLst>
            </xdr:cNvPr>
            <xdr:cNvGrpSpPr/>
          </xdr:nvGrpSpPr>
          <xdr:grpSpPr>
            <a:xfrm>
              <a:off x="4009292" y="14009079"/>
              <a:ext cx="1957754" cy="1641607"/>
              <a:chOff x="2995436" y="3846799"/>
              <a:chExt cx="1960181" cy="1644870"/>
            </a:xfrm>
          </xdr:grpSpPr>
          <xdr:sp macro="" textlink="">
            <xdr:nvSpPr>
              <xdr:cNvPr id="241676" name="Option Button 12" hidden="1">
                <a:extLst>
                  <a:ext uri="{63B3BB69-23CF-44E3-9099-C40C66FF867C}">
                    <a14:compatExt spid="_x0000_s241676"/>
                  </a:ext>
                  <a:ext uri="{FF2B5EF4-FFF2-40B4-BE49-F238E27FC236}">
                    <a16:creationId xmlns:a16="http://schemas.microsoft.com/office/drawing/2014/main" id="{00000000-0008-0000-0B00-00000C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77" name="Option Button 13" hidden="1">
                <a:extLst>
                  <a:ext uri="{63B3BB69-23CF-44E3-9099-C40C66FF867C}">
                    <a14:compatExt spid="_x0000_s241677"/>
                  </a:ext>
                  <a:ext uri="{FF2B5EF4-FFF2-40B4-BE49-F238E27FC236}">
                    <a16:creationId xmlns:a16="http://schemas.microsoft.com/office/drawing/2014/main" id="{00000000-0008-0000-0B00-00000D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78" name="Option Button 14" hidden="1">
                <a:extLst>
                  <a:ext uri="{63B3BB69-23CF-44E3-9099-C40C66FF867C}">
                    <a14:compatExt spid="_x0000_s241678"/>
                  </a:ext>
                  <a:ext uri="{FF2B5EF4-FFF2-40B4-BE49-F238E27FC236}">
                    <a16:creationId xmlns:a16="http://schemas.microsoft.com/office/drawing/2014/main" id="{00000000-0008-0000-0B00-00000E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79" name="Option Button 15" hidden="1">
                <a:extLst>
                  <a:ext uri="{63B3BB69-23CF-44E3-9099-C40C66FF867C}">
                    <a14:compatExt spid="_x0000_s241679"/>
                  </a:ext>
                  <a:ext uri="{FF2B5EF4-FFF2-40B4-BE49-F238E27FC236}">
                    <a16:creationId xmlns:a16="http://schemas.microsoft.com/office/drawing/2014/main" id="{00000000-0008-0000-0B00-00000F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680" name="Group Box 16" hidden="1">
                <a:extLst>
                  <a:ext uri="{63B3BB69-23CF-44E3-9099-C40C66FF867C}">
                    <a14:compatExt spid="_x0000_s241680"/>
                  </a:ext>
                  <a:ext uri="{FF2B5EF4-FFF2-40B4-BE49-F238E27FC236}">
                    <a16:creationId xmlns:a16="http://schemas.microsoft.com/office/drawing/2014/main" id="{00000000-0008-0000-0B00-000010B00300}"/>
                  </a:ext>
                </a:extLst>
              </xdr:cNvPr>
              <xdr:cNvSpPr/>
            </xdr:nvSpPr>
            <xdr:spPr bwMode="auto">
              <a:xfrm>
                <a:off x="2995436" y="3846799"/>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15</xdr:row>
          <xdr:rowOff>1645336</xdr:rowOff>
        </xdr:from>
        <xdr:to>
          <xdr:col>8</xdr:col>
          <xdr:colOff>2200</xdr:colOff>
          <xdr:row>16</xdr:row>
          <xdr:rowOff>1868399</xdr:rowOff>
        </xdr:to>
        <xdr:grpSp>
          <xdr:nvGrpSpPr>
            <xdr:cNvPr id="12" name="Groupe 11">
              <a:extLst>
                <a:ext uri="{FF2B5EF4-FFF2-40B4-BE49-F238E27FC236}">
                  <a16:creationId xmlns:a16="http://schemas.microsoft.com/office/drawing/2014/main" id="{00000000-0008-0000-0C00-00000C000000}"/>
                </a:ext>
              </a:extLst>
            </xdr:cNvPr>
            <xdr:cNvGrpSpPr/>
          </xdr:nvGrpSpPr>
          <xdr:grpSpPr>
            <a:xfrm>
              <a:off x="4010749" y="12149213"/>
              <a:ext cx="1958497" cy="1864294"/>
              <a:chOff x="2994652" y="2234200"/>
              <a:chExt cx="1960976" cy="1614640"/>
            </a:xfrm>
          </xdr:grpSpPr>
          <xdr:sp macro="" textlink="">
            <xdr:nvSpPr>
              <xdr:cNvPr id="241681" name="Option Button 17" descr="Case d'option 47" hidden="1">
                <a:extLst>
                  <a:ext uri="{63B3BB69-23CF-44E3-9099-C40C66FF867C}">
                    <a14:compatExt spid="_x0000_s241681"/>
                  </a:ext>
                  <a:ext uri="{FF2B5EF4-FFF2-40B4-BE49-F238E27FC236}">
                    <a16:creationId xmlns:a16="http://schemas.microsoft.com/office/drawing/2014/main" id="{00000000-0008-0000-0B00-000011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82" name="Option Button 18" hidden="1">
                <a:extLst>
                  <a:ext uri="{63B3BB69-23CF-44E3-9099-C40C66FF867C}">
                    <a14:compatExt spid="_x0000_s241682"/>
                  </a:ext>
                  <a:ext uri="{FF2B5EF4-FFF2-40B4-BE49-F238E27FC236}">
                    <a16:creationId xmlns:a16="http://schemas.microsoft.com/office/drawing/2014/main" id="{00000000-0008-0000-0B00-000012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83" name="Option Button 19" hidden="1">
                <a:extLst>
                  <a:ext uri="{63B3BB69-23CF-44E3-9099-C40C66FF867C}">
                    <a14:compatExt spid="_x0000_s241683"/>
                  </a:ext>
                  <a:ext uri="{FF2B5EF4-FFF2-40B4-BE49-F238E27FC236}">
                    <a16:creationId xmlns:a16="http://schemas.microsoft.com/office/drawing/2014/main" id="{00000000-0008-0000-0B00-000013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84" name="Option Button 20" hidden="1">
                <a:extLst>
                  <a:ext uri="{63B3BB69-23CF-44E3-9099-C40C66FF867C}">
                    <a14:compatExt spid="_x0000_s241684"/>
                  </a:ext>
                  <a:ext uri="{FF2B5EF4-FFF2-40B4-BE49-F238E27FC236}">
                    <a16:creationId xmlns:a16="http://schemas.microsoft.com/office/drawing/2014/main" id="{00000000-0008-0000-0B00-000014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685" name="Group Box 21" hidden="1">
                <a:extLst>
                  <a:ext uri="{63B3BB69-23CF-44E3-9099-C40C66FF867C}">
                    <a14:compatExt spid="_x0000_s241685"/>
                  </a:ext>
                  <a:ext uri="{FF2B5EF4-FFF2-40B4-BE49-F238E27FC236}">
                    <a16:creationId xmlns:a16="http://schemas.microsoft.com/office/drawing/2014/main" id="{00000000-0008-0000-0B00-000015B00300}"/>
                  </a:ext>
                </a:extLst>
              </xdr:cNvPr>
              <xdr:cNvSpPr/>
            </xdr:nvSpPr>
            <xdr:spPr bwMode="auto">
              <a:xfrm>
                <a:off x="2994652" y="2234200"/>
                <a:ext cx="1960970" cy="161464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4</xdr:rowOff>
        </xdr:from>
        <xdr:to>
          <xdr:col>8</xdr:col>
          <xdr:colOff>0</xdr:colOff>
          <xdr:row>16</xdr:row>
          <xdr:rowOff>1</xdr:rowOff>
        </xdr:to>
        <xdr:grpSp>
          <xdr:nvGrpSpPr>
            <xdr:cNvPr id="13" name="Groupe 12">
              <a:extLst>
                <a:ext uri="{FF2B5EF4-FFF2-40B4-BE49-F238E27FC236}">
                  <a16:creationId xmlns:a16="http://schemas.microsoft.com/office/drawing/2014/main" id="{00000000-0008-0000-0C00-00000D000000}"/>
                </a:ext>
              </a:extLst>
            </xdr:cNvPr>
            <xdr:cNvGrpSpPr/>
          </xdr:nvGrpSpPr>
          <xdr:grpSpPr>
            <a:xfrm>
              <a:off x="4009292" y="10503881"/>
              <a:ext cx="1957754" cy="1641228"/>
              <a:chOff x="2995436" y="3846791"/>
              <a:chExt cx="1960181" cy="1673560"/>
            </a:xfrm>
          </xdr:grpSpPr>
          <xdr:sp macro="" textlink="">
            <xdr:nvSpPr>
              <xdr:cNvPr id="241686" name="Option Button 22" hidden="1">
                <a:extLst>
                  <a:ext uri="{63B3BB69-23CF-44E3-9099-C40C66FF867C}">
                    <a14:compatExt spid="_x0000_s241686"/>
                  </a:ext>
                  <a:ext uri="{FF2B5EF4-FFF2-40B4-BE49-F238E27FC236}">
                    <a16:creationId xmlns:a16="http://schemas.microsoft.com/office/drawing/2014/main" id="{00000000-0008-0000-0B00-000016B00300}"/>
                  </a:ext>
                </a:extLst>
              </xdr:cNvPr>
              <xdr:cNvSpPr/>
            </xdr:nvSpPr>
            <xdr:spPr bwMode="auto">
              <a:xfrm>
                <a:off x="3109748" y="3991566"/>
                <a:ext cx="1844040" cy="175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87" name="Option Button 23" hidden="1">
                <a:extLst>
                  <a:ext uri="{63B3BB69-23CF-44E3-9099-C40C66FF867C}">
                    <a14:compatExt spid="_x0000_s241687"/>
                  </a:ext>
                  <a:ext uri="{FF2B5EF4-FFF2-40B4-BE49-F238E27FC236}">
                    <a16:creationId xmlns:a16="http://schemas.microsoft.com/office/drawing/2014/main" id="{00000000-0008-0000-0B00-000017B00300}"/>
                  </a:ext>
                </a:extLst>
              </xdr:cNvPr>
              <xdr:cNvSpPr/>
            </xdr:nvSpPr>
            <xdr:spPr bwMode="auto">
              <a:xfrm>
                <a:off x="3109748" y="424302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88" name="Option Button 24" hidden="1">
                <a:extLst>
                  <a:ext uri="{63B3BB69-23CF-44E3-9099-C40C66FF867C}">
                    <a14:compatExt spid="_x0000_s241688"/>
                  </a:ext>
                  <a:ext uri="{FF2B5EF4-FFF2-40B4-BE49-F238E27FC236}">
                    <a16:creationId xmlns:a16="http://schemas.microsoft.com/office/drawing/2014/main" id="{00000000-0008-0000-0B00-000018B00300}"/>
                  </a:ext>
                </a:extLst>
              </xdr:cNvPr>
              <xdr:cNvSpPr/>
            </xdr:nvSpPr>
            <xdr:spPr bwMode="auto">
              <a:xfrm>
                <a:off x="3109748" y="4486867"/>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89" name="Option Button 25" hidden="1">
                <a:extLst>
                  <a:ext uri="{63B3BB69-23CF-44E3-9099-C40C66FF867C}">
                    <a14:compatExt spid="_x0000_s241689"/>
                  </a:ext>
                  <a:ext uri="{FF2B5EF4-FFF2-40B4-BE49-F238E27FC236}">
                    <a16:creationId xmlns:a16="http://schemas.microsoft.com/office/drawing/2014/main" id="{00000000-0008-0000-0B00-000019B00300}"/>
                  </a:ext>
                </a:extLst>
              </xdr:cNvPr>
              <xdr:cNvSpPr/>
            </xdr:nvSpPr>
            <xdr:spPr bwMode="auto">
              <a:xfrm>
                <a:off x="3109748" y="4768806"/>
                <a:ext cx="184404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690" name="Group Box 26" hidden="1">
                <a:extLst>
                  <a:ext uri="{63B3BB69-23CF-44E3-9099-C40C66FF867C}">
                    <a14:compatExt spid="_x0000_s241690"/>
                  </a:ext>
                  <a:ext uri="{FF2B5EF4-FFF2-40B4-BE49-F238E27FC236}">
                    <a16:creationId xmlns:a16="http://schemas.microsoft.com/office/drawing/2014/main" id="{00000000-0008-0000-0B00-00001AB00300}"/>
                  </a:ext>
                </a:extLst>
              </xdr:cNvPr>
              <xdr:cNvSpPr/>
            </xdr:nvSpPr>
            <xdr:spPr bwMode="auto">
              <a:xfrm>
                <a:off x="2995436" y="3846791"/>
                <a:ext cx="1960181" cy="167356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0</xdr:rowOff>
        </xdr:from>
        <xdr:to>
          <xdr:col>8</xdr:col>
          <xdr:colOff>0</xdr:colOff>
          <xdr:row>15</xdr:row>
          <xdr:rowOff>2058</xdr:rowOff>
        </xdr:to>
        <xdr:grpSp>
          <xdr:nvGrpSpPr>
            <xdr:cNvPr id="14" name="Groupe 13">
              <a:extLst>
                <a:ext uri="{FF2B5EF4-FFF2-40B4-BE49-F238E27FC236}">
                  <a16:creationId xmlns:a16="http://schemas.microsoft.com/office/drawing/2014/main" id="{00000000-0008-0000-0C00-00000E000000}"/>
                </a:ext>
              </a:extLst>
            </xdr:cNvPr>
            <xdr:cNvGrpSpPr/>
          </xdr:nvGrpSpPr>
          <xdr:grpSpPr>
            <a:xfrm>
              <a:off x="4009292" y="8663354"/>
              <a:ext cx="1957754" cy="1842581"/>
              <a:chOff x="2991526" y="2201924"/>
              <a:chExt cx="1964147" cy="1646925"/>
            </a:xfrm>
            <a:solidFill>
              <a:schemeClr val="accent1"/>
            </a:solidFill>
          </xdr:grpSpPr>
          <xdr:sp macro="" textlink="">
            <xdr:nvSpPr>
              <xdr:cNvPr id="241691" name="Option Button 27" descr="Case d'option 47" hidden="1">
                <a:extLst>
                  <a:ext uri="{63B3BB69-23CF-44E3-9099-C40C66FF867C}">
                    <a14:compatExt spid="_x0000_s241691"/>
                  </a:ext>
                  <a:ext uri="{FF2B5EF4-FFF2-40B4-BE49-F238E27FC236}">
                    <a16:creationId xmlns:a16="http://schemas.microsoft.com/office/drawing/2014/main" id="{00000000-0008-0000-0B00-00001B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92" name="Option Button 28" hidden="1">
                <a:extLst>
                  <a:ext uri="{63B3BB69-23CF-44E3-9099-C40C66FF867C}">
                    <a14:compatExt spid="_x0000_s241692"/>
                  </a:ext>
                  <a:ext uri="{FF2B5EF4-FFF2-40B4-BE49-F238E27FC236}">
                    <a16:creationId xmlns:a16="http://schemas.microsoft.com/office/drawing/2014/main" id="{00000000-0008-0000-0B00-00001CB00300}"/>
                  </a:ext>
                </a:extLst>
              </xdr:cNvPr>
              <xdr:cNvSpPr/>
            </xdr:nvSpPr>
            <xdr:spPr bwMode="auto">
              <a:xfrm>
                <a:off x="3102128" y="2506717"/>
                <a:ext cx="1851661"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93" name="Option Button 29" hidden="1">
                <a:extLst>
                  <a:ext uri="{63B3BB69-23CF-44E3-9099-C40C66FF867C}">
                    <a14:compatExt spid="_x0000_s241693"/>
                  </a:ext>
                  <a:ext uri="{FF2B5EF4-FFF2-40B4-BE49-F238E27FC236}">
                    <a16:creationId xmlns:a16="http://schemas.microsoft.com/office/drawing/2014/main" id="{00000000-0008-0000-0B00-00001D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94" name="Option Button 30" hidden="1">
                <a:extLst>
                  <a:ext uri="{63B3BB69-23CF-44E3-9099-C40C66FF867C}">
                    <a14:compatExt spid="_x0000_s241694"/>
                  </a:ext>
                  <a:ext uri="{FF2B5EF4-FFF2-40B4-BE49-F238E27FC236}">
                    <a16:creationId xmlns:a16="http://schemas.microsoft.com/office/drawing/2014/main" id="{00000000-0008-0000-0B00-00001E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695" name="Group Box 31" hidden="1">
                <a:extLst>
                  <a:ext uri="{63B3BB69-23CF-44E3-9099-C40C66FF867C}">
                    <a14:compatExt spid="_x0000_s241695"/>
                  </a:ext>
                  <a:ext uri="{FF2B5EF4-FFF2-40B4-BE49-F238E27FC236}">
                    <a16:creationId xmlns:a16="http://schemas.microsoft.com/office/drawing/2014/main" id="{00000000-0008-0000-0B00-00001FB00300}"/>
                  </a:ext>
                </a:extLst>
              </xdr:cNvPr>
              <xdr:cNvSpPr/>
            </xdr:nvSpPr>
            <xdr:spPr bwMode="auto">
              <a:xfrm>
                <a:off x="2991526" y="2201924"/>
                <a:ext cx="1964147"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0</xdr:rowOff>
        </xdr:from>
        <xdr:to>
          <xdr:col>8</xdr:col>
          <xdr:colOff>0</xdr:colOff>
          <xdr:row>14</xdr:row>
          <xdr:rowOff>0</xdr:rowOff>
        </xdr:to>
        <xdr:grpSp>
          <xdr:nvGrpSpPr>
            <xdr:cNvPr id="15" name="Groupe 14">
              <a:extLst>
                <a:ext uri="{FF2B5EF4-FFF2-40B4-BE49-F238E27FC236}">
                  <a16:creationId xmlns:a16="http://schemas.microsoft.com/office/drawing/2014/main" id="{00000000-0008-0000-0C00-00000F000000}"/>
                </a:ext>
              </a:extLst>
            </xdr:cNvPr>
            <xdr:cNvGrpSpPr/>
          </xdr:nvGrpSpPr>
          <xdr:grpSpPr>
            <a:xfrm>
              <a:off x="4009292" y="7022123"/>
              <a:ext cx="1957754" cy="1641231"/>
              <a:chOff x="2994701" y="2201921"/>
              <a:chExt cx="1960969" cy="1646930"/>
            </a:xfrm>
          </xdr:grpSpPr>
          <xdr:sp macro="" textlink="">
            <xdr:nvSpPr>
              <xdr:cNvPr id="241696" name="Option Button 32" descr="Case d'option 47" hidden="1">
                <a:extLst>
                  <a:ext uri="{63B3BB69-23CF-44E3-9099-C40C66FF867C}">
                    <a14:compatExt spid="_x0000_s241696"/>
                  </a:ext>
                  <a:ext uri="{FF2B5EF4-FFF2-40B4-BE49-F238E27FC236}">
                    <a16:creationId xmlns:a16="http://schemas.microsoft.com/office/drawing/2014/main" id="{00000000-0008-0000-0B00-000020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697" name="Option Button 33" hidden="1">
                <a:extLst>
                  <a:ext uri="{63B3BB69-23CF-44E3-9099-C40C66FF867C}">
                    <a14:compatExt spid="_x0000_s241697"/>
                  </a:ext>
                  <a:ext uri="{FF2B5EF4-FFF2-40B4-BE49-F238E27FC236}">
                    <a16:creationId xmlns:a16="http://schemas.microsoft.com/office/drawing/2014/main" id="{00000000-0008-0000-0B00-000021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698" name="Option Button 34" hidden="1">
                <a:extLst>
                  <a:ext uri="{63B3BB69-23CF-44E3-9099-C40C66FF867C}">
                    <a14:compatExt spid="_x0000_s241698"/>
                  </a:ext>
                  <a:ext uri="{FF2B5EF4-FFF2-40B4-BE49-F238E27FC236}">
                    <a16:creationId xmlns:a16="http://schemas.microsoft.com/office/drawing/2014/main" id="{00000000-0008-0000-0B00-000022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699" name="Option Button 35" hidden="1">
                <a:extLst>
                  <a:ext uri="{63B3BB69-23CF-44E3-9099-C40C66FF867C}">
                    <a14:compatExt spid="_x0000_s241699"/>
                  </a:ext>
                  <a:ext uri="{FF2B5EF4-FFF2-40B4-BE49-F238E27FC236}">
                    <a16:creationId xmlns:a16="http://schemas.microsoft.com/office/drawing/2014/main" id="{00000000-0008-0000-0B00-000023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00" name="Group Box 36" hidden="1">
                <a:extLst>
                  <a:ext uri="{63B3BB69-23CF-44E3-9099-C40C66FF867C}">
                    <a14:compatExt spid="_x0000_s241700"/>
                  </a:ext>
                  <a:ext uri="{FF2B5EF4-FFF2-40B4-BE49-F238E27FC236}">
                    <a16:creationId xmlns:a16="http://schemas.microsoft.com/office/drawing/2014/main" id="{00000000-0008-0000-0B00-000024B00300}"/>
                  </a:ext>
                </a:extLst>
              </xdr:cNvPr>
              <xdr:cNvSpPr/>
            </xdr:nvSpPr>
            <xdr:spPr bwMode="auto">
              <a:xfrm>
                <a:off x="2994701" y="2201921"/>
                <a:ext cx="1960969"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27</xdr:row>
      <xdr:rowOff>22860</xdr:rowOff>
    </xdr:from>
    <xdr:to>
      <xdr:col>9</xdr:col>
      <xdr:colOff>4519448</xdr:colOff>
      <xdr:row>28</xdr:row>
      <xdr:rowOff>0</xdr:rowOff>
    </xdr:to>
    <xdr:sp macro="" textlink="" fLocksText="0">
      <xdr:nvSpPr>
        <xdr:cNvPr id="16" name="ZoneTexte 1">
          <a:extLst>
            <a:ext uri="{FF2B5EF4-FFF2-40B4-BE49-F238E27FC236}">
              <a16:creationId xmlns:a16="http://schemas.microsoft.com/office/drawing/2014/main" id="{00000000-0008-0000-0C00-000010000000}"/>
            </a:ext>
          </a:extLst>
        </xdr:cNvPr>
        <xdr:cNvSpPr txBox="1">
          <a:spLocks noChangeArrowheads="1"/>
        </xdr:cNvSpPr>
      </xdr:nvSpPr>
      <xdr:spPr bwMode="auto">
        <a:xfrm>
          <a:off x="6894195" y="17137380"/>
          <a:ext cx="4490873"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28</xdr:row>
          <xdr:rowOff>0</xdr:rowOff>
        </xdr:from>
        <xdr:to>
          <xdr:col>8</xdr:col>
          <xdr:colOff>0</xdr:colOff>
          <xdr:row>29</xdr:row>
          <xdr:rowOff>0</xdr:rowOff>
        </xdr:to>
        <xdr:grpSp>
          <xdr:nvGrpSpPr>
            <xdr:cNvPr id="18" name="Groupe 17">
              <a:extLst>
                <a:ext uri="{FF2B5EF4-FFF2-40B4-BE49-F238E27FC236}">
                  <a16:creationId xmlns:a16="http://schemas.microsoft.com/office/drawing/2014/main" id="{00000000-0008-0000-0C00-000012000000}"/>
                </a:ext>
              </a:extLst>
            </xdr:cNvPr>
            <xdr:cNvGrpSpPr/>
          </xdr:nvGrpSpPr>
          <xdr:grpSpPr>
            <a:xfrm>
              <a:off x="4009292" y="19495477"/>
              <a:ext cx="1957754" cy="1641231"/>
              <a:chOff x="2995436" y="3846792"/>
              <a:chExt cx="1960181" cy="1644870"/>
            </a:xfrm>
          </xdr:grpSpPr>
          <xdr:sp macro="" textlink="">
            <xdr:nvSpPr>
              <xdr:cNvPr id="241701" name="Option Button 37" hidden="1">
                <a:extLst>
                  <a:ext uri="{63B3BB69-23CF-44E3-9099-C40C66FF867C}">
                    <a14:compatExt spid="_x0000_s241701"/>
                  </a:ext>
                  <a:ext uri="{FF2B5EF4-FFF2-40B4-BE49-F238E27FC236}">
                    <a16:creationId xmlns:a16="http://schemas.microsoft.com/office/drawing/2014/main" id="{00000000-0008-0000-0B00-000025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02" name="Option Button 38" hidden="1">
                <a:extLst>
                  <a:ext uri="{63B3BB69-23CF-44E3-9099-C40C66FF867C}">
                    <a14:compatExt spid="_x0000_s241702"/>
                  </a:ext>
                  <a:ext uri="{FF2B5EF4-FFF2-40B4-BE49-F238E27FC236}">
                    <a16:creationId xmlns:a16="http://schemas.microsoft.com/office/drawing/2014/main" id="{00000000-0008-0000-0B00-000026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03" name="Option Button 39" hidden="1">
                <a:extLst>
                  <a:ext uri="{63B3BB69-23CF-44E3-9099-C40C66FF867C}">
                    <a14:compatExt spid="_x0000_s241703"/>
                  </a:ext>
                  <a:ext uri="{FF2B5EF4-FFF2-40B4-BE49-F238E27FC236}">
                    <a16:creationId xmlns:a16="http://schemas.microsoft.com/office/drawing/2014/main" id="{00000000-0008-0000-0B00-000027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04" name="Option Button 40" hidden="1">
                <a:extLst>
                  <a:ext uri="{63B3BB69-23CF-44E3-9099-C40C66FF867C}">
                    <a14:compatExt spid="_x0000_s241704"/>
                  </a:ext>
                  <a:ext uri="{FF2B5EF4-FFF2-40B4-BE49-F238E27FC236}">
                    <a16:creationId xmlns:a16="http://schemas.microsoft.com/office/drawing/2014/main" id="{00000000-0008-0000-0B00-000028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05" name="Group Box 41" hidden="1">
                <a:extLst>
                  <a:ext uri="{63B3BB69-23CF-44E3-9099-C40C66FF867C}">
                    <a14:compatExt spid="_x0000_s241705"/>
                  </a:ext>
                  <a:ext uri="{FF2B5EF4-FFF2-40B4-BE49-F238E27FC236}">
                    <a16:creationId xmlns:a16="http://schemas.microsoft.com/office/drawing/2014/main" id="{00000000-0008-0000-0B00-000029B00300}"/>
                  </a:ext>
                </a:extLst>
              </xdr:cNvPr>
              <xdr:cNvSpPr/>
            </xdr:nvSpPr>
            <xdr:spPr bwMode="auto">
              <a:xfrm>
                <a:off x="2995436" y="3846792"/>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29</xdr:row>
      <xdr:rowOff>15675</xdr:rowOff>
    </xdr:from>
    <xdr:to>
      <xdr:col>9</xdr:col>
      <xdr:colOff>4519448</xdr:colOff>
      <xdr:row>30</xdr:row>
      <xdr:rowOff>0</xdr:rowOff>
    </xdr:to>
    <xdr:sp macro="" textlink="" fLocksText="0">
      <xdr:nvSpPr>
        <xdr:cNvPr id="19" name="ZoneTexte 1">
          <a:extLst>
            <a:ext uri="{FF2B5EF4-FFF2-40B4-BE49-F238E27FC236}">
              <a16:creationId xmlns:a16="http://schemas.microsoft.com/office/drawing/2014/main" id="{00000000-0008-0000-0C00-000013000000}"/>
            </a:ext>
          </a:extLst>
        </xdr:cNvPr>
        <xdr:cNvSpPr txBox="1">
          <a:spLocks noChangeArrowheads="1"/>
        </xdr:cNvSpPr>
      </xdr:nvSpPr>
      <xdr:spPr bwMode="auto">
        <a:xfrm>
          <a:off x="6894195" y="20422035"/>
          <a:ext cx="4490873"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30</xdr:row>
      <xdr:rowOff>22860</xdr:rowOff>
    </xdr:from>
    <xdr:to>
      <xdr:col>9</xdr:col>
      <xdr:colOff>4548442</xdr:colOff>
      <xdr:row>31</xdr:row>
      <xdr:rowOff>2588</xdr:rowOff>
    </xdr:to>
    <xdr:sp macro="" textlink="" fLocksText="0">
      <xdr:nvSpPr>
        <xdr:cNvPr id="20" name="ZoneTexte 1">
          <a:extLst>
            <a:ext uri="{FF2B5EF4-FFF2-40B4-BE49-F238E27FC236}">
              <a16:creationId xmlns:a16="http://schemas.microsoft.com/office/drawing/2014/main" id="{00000000-0008-0000-0C00-000014000000}"/>
            </a:ext>
          </a:extLst>
        </xdr:cNvPr>
        <xdr:cNvSpPr txBox="1">
          <a:spLocks noChangeArrowheads="1"/>
        </xdr:cNvSpPr>
      </xdr:nvSpPr>
      <xdr:spPr bwMode="auto">
        <a:xfrm>
          <a:off x="6876256" y="22075140"/>
          <a:ext cx="4537806" cy="162564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31</xdr:row>
      <xdr:rowOff>19739</xdr:rowOff>
    </xdr:from>
    <xdr:to>
      <xdr:col>9</xdr:col>
      <xdr:colOff>4548759</xdr:colOff>
      <xdr:row>31</xdr:row>
      <xdr:rowOff>1621739</xdr:rowOff>
    </xdr:to>
    <xdr:sp macro="" textlink="" fLocksText="0">
      <xdr:nvSpPr>
        <xdr:cNvPr id="21" name="ZoneTexte 1">
          <a:extLst>
            <a:ext uri="{FF2B5EF4-FFF2-40B4-BE49-F238E27FC236}">
              <a16:creationId xmlns:a16="http://schemas.microsoft.com/office/drawing/2014/main" id="{00000000-0008-0000-0C00-000015000000}"/>
            </a:ext>
          </a:extLst>
        </xdr:cNvPr>
        <xdr:cNvSpPr txBox="1">
          <a:spLocks noChangeArrowheads="1"/>
        </xdr:cNvSpPr>
      </xdr:nvSpPr>
      <xdr:spPr bwMode="auto">
        <a:xfrm>
          <a:off x="6876573" y="23717939"/>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32</xdr:row>
      <xdr:rowOff>38468</xdr:rowOff>
    </xdr:from>
    <xdr:to>
      <xdr:col>9</xdr:col>
      <xdr:colOff>4548759</xdr:colOff>
      <xdr:row>32</xdr:row>
      <xdr:rowOff>1640468</xdr:rowOff>
    </xdr:to>
    <xdr:sp macro="" textlink="" fLocksText="0">
      <xdr:nvSpPr>
        <xdr:cNvPr id="22" name="ZoneTexte 1">
          <a:extLst>
            <a:ext uri="{FF2B5EF4-FFF2-40B4-BE49-F238E27FC236}">
              <a16:creationId xmlns:a16="http://schemas.microsoft.com/office/drawing/2014/main" id="{00000000-0008-0000-0C00-000016000000}"/>
            </a:ext>
          </a:extLst>
        </xdr:cNvPr>
        <xdr:cNvSpPr txBox="1">
          <a:spLocks noChangeArrowheads="1"/>
        </xdr:cNvSpPr>
      </xdr:nvSpPr>
      <xdr:spPr bwMode="auto">
        <a:xfrm>
          <a:off x="6876573" y="25382588"/>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33</xdr:row>
      <xdr:rowOff>12060</xdr:rowOff>
    </xdr:from>
    <xdr:to>
      <xdr:col>9</xdr:col>
      <xdr:colOff>4553522</xdr:colOff>
      <xdr:row>33</xdr:row>
      <xdr:rowOff>1614060</xdr:rowOff>
    </xdr:to>
    <xdr:sp macro="" textlink="" fLocksText="0">
      <xdr:nvSpPr>
        <xdr:cNvPr id="23" name="ZoneTexte 1">
          <a:extLst>
            <a:ext uri="{FF2B5EF4-FFF2-40B4-BE49-F238E27FC236}">
              <a16:creationId xmlns:a16="http://schemas.microsoft.com/office/drawing/2014/main" id="{00000000-0008-0000-0C00-000017000000}"/>
            </a:ext>
          </a:extLst>
        </xdr:cNvPr>
        <xdr:cNvSpPr txBox="1">
          <a:spLocks noChangeArrowheads="1"/>
        </xdr:cNvSpPr>
      </xdr:nvSpPr>
      <xdr:spPr bwMode="auto">
        <a:xfrm>
          <a:off x="6881336" y="27002100"/>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34</xdr:row>
          <xdr:rowOff>0</xdr:rowOff>
        </xdr:to>
        <xdr:sp macro="" textlink="">
          <xdr:nvSpPr>
            <xdr:cNvPr id="241706" name="Group Box 42" hidden="1">
              <a:extLst>
                <a:ext uri="{63B3BB69-23CF-44E3-9099-C40C66FF867C}">
                  <a14:compatExt spid="_x0000_s241706"/>
                </a:ext>
                <a:ext uri="{FF2B5EF4-FFF2-40B4-BE49-F238E27FC236}">
                  <a16:creationId xmlns:a16="http://schemas.microsoft.com/office/drawing/2014/main" id="{00000000-0008-0000-0B00-00002AB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3017</xdr:colOff>
          <xdr:row>33</xdr:row>
          <xdr:rowOff>550</xdr:rowOff>
        </xdr:from>
        <xdr:to>
          <xdr:col>8</xdr:col>
          <xdr:colOff>0</xdr:colOff>
          <xdr:row>34</xdr:row>
          <xdr:rowOff>550</xdr:rowOff>
        </xdr:to>
        <xdr:grpSp>
          <xdr:nvGrpSpPr>
            <xdr:cNvPr id="24" name="Groupe 23">
              <a:extLst>
                <a:ext uri="{FF2B5EF4-FFF2-40B4-BE49-F238E27FC236}">
                  <a16:creationId xmlns:a16="http://schemas.microsoft.com/office/drawing/2014/main" id="{00000000-0008-0000-0C00-000018000000}"/>
                </a:ext>
              </a:extLst>
            </xdr:cNvPr>
            <xdr:cNvGrpSpPr/>
          </xdr:nvGrpSpPr>
          <xdr:grpSpPr>
            <a:xfrm>
              <a:off x="4012309" y="28382119"/>
              <a:ext cx="1954737" cy="1641231"/>
              <a:chOff x="2995399" y="3846804"/>
              <a:chExt cx="1960181" cy="1644868"/>
            </a:xfrm>
          </xdr:grpSpPr>
          <xdr:sp macro="" textlink="">
            <xdr:nvSpPr>
              <xdr:cNvPr id="241707" name="Option Button 43" hidden="1">
                <a:extLst>
                  <a:ext uri="{63B3BB69-23CF-44E3-9099-C40C66FF867C}">
                    <a14:compatExt spid="_x0000_s241707"/>
                  </a:ext>
                  <a:ext uri="{FF2B5EF4-FFF2-40B4-BE49-F238E27FC236}">
                    <a16:creationId xmlns:a16="http://schemas.microsoft.com/office/drawing/2014/main" id="{00000000-0008-0000-0B00-00002B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08" name="Option Button 44" hidden="1">
                <a:extLst>
                  <a:ext uri="{63B3BB69-23CF-44E3-9099-C40C66FF867C}">
                    <a14:compatExt spid="_x0000_s241708"/>
                  </a:ext>
                  <a:ext uri="{FF2B5EF4-FFF2-40B4-BE49-F238E27FC236}">
                    <a16:creationId xmlns:a16="http://schemas.microsoft.com/office/drawing/2014/main" id="{00000000-0008-0000-0B00-00002C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09" name="Option Button 45" hidden="1">
                <a:extLst>
                  <a:ext uri="{63B3BB69-23CF-44E3-9099-C40C66FF867C}">
                    <a14:compatExt spid="_x0000_s241709"/>
                  </a:ext>
                  <a:ext uri="{FF2B5EF4-FFF2-40B4-BE49-F238E27FC236}">
                    <a16:creationId xmlns:a16="http://schemas.microsoft.com/office/drawing/2014/main" id="{00000000-0008-0000-0B00-00002D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10" name="Option Button 46" hidden="1">
                <a:extLst>
                  <a:ext uri="{63B3BB69-23CF-44E3-9099-C40C66FF867C}">
                    <a14:compatExt spid="_x0000_s241710"/>
                  </a:ext>
                  <a:ext uri="{FF2B5EF4-FFF2-40B4-BE49-F238E27FC236}">
                    <a16:creationId xmlns:a16="http://schemas.microsoft.com/office/drawing/2014/main" id="{00000000-0008-0000-0B00-00002E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11" name="Group Box 47" hidden="1">
                <a:extLst>
                  <a:ext uri="{63B3BB69-23CF-44E3-9099-C40C66FF867C}">
                    <a14:compatExt spid="_x0000_s241711"/>
                  </a:ext>
                  <a:ext uri="{FF2B5EF4-FFF2-40B4-BE49-F238E27FC236}">
                    <a16:creationId xmlns:a16="http://schemas.microsoft.com/office/drawing/2014/main" id="{00000000-0008-0000-0B00-00002FB00300}"/>
                  </a:ext>
                </a:extLst>
              </xdr:cNvPr>
              <xdr:cNvSpPr/>
            </xdr:nvSpPr>
            <xdr:spPr bwMode="auto">
              <a:xfrm>
                <a:off x="2995399" y="3846804"/>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32</xdr:row>
          <xdr:rowOff>0</xdr:rowOff>
        </xdr:from>
        <xdr:to>
          <xdr:col>8</xdr:col>
          <xdr:colOff>601</xdr:colOff>
          <xdr:row>33</xdr:row>
          <xdr:rowOff>0</xdr:rowOff>
        </xdr:to>
        <xdr:grpSp>
          <xdr:nvGrpSpPr>
            <xdr:cNvPr id="25" name="Groupe 24">
              <a:extLst>
                <a:ext uri="{FF2B5EF4-FFF2-40B4-BE49-F238E27FC236}">
                  <a16:creationId xmlns:a16="http://schemas.microsoft.com/office/drawing/2014/main" id="{00000000-0008-0000-0C00-000019000000}"/>
                </a:ext>
              </a:extLst>
            </xdr:cNvPr>
            <xdr:cNvGrpSpPr/>
          </xdr:nvGrpSpPr>
          <xdr:grpSpPr>
            <a:xfrm>
              <a:off x="4010749" y="26740338"/>
              <a:ext cx="1956898" cy="1641231"/>
              <a:chOff x="2994661" y="2201925"/>
              <a:chExt cx="1960968" cy="1646922"/>
            </a:xfrm>
          </xdr:grpSpPr>
          <xdr:sp macro="" textlink="">
            <xdr:nvSpPr>
              <xdr:cNvPr id="241712" name="Option Button 48" descr="Case d'option 47" hidden="1">
                <a:extLst>
                  <a:ext uri="{63B3BB69-23CF-44E3-9099-C40C66FF867C}">
                    <a14:compatExt spid="_x0000_s241712"/>
                  </a:ext>
                  <a:ext uri="{FF2B5EF4-FFF2-40B4-BE49-F238E27FC236}">
                    <a16:creationId xmlns:a16="http://schemas.microsoft.com/office/drawing/2014/main" id="{00000000-0008-0000-0B00-000030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13" name="Option Button 49" hidden="1">
                <a:extLst>
                  <a:ext uri="{63B3BB69-23CF-44E3-9099-C40C66FF867C}">
                    <a14:compatExt spid="_x0000_s241713"/>
                  </a:ext>
                  <a:ext uri="{FF2B5EF4-FFF2-40B4-BE49-F238E27FC236}">
                    <a16:creationId xmlns:a16="http://schemas.microsoft.com/office/drawing/2014/main" id="{00000000-0008-0000-0B00-000031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14" name="Option Button 50" hidden="1">
                <a:extLst>
                  <a:ext uri="{63B3BB69-23CF-44E3-9099-C40C66FF867C}">
                    <a14:compatExt spid="_x0000_s241714"/>
                  </a:ext>
                  <a:ext uri="{FF2B5EF4-FFF2-40B4-BE49-F238E27FC236}">
                    <a16:creationId xmlns:a16="http://schemas.microsoft.com/office/drawing/2014/main" id="{00000000-0008-0000-0B00-000032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15" name="Option Button 51" hidden="1">
                <a:extLst>
                  <a:ext uri="{63B3BB69-23CF-44E3-9099-C40C66FF867C}">
                    <a14:compatExt spid="_x0000_s241715"/>
                  </a:ext>
                  <a:ext uri="{FF2B5EF4-FFF2-40B4-BE49-F238E27FC236}">
                    <a16:creationId xmlns:a16="http://schemas.microsoft.com/office/drawing/2014/main" id="{00000000-0008-0000-0B00-000033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16" name="Group Box 52" hidden="1">
                <a:extLst>
                  <a:ext uri="{63B3BB69-23CF-44E3-9099-C40C66FF867C}">
                    <a14:compatExt spid="_x0000_s241716"/>
                  </a:ext>
                  <a:ext uri="{FF2B5EF4-FFF2-40B4-BE49-F238E27FC236}">
                    <a16:creationId xmlns:a16="http://schemas.microsoft.com/office/drawing/2014/main" id="{00000000-0008-0000-0B00-000034B00300}"/>
                  </a:ext>
                </a:extLst>
              </xdr:cNvPr>
              <xdr:cNvSpPr/>
            </xdr:nvSpPr>
            <xdr:spPr bwMode="auto">
              <a:xfrm>
                <a:off x="2994661" y="2201925"/>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3</xdr:rowOff>
        </xdr:from>
        <xdr:to>
          <xdr:col>8</xdr:col>
          <xdr:colOff>0</xdr:colOff>
          <xdr:row>32</xdr:row>
          <xdr:rowOff>3</xdr:rowOff>
        </xdr:to>
        <xdr:grpSp>
          <xdr:nvGrpSpPr>
            <xdr:cNvPr id="26" name="Groupe 25">
              <a:extLst>
                <a:ext uri="{FF2B5EF4-FFF2-40B4-BE49-F238E27FC236}">
                  <a16:creationId xmlns:a16="http://schemas.microsoft.com/office/drawing/2014/main" id="{00000000-0008-0000-0C00-00001A000000}"/>
                </a:ext>
              </a:extLst>
            </xdr:cNvPr>
            <xdr:cNvGrpSpPr/>
          </xdr:nvGrpSpPr>
          <xdr:grpSpPr>
            <a:xfrm>
              <a:off x="4009292" y="25099111"/>
              <a:ext cx="1957754" cy="1641230"/>
              <a:chOff x="2995436" y="3846793"/>
              <a:chExt cx="1960181" cy="1644867"/>
            </a:xfrm>
          </xdr:grpSpPr>
          <xdr:sp macro="" textlink="">
            <xdr:nvSpPr>
              <xdr:cNvPr id="241717" name="Option Button 53" hidden="1">
                <a:extLst>
                  <a:ext uri="{63B3BB69-23CF-44E3-9099-C40C66FF867C}">
                    <a14:compatExt spid="_x0000_s241717"/>
                  </a:ext>
                  <a:ext uri="{FF2B5EF4-FFF2-40B4-BE49-F238E27FC236}">
                    <a16:creationId xmlns:a16="http://schemas.microsoft.com/office/drawing/2014/main" id="{00000000-0008-0000-0B00-000035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18" name="Option Button 54" hidden="1">
                <a:extLst>
                  <a:ext uri="{63B3BB69-23CF-44E3-9099-C40C66FF867C}">
                    <a14:compatExt spid="_x0000_s241718"/>
                  </a:ext>
                  <a:ext uri="{FF2B5EF4-FFF2-40B4-BE49-F238E27FC236}">
                    <a16:creationId xmlns:a16="http://schemas.microsoft.com/office/drawing/2014/main" id="{00000000-0008-0000-0B00-000036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19" name="Option Button 55" hidden="1">
                <a:extLst>
                  <a:ext uri="{63B3BB69-23CF-44E3-9099-C40C66FF867C}">
                    <a14:compatExt spid="_x0000_s241719"/>
                  </a:ext>
                  <a:ext uri="{FF2B5EF4-FFF2-40B4-BE49-F238E27FC236}">
                    <a16:creationId xmlns:a16="http://schemas.microsoft.com/office/drawing/2014/main" id="{00000000-0008-0000-0B00-000037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20" name="Option Button 56" hidden="1">
                <a:extLst>
                  <a:ext uri="{63B3BB69-23CF-44E3-9099-C40C66FF867C}">
                    <a14:compatExt spid="_x0000_s241720"/>
                  </a:ext>
                  <a:ext uri="{FF2B5EF4-FFF2-40B4-BE49-F238E27FC236}">
                    <a16:creationId xmlns:a16="http://schemas.microsoft.com/office/drawing/2014/main" id="{00000000-0008-0000-0B00-000038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21" name="Group Box 57" hidden="1">
                <a:extLst>
                  <a:ext uri="{63B3BB69-23CF-44E3-9099-C40C66FF867C}">
                    <a14:compatExt spid="_x0000_s241721"/>
                  </a:ext>
                  <a:ext uri="{FF2B5EF4-FFF2-40B4-BE49-F238E27FC236}">
                    <a16:creationId xmlns:a16="http://schemas.microsoft.com/office/drawing/2014/main" id="{00000000-0008-0000-0B00-000039B00300}"/>
                  </a:ext>
                </a:extLst>
              </xdr:cNvPr>
              <xdr:cNvSpPr/>
            </xdr:nvSpPr>
            <xdr:spPr bwMode="auto">
              <a:xfrm>
                <a:off x="2995436" y="3846793"/>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30</xdr:row>
          <xdr:rowOff>307</xdr:rowOff>
        </xdr:from>
        <xdr:to>
          <xdr:col>8</xdr:col>
          <xdr:colOff>132</xdr:colOff>
          <xdr:row>31</xdr:row>
          <xdr:rowOff>2058</xdr:rowOff>
        </xdr:to>
        <xdr:grpSp>
          <xdr:nvGrpSpPr>
            <xdr:cNvPr id="27" name="Groupe 26">
              <a:extLst>
                <a:ext uri="{FF2B5EF4-FFF2-40B4-BE49-F238E27FC236}">
                  <a16:creationId xmlns:a16="http://schemas.microsoft.com/office/drawing/2014/main" id="{00000000-0008-0000-0C00-00001B000000}"/>
                </a:ext>
              </a:extLst>
            </xdr:cNvPr>
            <xdr:cNvGrpSpPr/>
          </xdr:nvGrpSpPr>
          <xdr:grpSpPr>
            <a:xfrm>
              <a:off x="4009852" y="22778245"/>
              <a:ext cx="1957326" cy="2322921"/>
              <a:chOff x="2994656" y="2201916"/>
              <a:chExt cx="1960972" cy="1646921"/>
            </a:xfrm>
          </xdr:grpSpPr>
          <xdr:sp macro="" textlink="">
            <xdr:nvSpPr>
              <xdr:cNvPr id="241722" name="Option Button 58" descr="Case d'option 47" hidden="1">
                <a:extLst>
                  <a:ext uri="{63B3BB69-23CF-44E3-9099-C40C66FF867C}">
                    <a14:compatExt spid="_x0000_s241722"/>
                  </a:ext>
                  <a:ext uri="{FF2B5EF4-FFF2-40B4-BE49-F238E27FC236}">
                    <a16:creationId xmlns:a16="http://schemas.microsoft.com/office/drawing/2014/main" id="{00000000-0008-0000-0B00-00003AB003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23" name="Option Button 59" hidden="1">
                <a:extLst>
                  <a:ext uri="{63B3BB69-23CF-44E3-9099-C40C66FF867C}">
                    <a14:compatExt spid="_x0000_s241723"/>
                  </a:ext>
                  <a:ext uri="{FF2B5EF4-FFF2-40B4-BE49-F238E27FC236}">
                    <a16:creationId xmlns:a16="http://schemas.microsoft.com/office/drawing/2014/main" id="{00000000-0008-0000-0B00-00003BB00300}"/>
                  </a:ext>
                </a:extLst>
              </xdr:cNvPr>
              <xdr:cNvSpPr/>
            </xdr:nvSpPr>
            <xdr:spPr bwMode="auto">
              <a:xfrm>
                <a:off x="3102128" y="2461462"/>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24" name="Option Button 60" hidden="1">
                <a:extLst>
                  <a:ext uri="{63B3BB69-23CF-44E3-9099-C40C66FF867C}">
                    <a14:compatExt spid="_x0000_s241724"/>
                  </a:ext>
                  <a:ext uri="{FF2B5EF4-FFF2-40B4-BE49-F238E27FC236}">
                    <a16:creationId xmlns:a16="http://schemas.microsoft.com/office/drawing/2014/main" id="{00000000-0008-0000-0B00-00003CB00300}"/>
                  </a:ext>
                </a:extLst>
              </xdr:cNvPr>
              <xdr:cNvSpPr/>
            </xdr:nvSpPr>
            <xdr:spPr bwMode="auto">
              <a:xfrm>
                <a:off x="3102128" y="266004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25" name="Option Button 61" hidden="1">
                <a:extLst>
                  <a:ext uri="{63B3BB69-23CF-44E3-9099-C40C66FF867C}">
                    <a14:compatExt spid="_x0000_s241725"/>
                  </a:ext>
                  <a:ext uri="{FF2B5EF4-FFF2-40B4-BE49-F238E27FC236}">
                    <a16:creationId xmlns:a16="http://schemas.microsoft.com/office/drawing/2014/main" id="{00000000-0008-0000-0B00-00003DB00300}"/>
                  </a:ext>
                </a:extLst>
              </xdr:cNvPr>
              <xdr:cNvSpPr/>
            </xdr:nvSpPr>
            <xdr:spPr bwMode="auto">
              <a:xfrm>
                <a:off x="3102128" y="2835772"/>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26" name="Group Box 62" hidden="1">
                <a:extLst>
                  <a:ext uri="{63B3BB69-23CF-44E3-9099-C40C66FF867C}">
                    <a14:compatExt spid="_x0000_s241726"/>
                  </a:ext>
                  <a:ext uri="{FF2B5EF4-FFF2-40B4-BE49-F238E27FC236}">
                    <a16:creationId xmlns:a16="http://schemas.microsoft.com/office/drawing/2014/main" id="{00000000-0008-0000-0B00-00003EB00300}"/>
                  </a:ext>
                </a:extLst>
              </xdr:cNvPr>
              <xdr:cNvSpPr/>
            </xdr:nvSpPr>
            <xdr:spPr bwMode="auto">
              <a:xfrm>
                <a:off x="2994656" y="2201916"/>
                <a:ext cx="1960968"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0</xdr:rowOff>
        </xdr:from>
        <xdr:to>
          <xdr:col>8</xdr:col>
          <xdr:colOff>0</xdr:colOff>
          <xdr:row>30</xdr:row>
          <xdr:rowOff>0</xdr:rowOff>
        </xdr:to>
        <xdr:grpSp>
          <xdr:nvGrpSpPr>
            <xdr:cNvPr id="28" name="Groupe 27">
              <a:extLst>
                <a:ext uri="{FF2B5EF4-FFF2-40B4-BE49-F238E27FC236}">
                  <a16:creationId xmlns:a16="http://schemas.microsoft.com/office/drawing/2014/main" id="{00000000-0008-0000-0C00-00001C000000}"/>
                </a:ext>
              </a:extLst>
            </xdr:cNvPr>
            <xdr:cNvGrpSpPr/>
          </xdr:nvGrpSpPr>
          <xdr:grpSpPr>
            <a:xfrm>
              <a:off x="4009292" y="21136708"/>
              <a:ext cx="1957754" cy="1641230"/>
              <a:chOff x="2994701" y="2201924"/>
              <a:chExt cx="1960969" cy="1646921"/>
            </a:xfrm>
          </xdr:grpSpPr>
          <xdr:sp macro="" textlink="">
            <xdr:nvSpPr>
              <xdr:cNvPr id="241727" name="Option Button 63" descr="Case d'option 47" hidden="1">
                <a:extLst>
                  <a:ext uri="{63B3BB69-23CF-44E3-9099-C40C66FF867C}">
                    <a14:compatExt spid="_x0000_s241727"/>
                  </a:ext>
                  <a:ext uri="{FF2B5EF4-FFF2-40B4-BE49-F238E27FC236}">
                    <a16:creationId xmlns:a16="http://schemas.microsoft.com/office/drawing/2014/main" id="{00000000-0008-0000-0B00-00003F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28" name="Option Button 64" hidden="1">
                <a:extLst>
                  <a:ext uri="{63B3BB69-23CF-44E3-9099-C40C66FF867C}">
                    <a14:compatExt spid="_x0000_s241728"/>
                  </a:ext>
                  <a:ext uri="{FF2B5EF4-FFF2-40B4-BE49-F238E27FC236}">
                    <a16:creationId xmlns:a16="http://schemas.microsoft.com/office/drawing/2014/main" id="{00000000-0008-0000-0B00-000040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29" name="Option Button 65" hidden="1">
                <a:extLst>
                  <a:ext uri="{63B3BB69-23CF-44E3-9099-C40C66FF867C}">
                    <a14:compatExt spid="_x0000_s241729"/>
                  </a:ext>
                  <a:ext uri="{FF2B5EF4-FFF2-40B4-BE49-F238E27FC236}">
                    <a16:creationId xmlns:a16="http://schemas.microsoft.com/office/drawing/2014/main" id="{00000000-0008-0000-0B00-000041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30" name="Option Button 66" hidden="1">
                <a:extLst>
                  <a:ext uri="{63B3BB69-23CF-44E3-9099-C40C66FF867C}">
                    <a14:compatExt spid="_x0000_s241730"/>
                  </a:ext>
                  <a:ext uri="{FF2B5EF4-FFF2-40B4-BE49-F238E27FC236}">
                    <a16:creationId xmlns:a16="http://schemas.microsoft.com/office/drawing/2014/main" id="{00000000-0008-0000-0B00-000042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31" name="Group Box 67" hidden="1">
                <a:extLst>
                  <a:ext uri="{63B3BB69-23CF-44E3-9099-C40C66FF867C}">
                    <a14:compatExt spid="_x0000_s241731"/>
                  </a:ext>
                  <a:ext uri="{FF2B5EF4-FFF2-40B4-BE49-F238E27FC236}">
                    <a16:creationId xmlns:a16="http://schemas.microsoft.com/office/drawing/2014/main" id="{00000000-0008-0000-0B00-000043B00300}"/>
                  </a:ext>
                </a:extLst>
              </xdr:cNvPr>
              <xdr:cNvSpPr/>
            </xdr:nvSpPr>
            <xdr:spPr bwMode="auto">
              <a:xfrm>
                <a:off x="2994701" y="2201924"/>
                <a:ext cx="1960969" cy="164692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2636520</xdr:colOff>
      <xdr:row>44</xdr:row>
      <xdr:rowOff>0</xdr:rowOff>
    </xdr:to>
    <xdr:sp macro="" textlink="" fLocksText="0">
      <xdr:nvSpPr>
        <xdr:cNvPr id="29" name="ZoneTexte 1">
          <a:extLst>
            <a:ext uri="{FF2B5EF4-FFF2-40B4-BE49-F238E27FC236}">
              <a16:creationId xmlns:a16="http://schemas.microsoft.com/office/drawing/2014/main" id="{00000000-0008-0000-0C00-00001D000000}"/>
            </a:ext>
          </a:extLst>
        </xdr:cNvPr>
        <xdr:cNvSpPr txBox="1">
          <a:spLocks noChangeArrowheads="1"/>
        </xdr:cNvSpPr>
      </xdr:nvSpPr>
      <xdr:spPr bwMode="auto">
        <a:xfrm>
          <a:off x="6894195" y="30876240"/>
          <a:ext cx="2607945"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2055</xdr:rowOff>
        </xdr:to>
        <xdr:grpSp>
          <xdr:nvGrpSpPr>
            <xdr:cNvPr id="30" name="Groupe 29">
              <a:extLst>
                <a:ext uri="{FF2B5EF4-FFF2-40B4-BE49-F238E27FC236}">
                  <a16:creationId xmlns:a16="http://schemas.microsoft.com/office/drawing/2014/main" id="{00000000-0008-0000-0C00-00001E000000}"/>
                </a:ext>
              </a:extLst>
            </xdr:cNvPr>
            <xdr:cNvGrpSpPr/>
          </xdr:nvGrpSpPr>
          <xdr:grpSpPr>
            <a:xfrm>
              <a:off x="4009292" y="32226738"/>
              <a:ext cx="1957754" cy="1643286"/>
              <a:chOff x="2994705" y="2201929"/>
              <a:chExt cx="1960969" cy="1646923"/>
            </a:xfrm>
          </xdr:grpSpPr>
          <xdr:sp macro="" textlink="">
            <xdr:nvSpPr>
              <xdr:cNvPr id="241732" name="Option Button 68" descr="Case d'option 47" hidden="1">
                <a:extLst>
                  <a:ext uri="{63B3BB69-23CF-44E3-9099-C40C66FF867C}">
                    <a14:compatExt spid="_x0000_s241732"/>
                  </a:ext>
                  <a:ext uri="{FF2B5EF4-FFF2-40B4-BE49-F238E27FC236}">
                    <a16:creationId xmlns:a16="http://schemas.microsoft.com/office/drawing/2014/main" id="{00000000-0008-0000-0B00-000044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33" name="Option Button 69" hidden="1">
                <a:extLst>
                  <a:ext uri="{63B3BB69-23CF-44E3-9099-C40C66FF867C}">
                    <a14:compatExt spid="_x0000_s241733"/>
                  </a:ext>
                  <a:ext uri="{FF2B5EF4-FFF2-40B4-BE49-F238E27FC236}">
                    <a16:creationId xmlns:a16="http://schemas.microsoft.com/office/drawing/2014/main" id="{00000000-0008-0000-0B00-000045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34" name="Option Button 70" hidden="1">
                <a:extLst>
                  <a:ext uri="{63B3BB69-23CF-44E3-9099-C40C66FF867C}">
                    <a14:compatExt spid="_x0000_s241734"/>
                  </a:ext>
                  <a:ext uri="{FF2B5EF4-FFF2-40B4-BE49-F238E27FC236}">
                    <a16:creationId xmlns:a16="http://schemas.microsoft.com/office/drawing/2014/main" id="{00000000-0008-0000-0B00-000046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35" name="Option Button 71" hidden="1">
                <a:extLst>
                  <a:ext uri="{63B3BB69-23CF-44E3-9099-C40C66FF867C}">
                    <a14:compatExt spid="_x0000_s241735"/>
                  </a:ext>
                  <a:ext uri="{FF2B5EF4-FFF2-40B4-BE49-F238E27FC236}">
                    <a16:creationId xmlns:a16="http://schemas.microsoft.com/office/drawing/2014/main" id="{00000000-0008-0000-0B00-000047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36" name="Group Box 72" hidden="1">
                <a:extLst>
                  <a:ext uri="{63B3BB69-23CF-44E3-9099-C40C66FF867C}">
                    <a14:compatExt spid="_x0000_s241736"/>
                  </a:ext>
                  <a:ext uri="{FF2B5EF4-FFF2-40B4-BE49-F238E27FC236}">
                    <a16:creationId xmlns:a16="http://schemas.microsoft.com/office/drawing/2014/main" id="{00000000-0008-0000-0B00-000048B00300}"/>
                  </a:ext>
                </a:extLst>
              </xdr:cNvPr>
              <xdr:cNvSpPr/>
            </xdr:nvSpPr>
            <xdr:spPr bwMode="auto">
              <a:xfrm>
                <a:off x="2994705" y="2201929"/>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43</xdr:row>
      <xdr:rowOff>22860</xdr:rowOff>
    </xdr:from>
    <xdr:to>
      <xdr:col>9</xdr:col>
      <xdr:colOff>4542762</xdr:colOff>
      <xdr:row>44</xdr:row>
      <xdr:rowOff>0</xdr:rowOff>
    </xdr:to>
    <xdr:sp macro="" textlink="" fLocksText="0">
      <xdr:nvSpPr>
        <xdr:cNvPr id="31" name="ZoneTexte 1">
          <a:extLst>
            <a:ext uri="{FF2B5EF4-FFF2-40B4-BE49-F238E27FC236}">
              <a16:creationId xmlns:a16="http://schemas.microsoft.com/office/drawing/2014/main" id="{00000000-0008-0000-0C00-00001F000000}"/>
            </a:ext>
          </a:extLst>
        </xdr:cNvPr>
        <xdr:cNvSpPr txBox="1">
          <a:spLocks noChangeArrowheads="1"/>
        </xdr:cNvSpPr>
      </xdr:nvSpPr>
      <xdr:spPr bwMode="auto">
        <a:xfrm>
          <a:off x="6894195" y="30876240"/>
          <a:ext cx="4514187"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44</xdr:row>
          <xdr:rowOff>0</xdr:rowOff>
        </xdr:from>
        <xdr:to>
          <xdr:col>8</xdr:col>
          <xdr:colOff>0</xdr:colOff>
          <xdr:row>45</xdr:row>
          <xdr:rowOff>0</xdr:rowOff>
        </xdr:to>
        <xdr:grpSp>
          <xdr:nvGrpSpPr>
            <xdr:cNvPr id="33" name="Groupe 32">
              <a:extLst>
                <a:ext uri="{FF2B5EF4-FFF2-40B4-BE49-F238E27FC236}">
                  <a16:creationId xmlns:a16="http://schemas.microsoft.com/office/drawing/2014/main" id="{00000000-0008-0000-0C00-000021000000}"/>
                </a:ext>
              </a:extLst>
            </xdr:cNvPr>
            <xdr:cNvGrpSpPr/>
          </xdr:nvGrpSpPr>
          <xdr:grpSpPr>
            <a:xfrm>
              <a:off x="4009292" y="33867969"/>
              <a:ext cx="1957754" cy="1910862"/>
              <a:chOff x="2995436" y="3846792"/>
              <a:chExt cx="1960181" cy="1644870"/>
            </a:xfrm>
          </xdr:grpSpPr>
          <xdr:sp macro="" textlink="">
            <xdr:nvSpPr>
              <xdr:cNvPr id="241737" name="Option Button 73" hidden="1">
                <a:extLst>
                  <a:ext uri="{63B3BB69-23CF-44E3-9099-C40C66FF867C}">
                    <a14:compatExt spid="_x0000_s241737"/>
                  </a:ext>
                  <a:ext uri="{FF2B5EF4-FFF2-40B4-BE49-F238E27FC236}">
                    <a16:creationId xmlns:a16="http://schemas.microsoft.com/office/drawing/2014/main" id="{00000000-0008-0000-0B00-000049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38" name="Option Button 74" hidden="1">
                <a:extLst>
                  <a:ext uri="{63B3BB69-23CF-44E3-9099-C40C66FF867C}">
                    <a14:compatExt spid="_x0000_s241738"/>
                  </a:ext>
                  <a:ext uri="{FF2B5EF4-FFF2-40B4-BE49-F238E27FC236}">
                    <a16:creationId xmlns:a16="http://schemas.microsoft.com/office/drawing/2014/main" id="{00000000-0008-0000-0B00-00004A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39" name="Option Button 75" hidden="1">
                <a:extLst>
                  <a:ext uri="{63B3BB69-23CF-44E3-9099-C40C66FF867C}">
                    <a14:compatExt spid="_x0000_s241739"/>
                  </a:ext>
                  <a:ext uri="{FF2B5EF4-FFF2-40B4-BE49-F238E27FC236}">
                    <a16:creationId xmlns:a16="http://schemas.microsoft.com/office/drawing/2014/main" id="{00000000-0008-0000-0B00-00004B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40" name="Option Button 76" hidden="1">
                <a:extLst>
                  <a:ext uri="{63B3BB69-23CF-44E3-9099-C40C66FF867C}">
                    <a14:compatExt spid="_x0000_s241740"/>
                  </a:ext>
                  <a:ext uri="{FF2B5EF4-FFF2-40B4-BE49-F238E27FC236}">
                    <a16:creationId xmlns:a16="http://schemas.microsoft.com/office/drawing/2014/main" id="{00000000-0008-0000-0B00-00004C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41" name="Group Box 77" hidden="1">
                <a:extLst>
                  <a:ext uri="{63B3BB69-23CF-44E3-9099-C40C66FF867C}">
                    <a14:compatExt spid="_x0000_s241741"/>
                  </a:ext>
                  <a:ext uri="{FF2B5EF4-FFF2-40B4-BE49-F238E27FC236}">
                    <a16:creationId xmlns:a16="http://schemas.microsoft.com/office/drawing/2014/main" id="{00000000-0008-0000-0B00-00004DB00300}"/>
                  </a:ext>
                </a:extLst>
              </xdr:cNvPr>
              <xdr:cNvSpPr/>
            </xdr:nvSpPr>
            <xdr:spPr bwMode="auto">
              <a:xfrm>
                <a:off x="2995436" y="3846792"/>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45</xdr:row>
      <xdr:rowOff>15675</xdr:rowOff>
    </xdr:from>
    <xdr:to>
      <xdr:col>9</xdr:col>
      <xdr:colOff>4542762</xdr:colOff>
      <xdr:row>46</xdr:row>
      <xdr:rowOff>0</xdr:rowOff>
    </xdr:to>
    <xdr:sp macro="" textlink="" fLocksText="0">
      <xdr:nvSpPr>
        <xdr:cNvPr id="34" name="ZoneTexte 1">
          <a:extLst>
            <a:ext uri="{FF2B5EF4-FFF2-40B4-BE49-F238E27FC236}">
              <a16:creationId xmlns:a16="http://schemas.microsoft.com/office/drawing/2014/main" id="{00000000-0008-0000-0C00-000022000000}"/>
            </a:ext>
          </a:extLst>
        </xdr:cNvPr>
        <xdr:cNvSpPr txBox="1">
          <a:spLocks noChangeArrowheads="1"/>
        </xdr:cNvSpPr>
      </xdr:nvSpPr>
      <xdr:spPr bwMode="auto">
        <a:xfrm>
          <a:off x="6894195" y="3441997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46</xdr:row>
      <xdr:rowOff>22859</xdr:rowOff>
    </xdr:from>
    <xdr:to>
      <xdr:col>9</xdr:col>
      <xdr:colOff>4572000</xdr:colOff>
      <xdr:row>47</xdr:row>
      <xdr:rowOff>0</xdr:rowOff>
    </xdr:to>
    <xdr:sp macro="" textlink="" fLocksText="0">
      <xdr:nvSpPr>
        <xdr:cNvPr id="35" name="ZoneTexte 1">
          <a:extLst>
            <a:ext uri="{FF2B5EF4-FFF2-40B4-BE49-F238E27FC236}">
              <a16:creationId xmlns:a16="http://schemas.microsoft.com/office/drawing/2014/main" id="{00000000-0008-0000-0C00-000023000000}"/>
            </a:ext>
          </a:extLst>
        </xdr:cNvPr>
        <xdr:cNvSpPr txBox="1">
          <a:spLocks noChangeArrowheads="1"/>
        </xdr:cNvSpPr>
      </xdr:nvSpPr>
      <xdr:spPr bwMode="auto">
        <a:xfrm>
          <a:off x="6876256" y="3607307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grpSp>
          <xdr:nvGrpSpPr>
            <xdr:cNvPr id="37" name="Groupe 36">
              <a:extLst>
                <a:ext uri="{FF2B5EF4-FFF2-40B4-BE49-F238E27FC236}">
                  <a16:creationId xmlns:a16="http://schemas.microsoft.com/office/drawing/2014/main" id="{00000000-0008-0000-0C00-000025000000}"/>
                </a:ext>
              </a:extLst>
            </xdr:cNvPr>
            <xdr:cNvGrpSpPr/>
          </xdr:nvGrpSpPr>
          <xdr:grpSpPr>
            <a:xfrm>
              <a:off x="4009292" y="35778831"/>
              <a:ext cx="1957754" cy="1641231"/>
              <a:chOff x="2994701" y="2201880"/>
              <a:chExt cx="1960969" cy="1646922"/>
            </a:xfrm>
          </xdr:grpSpPr>
          <xdr:sp macro="" textlink="">
            <xdr:nvSpPr>
              <xdr:cNvPr id="241747" name="Option Button 83" descr="Case d'option 47" hidden="1">
                <a:extLst>
                  <a:ext uri="{63B3BB69-23CF-44E3-9099-C40C66FF867C}">
                    <a14:compatExt spid="_x0000_s241747"/>
                  </a:ext>
                  <a:ext uri="{FF2B5EF4-FFF2-40B4-BE49-F238E27FC236}">
                    <a16:creationId xmlns:a16="http://schemas.microsoft.com/office/drawing/2014/main" id="{00000000-0008-0000-0B00-000053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48" name="Option Button 84" hidden="1">
                <a:extLst>
                  <a:ext uri="{63B3BB69-23CF-44E3-9099-C40C66FF867C}">
                    <a14:compatExt spid="_x0000_s241748"/>
                  </a:ext>
                  <a:ext uri="{FF2B5EF4-FFF2-40B4-BE49-F238E27FC236}">
                    <a16:creationId xmlns:a16="http://schemas.microsoft.com/office/drawing/2014/main" id="{00000000-0008-0000-0B00-000054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49" name="Option Button 85" hidden="1">
                <a:extLst>
                  <a:ext uri="{63B3BB69-23CF-44E3-9099-C40C66FF867C}">
                    <a14:compatExt spid="_x0000_s241749"/>
                  </a:ext>
                  <a:ext uri="{FF2B5EF4-FFF2-40B4-BE49-F238E27FC236}">
                    <a16:creationId xmlns:a16="http://schemas.microsoft.com/office/drawing/2014/main" id="{00000000-0008-0000-0B00-000055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50" name="Option Button 86" hidden="1">
                <a:extLst>
                  <a:ext uri="{63B3BB69-23CF-44E3-9099-C40C66FF867C}">
                    <a14:compatExt spid="_x0000_s241750"/>
                  </a:ext>
                  <a:ext uri="{FF2B5EF4-FFF2-40B4-BE49-F238E27FC236}">
                    <a16:creationId xmlns:a16="http://schemas.microsoft.com/office/drawing/2014/main" id="{00000000-0008-0000-0B00-000056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51" name="Group Box 87" hidden="1">
                <a:extLst>
                  <a:ext uri="{63B3BB69-23CF-44E3-9099-C40C66FF867C}">
                    <a14:compatExt spid="_x0000_s241751"/>
                  </a:ext>
                  <a:ext uri="{FF2B5EF4-FFF2-40B4-BE49-F238E27FC236}">
                    <a16:creationId xmlns:a16="http://schemas.microsoft.com/office/drawing/2014/main" id="{00000000-0008-0000-0B00-000057B00300}"/>
                  </a:ext>
                </a:extLst>
              </xdr:cNvPr>
              <xdr:cNvSpPr/>
            </xdr:nvSpPr>
            <xdr:spPr bwMode="auto">
              <a:xfrm>
                <a:off x="2994701" y="2201880"/>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59</xdr:row>
      <xdr:rowOff>22860</xdr:rowOff>
    </xdr:from>
    <xdr:to>
      <xdr:col>9</xdr:col>
      <xdr:colOff>4545724</xdr:colOff>
      <xdr:row>60</xdr:row>
      <xdr:rowOff>0</xdr:rowOff>
    </xdr:to>
    <xdr:sp macro="" textlink="" fLocksText="0">
      <xdr:nvSpPr>
        <xdr:cNvPr id="38" name="ZoneTexte 1">
          <a:extLst>
            <a:ext uri="{FF2B5EF4-FFF2-40B4-BE49-F238E27FC236}">
              <a16:creationId xmlns:a16="http://schemas.microsoft.com/office/drawing/2014/main" id="{00000000-0008-0000-0C00-000026000000}"/>
            </a:ext>
          </a:extLst>
        </xdr:cNvPr>
        <xdr:cNvSpPr txBox="1">
          <a:spLocks noChangeArrowheads="1"/>
        </xdr:cNvSpPr>
      </xdr:nvSpPr>
      <xdr:spPr bwMode="auto">
        <a:xfrm>
          <a:off x="6894195" y="44630340"/>
          <a:ext cx="4517149"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grpSp>
          <xdr:nvGrpSpPr>
            <xdr:cNvPr id="40" name="Groupe 39">
              <a:extLst>
                <a:ext uri="{FF2B5EF4-FFF2-40B4-BE49-F238E27FC236}">
                  <a16:creationId xmlns:a16="http://schemas.microsoft.com/office/drawing/2014/main" id="{00000000-0008-0000-0C00-000028000000}"/>
                </a:ext>
              </a:extLst>
            </xdr:cNvPr>
            <xdr:cNvGrpSpPr/>
          </xdr:nvGrpSpPr>
          <xdr:grpSpPr>
            <a:xfrm>
              <a:off x="4009292" y="41265231"/>
              <a:ext cx="1957754" cy="1641231"/>
              <a:chOff x="2995436" y="3846792"/>
              <a:chExt cx="1960181" cy="1644867"/>
            </a:xfrm>
          </xdr:grpSpPr>
          <xdr:sp macro="" textlink="">
            <xdr:nvSpPr>
              <xdr:cNvPr id="241752" name="Option Button 88" hidden="1">
                <a:extLst>
                  <a:ext uri="{63B3BB69-23CF-44E3-9099-C40C66FF867C}">
                    <a14:compatExt spid="_x0000_s241752"/>
                  </a:ext>
                  <a:ext uri="{FF2B5EF4-FFF2-40B4-BE49-F238E27FC236}">
                    <a16:creationId xmlns:a16="http://schemas.microsoft.com/office/drawing/2014/main" id="{00000000-0008-0000-0B00-000058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53" name="Option Button 89" hidden="1">
                <a:extLst>
                  <a:ext uri="{63B3BB69-23CF-44E3-9099-C40C66FF867C}">
                    <a14:compatExt spid="_x0000_s241753"/>
                  </a:ext>
                  <a:ext uri="{FF2B5EF4-FFF2-40B4-BE49-F238E27FC236}">
                    <a16:creationId xmlns:a16="http://schemas.microsoft.com/office/drawing/2014/main" id="{00000000-0008-0000-0B00-000059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54" name="Option Button 90" hidden="1">
                <a:extLst>
                  <a:ext uri="{63B3BB69-23CF-44E3-9099-C40C66FF867C}">
                    <a14:compatExt spid="_x0000_s241754"/>
                  </a:ext>
                  <a:ext uri="{FF2B5EF4-FFF2-40B4-BE49-F238E27FC236}">
                    <a16:creationId xmlns:a16="http://schemas.microsoft.com/office/drawing/2014/main" id="{00000000-0008-0000-0B00-00005A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55" name="Option Button 91" hidden="1">
                <a:extLst>
                  <a:ext uri="{63B3BB69-23CF-44E3-9099-C40C66FF867C}">
                    <a14:compatExt spid="_x0000_s241755"/>
                  </a:ext>
                  <a:ext uri="{FF2B5EF4-FFF2-40B4-BE49-F238E27FC236}">
                    <a16:creationId xmlns:a16="http://schemas.microsoft.com/office/drawing/2014/main" id="{00000000-0008-0000-0B00-00005B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56" name="Group Box 92" hidden="1">
                <a:extLst>
                  <a:ext uri="{63B3BB69-23CF-44E3-9099-C40C66FF867C}">
                    <a14:compatExt spid="_x0000_s241756"/>
                  </a:ext>
                  <a:ext uri="{FF2B5EF4-FFF2-40B4-BE49-F238E27FC236}">
                    <a16:creationId xmlns:a16="http://schemas.microsoft.com/office/drawing/2014/main" id="{00000000-0008-0000-0B00-00005CB00300}"/>
                  </a:ext>
                </a:extLst>
              </xdr:cNvPr>
              <xdr:cNvSpPr/>
            </xdr:nvSpPr>
            <xdr:spPr bwMode="auto">
              <a:xfrm>
                <a:off x="2995436" y="3846792"/>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2055</xdr:rowOff>
        </xdr:to>
        <xdr:grpSp>
          <xdr:nvGrpSpPr>
            <xdr:cNvPr id="41" name="Groupe 40">
              <a:extLst>
                <a:ext uri="{FF2B5EF4-FFF2-40B4-BE49-F238E27FC236}">
                  <a16:creationId xmlns:a16="http://schemas.microsoft.com/office/drawing/2014/main" id="{00000000-0008-0000-0C00-000029000000}"/>
                </a:ext>
              </a:extLst>
            </xdr:cNvPr>
            <xdr:cNvGrpSpPr/>
          </xdr:nvGrpSpPr>
          <xdr:grpSpPr>
            <a:xfrm>
              <a:off x="4009292" y="39624000"/>
              <a:ext cx="1957754" cy="1643286"/>
              <a:chOff x="2994705" y="2201923"/>
              <a:chExt cx="1960969" cy="1646923"/>
            </a:xfrm>
          </xdr:grpSpPr>
          <xdr:sp macro="" textlink="">
            <xdr:nvSpPr>
              <xdr:cNvPr id="241757" name="Option Button 93" descr="Case d'option 47" hidden="1">
                <a:extLst>
                  <a:ext uri="{63B3BB69-23CF-44E3-9099-C40C66FF867C}">
                    <a14:compatExt spid="_x0000_s241757"/>
                  </a:ext>
                  <a:ext uri="{FF2B5EF4-FFF2-40B4-BE49-F238E27FC236}">
                    <a16:creationId xmlns:a16="http://schemas.microsoft.com/office/drawing/2014/main" id="{00000000-0008-0000-0B00-00005D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58" name="Option Button 94" hidden="1">
                <a:extLst>
                  <a:ext uri="{63B3BB69-23CF-44E3-9099-C40C66FF867C}">
                    <a14:compatExt spid="_x0000_s241758"/>
                  </a:ext>
                  <a:ext uri="{FF2B5EF4-FFF2-40B4-BE49-F238E27FC236}">
                    <a16:creationId xmlns:a16="http://schemas.microsoft.com/office/drawing/2014/main" id="{00000000-0008-0000-0B00-00005E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59" name="Option Button 95" hidden="1">
                <a:extLst>
                  <a:ext uri="{63B3BB69-23CF-44E3-9099-C40C66FF867C}">
                    <a14:compatExt spid="_x0000_s241759"/>
                  </a:ext>
                  <a:ext uri="{FF2B5EF4-FFF2-40B4-BE49-F238E27FC236}">
                    <a16:creationId xmlns:a16="http://schemas.microsoft.com/office/drawing/2014/main" id="{00000000-0008-0000-0B00-00005F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60" name="Option Button 96" hidden="1">
                <a:extLst>
                  <a:ext uri="{63B3BB69-23CF-44E3-9099-C40C66FF867C}">
                    <a14:compatExt spid="_x0000_s241760"/>
                  </a:ext>
                  <a:ext uri="{FF2B5EF4-FFF2-40B4-BE49-F238E27FC236}">
                    <a16:creationId xmlns:a16="http://schemas.microsoft.com/office/drawing/2014/main" id="{00000000-0008-0000-0B00-000060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61" name="Group Box 97" hidden="1">
                <a:extLst>
                  <a:ext uri="{63B3BB69-23CF-44E3-9099-C40C66FF867C}">
                    <a14:compatExt spid="_x0000_s241761"/>
                  </a:ext>
                  <a:ext uri="{FF2B5EF4-FFF2-40B4-BE49-F238E27FC236}">
                    <a16:creationId xmlns:a16="http://schemas.microsoft.com/office/drawing/2014/main" id="{00000000-0008-0000-0B00-000061B00300}"/>
                  </a:ext>
                </a:extLst>
              </xdr:cNvPr>
              <xdr:cNvSpPr/>
            </xdr:nvSpPr>
            <xdr:spPr bwMode="auto">
              <a:xfrm>
                <a:off x="2994705" y="2201923"/>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61</xdr:row>
      <xdr:rowOff>15675</xdr:rowOff>
    </xdr:from>
    <xdr:to>
      <xdr:col>9</xdr:col>
      <xdr:colOff>4545724</xdr:colOff>
      <xdr:row>62</xdr:row>
      <xdr:rowOff>0</xdr:rowOff>
    </xdr:to>
    <xdr:sp macro="" textlink="" fLocksText="0">
      <xdr:nvSpPr>
        <xdr:cNvPr id="42" name="ZoneTexte 1">
          <a:extLst>
            <a:ext uri="{FF2B5EF4-FFF2-40B4-BE49-F238E27FC236}">
              <a16:creationId xmlns:a16="http://schemas.microsoft.com/office/drawing/2014/main" id="{00000000-0008-0000-0C00-00002A000000}"/>
            </a:ext>
          </a:extLst>
        </xdr:cNvPr>
        <xdr:cNvSpPr txBox="1">
          <a:spLocks noChangeArrowheads="1"/>
        </xdr:cNvSpPr>
      </xdr:nvSpPr>
      <xdr:spPr bwMode="auto">
        <a:xfrm>
          <a:off x="6894195" y="47914995"/>
          <a:ext cx="4517149"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10635</xdr:colOff>
      <xdr:row>62</xdr:row>
      <xdr:rowOff>22859</xdr:rowOff>
    </xdr:from>
    <xdr:to>
      <xdr:col>9</xdr:col>
      <xdr:colOff>4574992</xdr:colOff>
      <xdr:row>62</xdr:row>
      <xdr:rowOff>2010102</xdr:rowOff>
    </xdr:to>
    <xdr:sp macro="" textlink="" fLocksText="0">
      <xdr:nvSpPr>
        <xdr:cNvPr id="43" name="ZoneTexte 1">
          <a:extLst>
            <a:ext uri="{FF2B5EF4-FFF2-40B4-BE49-F238E27FC236}">
              <a16:creationId xmlns:a16="http://schemas.microsoft.com/office/drawing/2014/main" id="{00000000-0008-0000-0C00-00002B000000}"/>
            </a:ext>
          </a:extLst>
        </xdr:cNvPr>
        <xdr:cNvSpPr txBox="1">
          <a:spLocks noChangeArrowheads="1"/>
        </xdr:cNvSpPr>
      </xdr:nvSpPr>
      <xdr:spPr bwMode="auto">
        <a:xfrm>
          <a:off x="6876255" y="4956809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63</xdr:row>
      <xdr:rowOff>19739</xdr:rowOff>
    </xdr:from>
    <xdr:to>
      <xdr:col>9</xdr:col>
      <xdr:colOff>4575309</xdr:colOff>
      <xdr:row>63</xdr:row>
      <xdr:rowOff>1621739</xdr:rowOff>
    </xdr:to>
    <xdr:sp macro="" textlink="" fLocksText="0">
      <xdr:nvSpPr>
        <xdr:cNvPr id="44" name="ZoneTexte 1">
          <a:extLst>
            <a:ext uri="{FF2B5EF4-FFF2-40B4-BE49-F238E27FC236}">
              <a16:creationId xmlns:a16="http://schemas.microsoft.com/office/drawing/2014/main" id="{00000000-0008-0000-0C00-00002C000000}"/>
            </a:ext>
          </a:extLst>
        </xdr:cNvPr>
        <xdr:cNvSpPr txBox="1">
          <a:spLocks noChangeArrowheads="1"/>
        </xdr:cNvSpPr>
      </xdr:nvSpPr>
      <xdr:spPr bwMode="auto">
        <a:xfrm>
          <a:off x="6876572" y="5121089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64</xdr:row>
      <xdr:rowOff>38468</xdr:rowOff>
    </xdr:from>
    <xdr:to>
      <xdr:col>9</xdr:col>
      <xdr:colOff>4571999</xdr:colOff>
      <xdr:row>64</xdr:row>
      <xdr:rowOff>1640468</xdr:rowOff>
    </xdr:to>
    <xdr:sp macro="" textlink="" fLocksText="0">
      <xdr:nvSpPr>
        <xdr:cNvPr id="45" name="ZoneTexte 1">
          <a:extLst>
            <a:ext uri="{FF2B5EF4-FFF2-40B4-BE49-F238E27FC236}">
              <a16:creationId xmlns:a16="http://schemas.microsoft.com/office/drawing/2014/main" id="{00000000-0008-0000-0C00-00002D000000}"/>
            </a:ext>
          </a:extLst>
        </xdr:cNvPr>
        <xdr:cNvSpPr txBox="1">
          <a:spLocks noChangeArrowheads="1"/>
        </xdr:cNvSpPr>
      </xdr:nvSpPr>
      <xdr:spPr bwMode="auto">
        <a:xfrm>
          <a:off x="6876572" y="52875548"/>
          <a:ext cx="456104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64</xdr:row>
          <xdr:rowOff>0</xdr:rowOff>
        </xdr:from>
        <xdr:to>
          <xdr:col>8</xdr:col>
          <xdr:colOff>0</xdr:colOff>
          <xdr:row>65</xdr:row>
          <xdr:rowOff>0</xdr:rowOff>
        </xdr:to>
        <xdr:sp macro="" textlink="">
          <xdr:nvSpPr>
            <xdr:cNvPr id="241762" name="Group Box 98" hidden="1">
              <a:extLst>
                <a:ext uri="{63B3BB69-23CF-44E3-9099-C40C66FF867C}">
                  <a14:compatExt spid="_x0000_s241762"/>
                </a:ext>
                <a:ext uri="{FF2B5EF4-FFF2-40B4-BE49-F238E27FC236}">
                  <a16:creationId xmlns:a16="http://schemas.microsoft.com/office/drawing/2014/main" id="{00000000-0008-0000-0B00-000062B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3</xdr:rowOff>
        </xdr:from>
        <xdr:to>
          <xdr:col>8</xdr:col>
          <xdr:colOff>0</xdr:colOff>
          <xdr:row>64</xdr:row>
          <xdr:rowOff>3</xdr:rowOff>
        </xdr:to>
        <xdr:grpSp>
          <xdr:nvGrpSpPr>
            <xdr:cNvPr id="46" name="Groupe 45">
              <a:extLst>
                <a:ext uri="{FF2B5EF4-FFF2-40B4-BE49-F238E27FC236}">
                  <a16:creationId xmlns:a16="http://schemas.microsoft.com/office/drawing/2014/main" id="{00000000-0008-0000-0C00-00002E000000}"/>
                </a:ext>
              </a:extLst>
            </xdr:cNvPr>
            <xdr:cNvGrpSpPr/>
          </xdr:nvGrpSpPr>
          <xdr:grpSpPr>
            <a:xfrm>
              <a:off x="4009292" y="46188926"/>
              <a:ext cx="1957754" cy="1641231"/>
              <a:chOff x="2995436" y="3846780"/>
              <a:chExt cx="1960181" cy="1644867"/>
            </a:xfrm>
          </xdr:grpSpPr>
          <xdr:sp macro="" textlink="">
            <xdr:nvSpPr>
              <xdr:cNvPr id="241763" name="Option Button 99" hidden="1">
                <a:extLst>
                  <a:ext uri="{63B3BB69-23CF-44E3-9099-C40C66FF867C}">
                    <a14:compatExt spid="_x0000_s241763"/>
                  </a:ext>
                  <a:ext uri="{FF2B5EF4-FFF2-40B4-BE49-F238E27FC236}">
                    <a16:creationId xmlns:a16="http://schemas.microsoft.com/office/drawing/2014/main" id="{00000000-0008-0000-0B00-000063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64" name="Option Button 100" hidden="1">
                <a:extLst>
                  <a:ext uri="{63B3BB69-23CF-44E3-9099-C40C66FF867C}">
                    <a14:compatExt spid="_x0000_s241764"/>
                  </a:ext>
                  <a:ext uri="{FF2B5EF4-FFF2-40B4-BE49-F238E27FC236}">
                    <a16:creationId xmlns:a16="http://schemas.microsoft.com/office/drawing/2014/main" id="{00000000-0008-0000-0B00-000064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65" name="Option Button 101" hidden="1">
                <a:extLst>
                  <a:ext uri="{63B3BB69-23CF-44E3-9099-C40C66FF867C}">
                    <a14:compatExt spid="_x0000_s241765"/>
                  </a:ext>
                  <a:ext uri="{FF2B5EF4-FFF2-40B4-BE49-F238E27FC236}">
                    <a16:creationId xmlns:a16="http://schemas.microsoft.com/office/drawing/2014/main" id="{00000000-0008-0000-0B00-000065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66" name="Option Button 102" hidden="1">
                <a:extLst>
                  <a:ext uri="{63B3BB69-23CF-44E3-9099-C40C66FF867C}">
                    <a14:compatExt spid="_x0000_s241766"/>
                  </a:ext>
                  <a:ext uri="{FF2B5EF4-FFF2-40B4-BE49-F238E27FC236}">
                    <a16:creationId xmlns:a16="http://schemas.microsoft.com/office/drawing/2014/main" id="{00000000-0008-0000-0B00-000066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67" name="Group Box 103" hidden="1">
                <a:extLst>
                  <a:ext uri="{63B3BB69-23CF-44E3-9099-C40C66FF867C}">
                    <a14:compatExt spid="_x0000_s241767"/>
                  </a:ext>
                  <a:ext uri="{FF2B5EF4-FFF2-40B4-BE49-F238E27FC236}">
                    <a16:creationId xmlns:a16="http://schemas.microsoft.com/office/drawing/2014/main" id="{00000000-0008-0000-0B00-000067B00300}"/>
                  </a:ext>
                </a:extLst>
              </xdr:cNvPr>
              <xdr:cNvSpPr/>
            </xdr:nvSpPr>
            <xdr:spPr bwMode="auto">
              <a:xfrm>
                <a:off x="2995436" y="3846780"/>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62</xdr:row>
          <xdr:rowOff>0</xdr:rowOff>
        </xdr:from>
        <xdr:to>
          <xdr:col>8</xdr:col>
          <xdr:colOff>0</xdr:colOff>
          <xdr:row>63</xdr:row>
          <xdr:rowOff>2058</xdr:rowOff>
        </xdr:to>
        <xdr:grpSp>
          <xdr:nvGrpSpPr>
            <xdr:cNvPr id="47" name="Groupe 46">
              <a:extLst>
                <a:ext uri="{FF2B5EF4-FFF2-40B4-BE49-F238E27FC236}">
                  <a16:creationId xmlns:a16="http://schemas.microsoft.com/office/drawing/2014/main" id="{00000000-0008-0000-0C00-00002F000000}"/>
                </a:ext>
              </a:extLst>
            </xdr:cNvPr>
            <xdr:cNvGrpSpPr/>
          </xdr:nvGrpSpPr>
          <xdr:grpSpPr>
            <a:xfrm>
              <a:off x="4012460" y="44547692"/>
              <a:ext cx="1954586" cy="1643289"/>
              <a:chOff x="2994659" y="2201920"/>
              <a:chExt cx="1960969" cy="1646926"/>
            </a:xfrm>
          </xdr:grpSpPr>
          <xdr:sp macro="" textlink="">
            <xdr:nvSpPr>
              <xdr:cNvPr id="241768" name="Option Button 104" descr="Case d'option 47" hidden="1">
                <a:extLst>
                  <a:ext uri="{63B3BB69-23CF-44E3-9099-C40C66FF867C}">
                    <a14:compatExt spid="_x0000_s241768"/>
                  </a:ext>
                  <a:ext uri="{FF2B5EF4-FFF2-40B4-BE49-F238E27FC236}">
                    <a16:creationId xmlns:a16="http://schemas.microsoft.com/office/drawing/2014/main" id="{00000000-0008-0000-0B00-000068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69" name="Option Button 105" hidden="1">
                <a:extLst>
                  <a:ext uri="{63B3BB69-23CF-44E3-9099-C40C66FF867C}">
                    <a14:compatExt spid="_x0000_s241769"/>
                  </a:ext>
                  <a:ext uri="{FF2B5EF4-FFF2-40B4-BE49-F238E27FC236}">
                    <a16:creationId xmlns:a16="http://schemas.microsoft.com/office/drawing/2014/main" id="{00000000-0008-0000-0B00-000069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70" name="Option Button 106" hidden="1">
                <a:extLst>
                  <a:ext uri="{63B3BB69-23CF-44E3-9099-C40C66FF867C}">
                    <a14:compatExt spid="_x0000_s241770"/>
                  </a:ext>
                  <a:ext uri="{FF2B5EF4-FFF2-40B4-BE49-F238E27FC236}">
                    <a16:creationId xmlns:a16="http://schemas.microsoft.com/office/drawing/2014/main" id="{00000000-0008-0000-0B00-00006A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71" name="Option Button 107" hidden="1">
                <a:extLst>
                  <a:ext uri="{63B3BB69-23CF-44E3-9099-C40C66FF867C}">
                    <a14:compatExt spid="_x0000_s241771"/>
                  </a:ext>
                  <a:ext uri="{FF2B5EF4-FFF2-40B4-BE49-F238E27FC236}">
                    <a16:creationId xmlns:a16="http://schemas.microsoft.com/office/drawing/2014/main" id="{00000000-0008-0000-0B00-00006B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72" name="Group Box 108" hidden="1">
                <a:extLst>
                  <a:ext uri="{63B3BB69-23CF-44E3-9099-C40C66FF867C}">
                    <a14:compatExt spid="_x0000_s241772"/>
                  </a:ext>
                  <a:ext uri="{FF2B5EF4-FFF2-40B4-BE49-F238E27FC236}">
                    <a16:creationId xmlns:a16="http://schemas.microsoft.com/office/drawing/2014/main" id="{00000000-0008-0000-0B00-00006CB00300}"/>
                  </a:ext>
                </a:extLst>
              </xdr:cNvPr>
              <xdr:cNvSpPr/>
            </xdr:nvSpPr>
            <xdr:spPr bwMode="auto">
              <a:xfrm>
                <a:off x="2994659" y="2201920"/>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grpSp>
          <xdr:nvGrpSpPr>
            <xdr:cNvPr id="48" name="Groupe 47">
              <a:extLst>
                <a:ext uri="{FF2B5EF4-FFF2-40B4-BE49-F238E27FC236}">
                  <a16:creationId xmlns:a16="http://schemas.microsoft.com/office/drawing/2014/main" id="{00000000-0008-0000-0C00-000030000000}"/>
                </a:ext>
              </a:extLst>
            </xdr:cNvPr>
            <xdr:cNvGrpSpPr/>
          </xdr:nvGrpSpPr>
          <xdr:grpSpPr>
            <a:xfrm>
              <a:off x="4009292" y="42906462"/>
              <a:ext cx="1957754" cy="1641230"/>
              <a:chOff x="2994701" y="2201921"/>
              <a:chExt cx="1960969" cy="1646929"/>
            </a:xfrm>
          </xdr:grpSpPr>
          <xdr:sp macro="" textlink="">
            <xdr:nvSpPr>
              <xdr:cNvPr id="241773" name="Option Button 109" descr="Case d'option 47" hidden="1">
                <a:extLst>
                  <a:ext uri="{63B3BB69-23CF-44E3-9099-C40C66FF867C}">
                    <a14:compatExt spid="_x0000_s241773"/>
                  </a:ext>
                  <a:ext uri="{FF2B5EF4-FFF2-40B4-BE49-F238E27FC236}">
                    <a16:creationId xmlns:a16="http://schemas.microsoft.com/office/drawing/2014/main" id="{00000000-0008-0000-0B00-00006D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74" name="Option Button 110" hidden="1">
                <a:extLst>
                  <a:ext uri="{63B3BB69-23CF-44E3-9099-C40C66FF867C}">
                    <a14:compatExt spid="_x0000_s241774"/>
                  </a:ext>
                  <a:ext uri="{FF2B5EF4-FFF2-40B4-BE49-F238E27FC236}">
                    <a16:creationId xmlns:a16="http://schemas.microsoft.com/office/drawing/2014/main" id="{00000000-0008-0000-0B00-00006E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75" name="Option Button 111" hidden="1">
                <a:extLst>
                  <a:ext uri="{63B3BB69-23CF-44E3-9099-C40C66FF867C}">
                    <a14:compatExt spid="_x0000_s241775"/>
                  </a:ext>
                  <a:ext uri="{FF2B5EF4-FFF2-40B4-BE49-F238E27FC236}">
                    <a16:creationId xmlns:a16="http://schemas.microsoft.com/office/drawing/2014/main" id="{00000000-0008-0000-0B00-00006F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76" name="Option Button 112" hidden="1">
                <a:extLst>
                  <a:ext uri="{63B3BB69-23CF-44E3-9099-C40C66FF867C}">
                    <a14:compatExt spid="_x0000_s241776"/>
                  </a:ext>
                  <a:ext uri="{FF2B5EF4-FFF2-40B4-BE49-F238E27FC236}">
                    <a16:creationId xmlns:a16="http://schemas.microsoft.com/office/drawing/2014/main" id="{00000000-0008-0000-0B00-000070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77" name="Group Box 113" hidden="1">
                <a:extLst>
                  <a:ext uri="{63B3BB69-23CF-44E3-9099-C40C66FF867C}">
                    <a14:compatExt spid="_x0000_s241777"/>
                  </a:ext>
                  <a:ext uri="{FF2B5EF4-FFF2-40B4-BE49-F238E27FC236}">
                    <a16:creationId xmlns:a16="http://schemas.microsoft.com/office/drawing/2014/main" id="{00000000-0008-0000-0B00-000071B00300}"/>
                  </a:ext>
                </a:extLst>
              </xdr:cNvPr>
              <xdr:cNvSpPr/>
            </xdr:nvSpPr>
            <xdr:spPr bwMode="auto">
              <a:xfrm>
                <a:off x="2994701" y="2201921"/>
                <a:ext cx="1960969" cy="164692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64</xdr:row>
          <xdr:rowOff>0</xdr:rowOff>
        </xdr:from>
        <xdr:to>
          <xdr:col>8</xdr:col>
          <xdr:colOff>0</xdr:colOff>
          <xdr:row>65</xdr:row>
          <xdr:rowOff>2058</xdr:rowOff>
        </xdr:to>
        <xdr:grpSp>
          <xdr:nvGrpSpPr>
            <xdr:cNvPr id="49" name="Groupe 48">
              <a:extLst>
                <a:ext uri="{FF2B5EF4-FFF2-40B4-BE49-F238E27FC236}">
                  <a16:creationId xmlns:a16="http://schemas.microsoft.com/office/drawing/2014/main" id="{00000000-0008-0000-0C00-000031000000}"/>
                </a:ext>
              </a:extLst>
            </xdr:cNvPr>
            <xdr:cNvGrpSpPr/>
          </xdr:nvGrpSpPr>
          <xdr:grpSpPr>
            <a:xfrm>
              <a:off x="4012460" y="47830154"/>
              <a:ext cx="1954586" cy="1641231"/>
              <a:chOff x="2994659" y="2201917"/>
              <a:chExt cx="1960969" cy="1646922"/>
            </a:xfrm>
          </xdr:grpSpPr>
          <xdr:sp macro="" textlink="">
            <xdr:nvSpPr>
              <xdr:cNvPr id="241778" name="Option Button 114" descr="Case d'option 47" hidden="1">
                <a:extLst>
                  <a:ext uri="{63B3BB69-23CF-44E3-9099-C40C66FF867C}">
                    <a14:compatExt spid="_x0000_s241778"/>
                  </a:ext>
                  <a:ext uri="{FF2B5EF4-FFF2-40B4-BE49-F238E27FC236}">
                    <a16:creationId xmlns:a16="http://schemas.microsoft.com/office/drawing/2014/main" id="{00000000-0008-0000-0B00-000072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79" name="Option Button 115" hidden="1">
                <a:extLst>
                  <a:ext uri="{63B3BB69-23CF-44E3-9099-C40C66FF867C}">
                    <a14:compatExt spid="_x0000_s241779"/>
                  </a:ext>
                  <a:ext uri="{FF2B5EF4-FFF2-40B4-BE49-F238E27FC236}">
                    <a16:creationId xmlns:a16="http://schemas.microsoft.com/office/drawing/2014/main" id="{00000000-0008-0000-0B00-000073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80" name="Option Button 116" hidden="1">
                <a:extLst>
                  <a:ext uri="{63B3BB69-23CF-44E3-9099-C40C66FF867C}">
                    <a14:compatExt spid="_x0000_s241780"/>
                  </a:ext>
                  <a:ext uri="{FF2B5EF4-FFF2-40B4-BE49-F238E27FC236}">
                    <a16:creationId xmlns:a16="http://schemas.microsoft.com/office/drawing/2014/main" id="{00000000-0008-0000-0B00-000074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81" name="Option Button 117" hidden="1">
                <a:extLst>
                  <a:ext uri="{63B3BB69-23CF-44E3-9099-C40C66FF867C}">
                    <a14:compatExt spid="_x0000_s241781"/>
                  </a:ext>
                  <a:ext uri="{FF2B5EF4-FFF2-40B4-BE49-F238E27FC236}">
                    <a16:creationId xmlns:a16="http://schemas.microsoft.com/office/drawing/2014/main" id="{00000000-0008-0000-0B00-000075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82" name="Group Box 118" hidden="1">
                <a:extLst>
                  <a:ext uri="{63B3BB69-23CF-44E3-9099-C40C66FF867C}">
                    <a14:compatExt spid="_x0000_s241782"/>
                  </a:ext>
                  <a:ext uri="{FF2B5EF4-FFF2-40B4-BE49-F238E27FC236}">
                    <a16:creationId xmlns:a16="http://schemas.microsoft.com/office/drawing/2014/main" id="{00000000-0008-0000-0B00-000076B00300}"/>
                  </a:ext>
                </a:extLst>
              </xdr:cNvPr>
              <xdr:cNvSpPr/>
            </xdr:nvSpPr>
            <xdr:spPr bwMode="auto">
              <a:xfrm>
                <a:off x="2994659" y="2201917"/>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77</xdr:row>
      <xdr:rowOff>22860</xdr:rowOff>
    </xdr:from>
    <xdr:to>
      <xdr:col>9</xdr:col>
      <xdr:colOff>4503756</xdr:colOff>
      <xdr:row>78</xdr:row>
      <xdr:rowOff>0</xdr:rowOff>
    </xdr:to>
    <xdr:sp macro="" textlink="" fLocksText="0">
      <xdr:nvSpPr>
        <xdr:cNvPr id="50" name="ZoneTexte 1">
          <a:extLst>
            <a:ext uri="{FF2B5EF4-FFF2-40B4-BE49-F238E27FC236}">
              <a16:creationId xmlns:a16="http://schemas.microsoft.com/office/drawing/2014/main" id="{00000000-0008-0000-0C00-000032000000}"/>
            </a:ext>
          </a:extLst>
        </xdr:cNvPr>
        <xdr:cNvSpPr txBox="1">
          <a:spLocks noChangeArrowheads="1"/>
        </xdr:cNvSpPr>
      </xdr:nvSpPr>
      <xdr:spPr bwMode="auto">
        <a:xfrm>
          <a:off x="6894195" y="5868924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grpSp>
          <xdr:nvGrpSpPr>
            <xdr:cNvPr id="52" name="Groupe 51">
              <a:extLst>
                <a:ext uri="{FF2B5EF4-FFF2-40B4-BE49-F238E27FC236}">
                  <a16:creationId xmlns:a16="http://schemas.microsoft.com/office/drawing/2014/main" id="{00000000-0008-0000-0C00-000034000000}"/>
                </a:ext>
              </a:extLst>
            </xdr:cNvPr>
            <xdr:cNvGrpSpPr/>
          </xdr:nvGrpSpPr>
          <xdr:grpSpPr>
            <a:xfrm>
              <a:off x="4009292" y="53644800"/>
              <a:ext cx="1957754" cy="1641231"/>
              <a:chOff x="2995436" y="3846794"/>
              <a:chExt cx="1960181" cy="1644872"/>
            </a:xfrm>
          </xdr:grpSpPr>
          <xdr:sp macro="" textlink="">
            <xdr:nvSpPr>
              <xdr:cNvPr id="241783" name="Option Button 119" hidden="1">
                <a:extLst>
                  <a:ext uri="{63B3BB69-23CF-44E3-9099-C40C66FF867C}">
                    <a14:compatExt spid="_x0000_s241783"/>
                  </a:ext>
                  <a:ext uri="{FF2B5EF4-FFF2-40B4-BE49-F238E27FC236}">
                    <a16:creationId xmlns:a16="http://schemas.microsoft.com/office/drawing/2014/main" id="{00000000-0008-0000-0B00-000077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84" name="Option Button 120" hidden="1">
                <a:extLst>
                  <a:ext uri="{63B3BB69-23CF-44E3-9099-C40C66FF867C}">
                    <a14:compatExt spid="_x0000_s241784"/>
                  </a:ext>
                  <a:ext uri="{FF2B5EF4-FFF2-40B4-BE49-F238E27FC236}">
                    <a16:creationId xmlns:a16="http://schemas.microsoft.com/office/drawing/2014/main" id="{00000000-0008-0000-0B00-000078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85" name="Option Button 121" hidden="1">
                <a:extLst>
                  <a:ext uri="{63B3BB69-23CF-44E3-9099-C40C66FF867C}">
                    <a14:compatExt spid="_x0000_s241785"/>
                  </a:ext>
                  <a:ext uri="{FF2B5EF4-FFF2-40B4-BE49-F238E27FC236}">
                    <a16:creationId xmlns:a16="http://schemas.microsoft.com/office/drawing/2014/main" id="{00000000-0008-0000-0B00-000079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86" name="Option Button 122" hidden="1">
                <a:extLst>
                  <a:ext uri="{63B3BB69-23CF-44E3-9099-C40C66FF867C}">
                    <a14:compatExt spid="_x0000_s241786"/>
                  </a:ext>
                  <a:ext uri="{FF2B5EF4-FFF2-40B4-BE49-F238E27FC236}">
                    <a16:creationId xmlns:a16="http://schemas.microsoft.com/office/drawing/2014/main" id="{00000000-0008-0000-0B00-00007A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87" name="Group Box 123" hidden="1">
                <a:extLst>
                  <a:ext uri="{63B3BB69-23CF-44E3-9099-C40C66FF867C}">
                    <a14:compatExt spid="_x0000_s241787"/>
                  </a:ext>
                  <a:ext uri="{FF2B5EF4-FFF2-40B4-BE49-F238E27FC236}">
                    <a16:creationId xmlns:a16="http://schemas.microsoft.com/office/drawing/2014/main" id="{00000000-0008-0000-0B00-00007BB00300}"/>
                  </a:ext>
                </a:extLst>
              </xdr:cNvPr>
              <xdr:cNvSpPr/>
            </xdr:nvSpPr>
            <xdr:spPr bwMode="auto">
              <a:xfrm>
                <a:off x="2995436" y="3846794"/>
                <a:ext cx="1960181" cy="164487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2055</xdr:rowOff>
        </xdr:to>
        <xdr:grpSp>
          <xdr:nvGrpSpPr>
            <xdr:cNvPr id="53" name="Groupe 52">
              <a:extLst>
                <a:ext uri="{FF2B5EF4-FFF2-40B4-BE49-F238E27FC236}">
                  <a16:creationId xmlns:a16="http://schemas.microsoft.com/office/drawing/2014/main" id="{00000000-0008-0000-0C00-000035000000}"/>
                </a:ext>
              </a:extLst>
            </xdr:cNvPr>
            <xdr:cNvGrpSpPr/>
          </xdr:nvGrpSpPr>
          <xdr:grpSpPr>
            <a:xfrm>
              <a:off x="4009292" y="52003569"/>
              <a:ext cx="1957754" cy="1643286"/>
              <a:chOff x="2994705" y="2201924"/>
              <a:chExt cx="1960969" cy="1646923"/>
            </a:xfrm>
          </xdr:grpSpPr>
          <xdr:sp macro="" textlink="">
            <xdr:nvSpPr>
              <xdr:cNvPr id="241788" name="Option Button 124" descr="Case d'option 47" hidden="1">
                <a:extLst>
                  <a:ext uri="{63B3BB69-23CF-44E3-9099-C40C66FF867C}">
                    <a14:compatExt spid="_x0000_s241788"/>
                  </a:ext>
                  <a:ext uri="{FF2B5EF4-FFF2-40B4-BE49-F238E27FC236}">
                    <a16:creationId xmlns:a16="http://schemas.microsoft.com/office/drawing/2014/main" id="{00000000-0008-0000-0B00-00007C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89" name="Option Button 125" hidden="1">
                <a:extLst>
                  <a:ext uri="{63B3BB69-23CF-44E3-9099-C40C66FF867C}">
                    <a14:compatExt spid="_x0000_s241789"/>
                  </a:ext>
                  <a:ext uri="{FF2B5EF4-FFF2-40B4-BE49-F238E27FC236}">
                    <a16:creationId xmlns:a16="http://schemas.microsoft.com/office/drawing/2014/main" id="{00000000-0008-0000-0B00-00007D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90" name="Option Button 126" hidden="1">
                <a:extLst>
                  <a:ext uri="{63B3BB69-23CF-44E3-9099-C40C66FF867C}">
                    <a14:compatExt spid="_x0000_s241790"/>
                  </a:ext>
                  <a:ext uri="{FF2B5EF4-FFF2-40B4-BE49-F238E27FC236}">
                    <a16:creationId xmlns:a16="http://schemas.microsoft.com/office/drawing/2014/main" id="{00000000-0008-0000-0B00-00007E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91" name="Option Button 127" hidden="1">
                <a:extLst>
                  <a:ext uri="{63B3BB69-23CF-44E3-9099-C40C66FF867C}">
                    <a14:compatExt spid="_x0000_s241791"/>
                  </a:ext>
                  <a:ext uri="{FF2B5EF4-FFF2-40B4-BE49-F238E27FC236}">
                    <a16:creationId xmlns:a16="http://schemas.microsoft.com/office/drawing/2014/main" id="{00000000-0008-0000-0B00-00007F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92" name="Group Box 128" hidden="1">
                <a:extLst>
                  <a:ext uri="{63B3BB69-23CF-44E3-9099-C40C66FF867C}">
                    <a14:compatExt spid="_x0000_s241792"/>
                  </a:ext>
                  <a:ext uri="{FF2B5EF4-FFF2-40B4-BE49-F238E27FC236}">
                    <a16:creationId xmlns:a16="http://schemas.microsoft.com/office/drawing/2014/main" id="{00000000-0008-0000-0B00-000080B00300}"/>
                  </a:ext>
                </a:extLst>
              </xdr:cNvPr>
              <xdr:cNvSpPr/>
            </xdr:nvSpPr>
            <xdr:spPr bwMode="auto">
              <a:xfrm>
                <a:off x="2994705" y="2201924"/>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79</xdr:row>
      <xdr:rowOff>15675</xdr:rowOff>
    </xdr:from>
    <xdr:to>
      <xdr:col>9</xdr:col>
      <xdr:colOff>4503756</xdr:colOff>
      <xdr:row>80</xdr:row>
      <xdr:rowOff>0</xdr:rowOff>
    </xdr:to>
    <xdr:sp macro="" textlink="" fLocksText="0">
      <xdr:nvSpPr>
        <xdr:cNvPr id="54" name="ZoneTexte 1">
          <a:extLst>
            <a:ext uri="{FF2B5EF4-FFF2-40B4-BE49-F238E27FC236}">
              <a16:creationId xmlns:a16="http://schemas.microsoft.com/office/drawing/2014/main" id="{00000000-0008-0000-0C00-000036000000}"/>
            </a:ext>
          </a:extLst>
        </xdr:cNvPr>
        <xdr:cNvSpPr txBox="1">
          <a:spLocks noChangeArrowheads="1"/>
        </xdr:cNvSpPr>
      </xdr:nvSpPr>
      <xdr:spPr bwMode="auto">
        <a:xfrm>
          <a:off x="6894195" y="6197389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80</xdr:row>
      <xdr:rowOff>22860</xdr:rowOff>
    </xdr:from>
    <xdr:to>
      <xdr:col>9</xdr:col>
      <xdr:colOff>4532586</xdr:colOff>
      <xdr:row>80</xdr:row>
      <xdr:rowOff>1582615</xdr:rowOff>
    </xdr:to>
    <xdr:sp macro="" textlink="" fLocksText="0">
      <xdr:nvSpPr>
        <xdr:cNvPr id="55" name="ZoneTexte 1">
          <a:extLst>
            <a:ext uri="{FF2B5EF4-FFF2-40B4-BE49-F238E27FC236}">
              <a16:creationId xmlns:a16="http://schemas.microsoft.com/office/drawing/2014/main" id="{00000000-0008-0000-0C00-000037000000}"/>
            </a:ext>
          </a:extLst>
        </xdr:cNvPr>
        <xdr:cNvSpPr txBox="1">
          <a:spLocks noChangeArrowheads="1"/>
        </xdr:cNvSpPr>
      </xdr:nvSpPr>
      <xdr:spPr bwMode="auto">
        <a:xfrm>
          <a:off x="6868636" y="63726060"/>
          <a:ext cx="4521950" cy="155975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81</xdr:row>
      <xdr:rowOff>19739</xdr:rowOff>
    </xdr:from>
    <xdr:to>
      <xdr:col>9</xdr:col>
      <xdr:colOff>4532903</xdr:colOff>
      <xdr:row>81</xdr:row>
      <xdr:rowOff>1621739</xdr:rowOff>
    </xdr:to>
    <xdr:sp macro="" textlink="" fLocksText="0">
      <xdr:nvSpPr>
        <xdr:cNvPr id="56" name="ZoneTexte 1">
          <a:extLst>
            <a:ext uri="{FF2B5EF4-FFF2-40B4-BE49-F238E27FC236}">
              <a16:creationId xmlns:a16="http://schemas.microsoft.com/office/drawing/2014/main" id="{00000000-0008-0000-0C00-000038000000}"/>
            </a:ext>
          </a:extLst>
        </xdr:cNvPr>
        <xdr:cNvSpPr txBox="1">
          <a:spLocks noChangeArrowheads="1"/>
        </xdr:cNvSpPr>
      </xdr:nvSpPr>
      <xdr:spPr bwMode="auto">
        <a:xfrm>
          <a:off x="6876573" y="6526979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81</xdr:row>
          <xdr:rowOff>3</xdr:rowOff>
        </xdr:from>
        <xdr:to>
          <xdr:col>8</xdr:col>
          <xdr:colOff>0</xdr:colOff>
          <xdr:row>82</xdr:row>
          <xdr:rowOff>3</xdr:rowOff>
        </xdr:to>
        <xdr:grpSp>
          <xdr:nvGrpSpPr>
            <xdr:cNvPr id="57" name="Groupe 56">
              <a:extLst>
                <a:ext uri="{FF2B5EF4-FFF2-40B4-BE49-F238E27FC236}">
                  <a16:creationId xmlns:a16="http://schemas.microsoft.com/office/drawing/2014/main" id="{00000000-0008-0000-0C00-000039000000}"/>
                </a:ext>
              </a:extLst>
            </xdr:cNvPr>
            <xdr:cNvGrpSpPr/>
          </xdr:nvGrpSpPr>
          <xdr:grpSpPr>
            <a:xfrm>
              <a:off x="4009292" y="58568495"/>
              <a:ext cx="1957754" cy="1641228"/>
              <a:chOff x="2995436" y="3846793"/>
              <a:chExt cx="1960181" cy="1644869"/>
            </a:xfrm>
          </xdr:grpSpPr>
          <xdr:sp macro="" textlink="">
            <xdr:nvSpPr>
              <xdr:cNvPr id="241793" name="Option Button 129" hidden="1">
                <a:extLst>
                  <a:ext uri="{63B3BB69-23CF-44E3-9099-C40C66FF867C}">
                    <a14:compatExt spid="_x0000_s241793"/>
                  </a:ext>
                  <a:ext uri="{FF2B5EF4-FFF2-40B4-BE49-F238E27FC236}">
                    <a16:creationId xmlns:a16="http://schemas.microsoft.com/office/drawing/2014/main" id="{00000000-0008-0000-0B00-000081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94" name="Option Button 130" hidden="1">
                <a:extLst>
                  <a:ext uri="{63B3BB69-23CF-44E3-9099-C40C66FF867C}">
                    <a14:compatExt spid="_x0000_s241794"/>
                  </a:ext>
                  <a:ext uri="{FF2B5EF4-FFF2-40B4-BE49-F238E27FC236}">
                    <a16:creationId xmlns:a16="http://schemas.microsoft.com/office/drawing/2014/main" id="{00000000-0008-0000-0B00-000082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795" name="Option Button 131" hidden="1">
                <a:extLst>
                  <a:ext uri="{63B3BB69-23CF-44E3-9099-C40C66FF867C}">
                    <a14:compatExt spid="_x0000_s241795"/>
                  </a:ext>
                  <a:ext uri="{FF2B5EF4-FFF2-40B4-BE49-F238E27FC236}">
                    <a16:creationId xmlns:a16="http://schemas.microsoft.com/office/drawing/2014/main" id="{00000000-0008-0000-0B00-000083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796" name="Option Button 132" hidden="1">
                <a:extLst>
                  <a:ext uri="{63B3BB69-23CF-44E3-9099-C40C66FF867C}">
                    <a14:compatExt spid="_x0000_s241796"/>
                  </a:ext>
                  <a:ext uri="{FF2B5EF4-FFF2-40B4-BE49-F238E27FC236}">
                    <a16:creationId xmlns:a16="http://schemas.microsoft.com/office/drawing/2014/main" id="{00000000-0008-0000-0B00-000084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797" name="Group Box 133" hidden="1">
                <a:extLst>
                  <a:ext uri="{63B3BB69-23CF-44E3-9099-C40C66FF867C}">
                    <a14:compatExt spid="_x0000_s241797"/>
                  </a:ext>
                  <a:ext uri="{FF2B5EF4-FFF2-40B4-BE49-F238E27FC236}">
                    <a16:creationId xmlns:a16="http://schemas.microsoft.com/office/drawing/2014/main" id="{00000000-0008-0000-0B00-000085B00300}"/>
                  </a:ext>
                </a:extLst>
              </xdr:cNvPr>
              <xdr:cNvSpPr/>
            </xdr:nvSpPr>
            <xdr:spPr bwMode="auto">
              <a:xfrm>
                <a:off x="2995436" y="384679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80</xdr:row>
          <xdr:rowOff>0</xdr:rowOff>
        </xdr:from>
        <xdr:to>
          <xdr:col>8</xdr:col>
          <xdr:colOff>0</xdr:colOff>
          <xdr:row>81</xdr:row>
          <xdr:rowOff>2058</xdr:rowOff>
        </xdr:to>
        <xdr:grpSp>
          <xdr:nvGrpSpPr>
            <xdr:cNvPr id="58" name="Groupe 57">
              <a:extLst>
                <a:ext uri="{FF2B5EF4-FFF2-40B4-BE49-F238E27FC236}">
                  <a16:creationId xmlns:a16="http://schemas.microsoft.com/office/drawing/2014/main" id="{00000000-0008-0000-0C00-00003A000000}"/>
                </a:ext>
              </a:extLst>
            </xdr:cNvPr>
            <xdr:cNvGrpSpPr/>
          </xdr:nvGrpSpPr>
          <xdr:grpSpPr>
            <a:xfrm>
              <a:off x="4012460" y="56927262"/>
              <a:ext cx="1954586" cy="1643288"/>
              <a:chOff x="2994659" y="2201921"/>
              <a:chExt cx="1960969" cy="1646925"/>
            </a:xfrm>
          </xdr:grpSpPr>
          <xdr:sp macro="" textlink="">
            <xdr:nvSpPr>
              <xdr:cNvPr id="241798" name="Option Button 134" descr="Case d'option 47" hidden="1">
                <a:extLst>
                  <a:ext uri="{63B3BB69-23CF-44E3-9099-C40C66FF867C}">
                    <a14:compatExt spid="_x0000_s241798"/>
                  </a:ext>
                  <a:ext uri="{FF2B5EF4-FFF2-40B4-BE49-F238E27FC236}">
                    <a16:creationId xmlns:a16="http://schemas.microsoft.com/office/drawing/2014/main" id="{00000000-0008-0000-0B00-000086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799" name="Option Button 135" hidden="1">
                <a:extLst>
                  <a:ext uri="{63B3BB69-23CF-44E3-9099-C40C66FF867C}">
                    <a14:compatExt spid="_x0000_s241799"/>
                  </a:ext>
                  <a:ext uri="{FF2B5EF4-FFF2-40B4-BE49-F238E27FC236}">
                    <a16:creationId xmlns:a16="http://schemas.microsoft.com/office/drawing/2014/main" id="{00000000-0008-0000-0B00-000087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00" name="Option Button 136" hidden="1">
                <a:extLst>
                  <a:ext uri="{63B3BB69-23CF-44E3-9099-C40C66FF867C}">
                    <a14:compatExt spid="_x0000_s241800"/>
                  </a:ext>
                  <a:ext uri="{FF2B5EF4-FFF2-40B4-BE49-F238E27FC236}">
                    <a16:creationId xmlns:a16="http://schemas.microsoft.com/office/drawing/2014/main" id="{00000000-0008-0000-0B00-000088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01" name="Option Button 137" hidden="1">
                <a:extLst>
                  <a:ext uri="{63B3BB69-23CF-44E3-9099-C40C66FF867C}">
                    <a14:compatExt spid="_x0000_s241801"/>
                  </a:ext>
                  <a:ext uri="{FF2B5EF4-FFF2-40B4-BE49-F238E27FC236}">
                    <a16:creationId xmlns:a16="http://schemas.microsoft.com/office/drawing/2014/main" id="{00000000-0008-0000-0B00-000089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02" name="Group Box 138" hidden="1">
                <a:extLst>
                  <a:ext uri="{63B3BB69-23CF-44E3-9099-C40C66FF867C}">
                    <a14:compatExt spid="_x0000_s241802"/>
                  </a:ext>
                  <a:ext uri="{FF2B5EF4-FFF2-40B4-BE49-F238E27FC236}">
                    <a16:creationId xmlns:a16="http://schemas.microsoft.com/office/drawing/2014/main" id="{00000000-0008-0000-0B00-00008AB00300}"/>
                  </a:ext>
                </a:extLst>
              </xdr:cNvPr>
              <xdr:cNvSpPr/>
            </xdr:nvSpPr>
            <xdr:spPr bwMode="auto">
              <a:xfrm>
                <a:off x="2994659" y="2201921"/>
                <a:ext cx="1960968" cy="16469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grpSp>
          <xdr:nvGrpSpPr>
            <xdr:cNvPr id="59" name="Groupe 58">
              <a:extLst>
                <a:ext uri="{FF2B5EF4-FFF2-40B4-BE49-F238E27FC236}">
                  <a16:creationId xmlns:a16="http://schemas.microsoft.com/office/drawing/2014/main" id="{00000000-0008-0000-0C00-00003B000000}"/>
                </a:ext>
              </a:extLst>
            </xdr:cNvPr>
            <xdr:cNvGrpSpPr/>
          </xdr:nvGrpSpPr>
          <xdr:grpSpPr>
            <a:xfrm>
              <a:off x="4009292" y="55286031"/>
              <a:ext cx="1957754" cy="1641231"/>
              <a:chOff x="2994701" y="2201920"/>
              <a:chExt cx="1960969" cy="1646930"/>
            </a:xfrm>
          </xdr:grpSpPr>
          <xdr:sp macro="" textlink="">
            <xdr:nvSpPr>
              <xdr:cNvPr id="241803" name="Option Button 139" descr="Case d'option 47" hidden="1">
                <a:extLst>
                  <a:ext uri="{63B3BB69-23CF-44E3-9099-C40C66FF867C}">
                    <a14:compatExt spid="_x0000_s241803"/>
                  </a:ext>
                  <a:ext uri="{FF2B5EF4-FFF2-40B4-BE49-F238E27FC236}">
                    <a16:creationId xmlns:a16="http://schemas.microsoft.com/office/drawing/2014/main" id="{00000000-0008-0000-0B00-00008B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04" name="Option Button 140" hidden="1">
                <a:extLst>
                  <a:ext uri="{63B3BB69-23CF-44E3-9099-C40C66FF867C}">
                    <a14:compatExt spid="_x0000_s241804"/>
                  </a:ext>
                  <a:ext uri="{FF2B5EF4-FFF2-40B4-BE49-F238E27FC236}">
                    <a16:creationId xmlns:a16="http://schemas.microsoft.com/office/drawing/2014/main" id="{00000000-0008-0000-0B00-00008C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05" name="Option Button 141" hidden="1">
                <a:extLst>
                  <a:ext uri="{63B3BB69-23CF-44E3-9099-C40C66FF867C}">
                    <a14:compatExt spid="_x0000_s241805"/>
                  </a:ext>
                  <a:ext uri="{FF2B5EF4-FFF2-40B4-BE49-F238E27FC236}">
                    <a16:creationId xmlns:a16="http://schemas.microsoft.com/office/drawing/2014/main" id="{00000000-0008-0000-0B00-00008D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06" name="Option Button 142" hidden="1">
                <a:extLst>
                  <a:ext uri="{63B3BB69-23CF-44E3-9099-C40C66FF867C}">
                    <a14:compatExt spid="_x0000_s241806"/>
                  </a:ext>
                  <a:ext uri="{FF2B5EF4-FFF2-40B4-BE49-F238E27FC236}">
                    <a16:creationId xmlns:a16="http://schemas.microsoft.com/office/drawing/2014/main" id="{00000000-0008-0000-0B00-00008E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07" name="Group Box 143" hidden="1">
                <a:extLst>
                  <a:ext uri="{63B3BB69-23CF-44E3-9099-C40C66FF867C}">
                    <a14:compatExt spid="_x0000_s241807"/>
                  </a:ext>
                  <a:ext uri="{FF2B5EF4-FFF2-40B4-BE49-F238E27FC236}">
                    <a16:creationId xmlns:a16="http://schemas.microsoft.com/office/drawing/2014/main" id="{00000000-0008-0000-0B00-00008FB00300}"/>
                  </a:ext>
                </a:extLst>
              </xdr:cNvPr>
              <xdr:cNvSpPr/>
            </xdr:nvSpPr>
            <xdr:spPr bwMode="auto">
              <a:xfrm>
                <a:off x="2994701" y="2201920"/>
                <a:ext cx="1960969"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8</xdr:col>
          <xdr:colOff>0</xdr:colOff>
          <xdr:row>33</xdr:row>
          <xdr:rowOff>0</xdr:rowOff>
        </xdr:to>
        <xdr:sp macro="" textlink="">
          <xdr:nvSpPr>
            <xdr:cNvPr id="241808" name="Group Box 144" hidden="1">
              <a:extLst>
                <a:ext uri="{63B3BB69-23CF-44E3-9099-C40C66FF867C}">
                  <a14:compatExt spid="_x0000_s241808"/>
                </a:ext>
                <a:ext uri="{FF2B5EF4-FFF2-40B4-BE49-F238E27FC236}">
                  <a16:creationId xmlns:a16="http://schemas.microsoft.com/office/drawing/2014/main" id="{00000000-0008-0000-0B00-000090B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5</xdr:col>
      <xdr:colOff>11782</xdr:colOff>
      <xdr:row>8</xdr:row>
      <xdr:rowOff>167761</xdr:rowOff>
    </xdr:from>
    <xdr:to>
      <xdr:col>5</xdr:col>
      <xdr:colOff>464965</xdr:colOff>
      <xdr:row>9</xdr:row>
      <xdr:rowOff>421998</xdr:rowOff>
    </xdr:to>
    <xdr:sp macro="" textlink="">
      <xdr:nvSpPr>
        <xdr:cNvPr id="60" name="Ellipse 59">
          <a:extLst>
            <a:ext uri="{FF2B5EF4-FFF2-40B4-BE49-F238E27FC236}">
              <a16:creationId xmlns:a16="http://schemas.microsoft.com/office/drawing/2014/main" id="{00000000-0008-0000-0C00-00003C000000}"/>
            </a:ext>
          </a:extLst>
        </xdr:cNvPr>
        <xdr:cNvSpPr>
          <a:spLocks noChangeAspect="1"/>
        </xdr:cNvSpPr>
      </xdr:nvSpPr>
      <xdr:spPr>
        <a:xfrm>
          <a:off x="484222" y="2758561"/>
          <a:ext cx="453183" cy="437117"/>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chemeClr val="accent5">
                  <a:lumMod val="50000"/>
                </a:schemeClr>
              </a:solidFill>
            </a:rPr>
            <a:t>1</a:t>
          </a:r>
        </a:p>
      </xdr:txBody>
    </xdr:sp>
    <xdr:clientData/>
  </xdr:twoCellAnchor>
  <xdr:twoCellAnchor>
    <xdr:from>
      <xdr:col>5</xdr:col>
      <xdr:colOff>0</xdr:colOff>
      <xdr:row>24</xdr:row>
      <xdr:rowOff>168796</xdr:rowOff>
    </xdr:from>
    <xdr:to>
      <xdr:col>5</xdr:col>
      <xdr:colOff>453183</xdr:colOff>
      <xdr:row>25</xdr:row>
      <xdr:rowOff>419165</xdr:rowOff>
    </xdr:to>
    <xdr:sp macro="" textlink="">
      <xdr:nvSpPr>
        <xdr:cNvPr id="61" name="Ellipse 60">
          <a:extLst>
            <a:ext uri="{FF2B5EF4-FFF2-40B4-BE49-F238E27FC236}">
              <a16:creationId xmlns:a16="http://schemas.microsoft.com/office/drawing/2014/main" id="{00000000-0008-0000-0C00-00003D000000}"/>
            </a:ext>
          </a:extLst>
        </xdr:cNvPr>
        <xdr:cNvSpPr>
          <a:spLocks noChangeAspect="1"/>
        </xdr:cNvSpPr>
      </xdr:nvSpPr>
      <xdr:spPr>
        <a:xfrm>
          <a:off x="472440" y="16498456"/>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2</a:t>
          </a:r>
        </a:p>
      </xdr:txBody>
    </xdr:sp>
    <xdr:clientData/>
  </xdr:twoCellAnchor>
  <xdr:twoCellAnchor>
    <xdr:from>
      <xdr:col>5</xdr:col>
      <xdr:colOff>18362</xdr:colOff>
      <xdr:row>40</xdr:row>
      <xdr:rowOff>165251</xdr:rowOff>
    </xdr:from>
    <xdr:to>
      <xdr:col>5</xdr:col>
      <xdr:colOff>471545</xdr:colOff>
      <xdr:row>41</xdr:row>
      <xdr:rowOff>415621</xdr:rowOff>
    </xdr:to>
    <xdr:sp macro="" textlink="">
      <xdr:nvSpPr>
        <xdr:cNvPr id="62" name="Ellipse 61">
          <a:extLst>
            <a:ext uri="{FF2B5EF4-FFF2-40B4-BE49-F238E27FC236}">
              <a16:creationId xmlns:a16="http://schemas.microsoft.com/office/drawing/2014/main" id="{00000000-0008-0000-0C00-00003E000000}"/>
            </a:ext>
          </a:extLst>
        </xdr:cNvPr>
        <xdr:cNvSpPr>
          <a:spLocks noChangeAspect="1"/>
        </xdr:cNvSpPr>
      </xdr:nvSpPr>
      <xdr:spPr>
        <a:xfrm>
          <a:off x="490802" y="30233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3</a:t>
          </a:r>
        </a:p>
      </xdr:txBody>
    </xdr:sp>
    <xdr:clientData/>
  </xdr:twoCellAnchor>
  <xdr:twoCellAnchor>
    <xdr:from>
      <xdr:col>5</xdr:col>
      <xdr:colOff>0</xdr:colOff>
      <xdr:row>56</xdr:row>
      <xdr:rowOff>165253</xdr:rowOff>
    </xdr:from>
    <xdr:to>
      <xdr:col>5</xdr:col>
      <xdr:colOff>453183</xdr:colOff>
      <xdr:row>57</xdr:row>
      <xdr:rowOff>415622</xdr:rowOff>
    </xdr:to>
    <xdr:sp macro="" textlink="">
      <xdr:nvSpPr>
        <xdr:cNvPr id="63" name="Ellipse 62">
          <a:extLst>
            <a:ext uri="{FF2B5EF4-FFF2-40B4-BE49-F238E27FC236}">
              <a16:creationId xmlns:a16="http://schemas.microsoft.com/office/drawing/2014/main" id="{00000000-0008-0000-0C00-00003F000000}"/>
            </a:ext>
          </a:extLst>
        </xdr:cNvPr>
        <xdr:cNvSpPr>
          <a:spLocks noChangeAspect="1"/>
        </xdr:cNvSpPr>
      </xdr:nvSpPr>
      <xdr:spPr>
        <a:xfrm>
          <a:off x="472440" y="43987873"/>
          <a:ext cx="453183" cy="43324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4</a:t>
          </a:r>
        </a:p>
      </xdr:txBody>
    </xdr:sp>
    <xdr:clientData/>
  </xdr:twoCellAnchor>
  <xdr:twoCellAnchor>
    <xdr:from>
      <xdr:col>5</xdr:col>
      <xdr:colOff>9181</xdr:colOff>
      <xdr:row>74</xdr:row>
      <xdr:rowOff>165251</xdr:rowOff>
    </xdr:from>
    <xdr:to>
      <xdr:col>5</xdr:col>
      <xdr:colOff>462364</xdr:colOff>
      <xdr:row>75</xdr:row>
      <xdr:rowOff>415621</xdr:rowOff>
    </xdr:to>
    <xdr:sp macro="" textlink="">
      <xdr:nvSpPr>
        <xdr:cNvPr id="241664" name="Ellipse 241663">
          <a:extLst>
            <a:ext uri="{FF2B5EF4-FFF2-40B4-BE49-F238E27FC236}">
              <a16:creationId xmlns:a16="http://schemas.microsoft.com/office/drawing/2014/main" id="{00000000-0008-0000-0C00-000000B00300}"/>
            </a:ext>
          </a:extLst>
        </xdr:cNvPr>
        <xdr:cNvSpPr>
          <a:spLocks noChangeAspect="1"/>
        </xdr:cNvSpPr>
      </xdr:nvSpPr>
      <xdr:spPr>
        <a:xfrm>
          <a:off x="481621" y="5804677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5</a:t>
          </a:r>
        </a:p>
      </xdr:txBody>
    </xdr:sp>
    <xdr:clientData/>
  </xdr:twoCellAnchor>
  <mc:AlternateContent xmlns:mc="http://schemas.openxmlformats.org/markup-compatibility/2006">
    <mc:Choice xmlns:a14="http://schemas.microsoft.com/office/drawing/2010/main" Requires="a14">
      <xdr:twoCellAnchor>
        <xdr:from>
          <xdr:col>7</xdr:col>
          <xdr:colOff>0</xdr:colOff>
          <xdr:row>27</xdr:row>
          <xdr:rowOff>0</xdr:rowOff>
        </xdr:from>
        <xdr:to>
          <xdr:col>8</xdr:col>
          <xdr:colOff>0</xdr:colOff>
          <xdr:row>28</xdr:row>
          <xdr:rowOff>0</xdr:rowOff>
        </xdr:to>
        <xdr:grpSp>
          <xdr:nvGrpSpPr>
            <xdr:cNvPr id="241809" name="Groupe 241808">
              <a:extLst>
                <a:ext uri="{FF2B5EF4-FFF2-40B4-BE49-F238E27FC236}">
                  <a16:creationId xmlns:a16="http://schemas.microsoft.com/office/drawing/2014/main" id="{00000000-0008-0000-0C00-000091B00300}"/>
                </a:ext>
              </a:extLst>
            </xdr:cNvPr>
            <xdr:cNvGrpSpPr/>
          </xdr:nvGrpSpPr>
          <xdr:grpSpPr>
            <a:xfrm>
              <a:off x="4009292" y="17854246"/>
              <a:ext cx="1957754" cy="1641231"/>
              <a:chOff x="2995436" y="3846790"/>
              <a:chExt cx="1960181" cy="1644868"/>
            </a:xfrm>
          </xdr:grpSpPr>
          <xdr:sp macro="" textlink="">
            <xdr:nvSpPr>
              <xdr:cNvPr id="36" name="Option Button 145" hidden="1">
                <a:extLst>
                  <a:ext uri="{63B3BB69-23CF-44E3-9099-C40C66FF867C}">
                    <a14:compatExt spid="_x0000_s241809"/>
                  </a:ext>
                  <a:ext uri="{FF2B5EF4-FFF2-40B4-BE49-F238E27FC236}">
                    <a16:creationId xmlns:a16="http://schemas.microsoft.com/office/drawing/2014/main" id="{00000000-0008-0000-0B00-0000240000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10" name="Option Button 146" hidden="1">
                <a:extLst>
                  <a:ext uri="{63B3BB69-23CF-44E3-9099-C40C66FF867C}">
                    <a14:compatExt spid="_x0000_s241810"/>
                  </a:ext>
                  <a:ext uri="{FF2B5EF4-FFF2-40B4-BE49-F238E27FC236}">
                    <a16:creationId xmlns:a16="http://schemas.microsoft.com/office/drawing/2014/main" id="{00000000-0008-0000-0B00-000092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11" name="Option Button 147" hidden="1">
                <a:extLst>
                  <a:ext uri="{63B3BB69-23CF-44E3-9099-C40C66FF867C}">
                    <a14:compatExt spid="_x0000_s241811"/>
                  </a:ext>
                  <a:ext uri="{FF2B5EF4-FFF2-40B4-BE49-F238E27FC236}">
                    <a16:creationId xmlns:a16="http://schemas.microsoft.com/office/drawing/2014/main" id="{00000000-0008-0000-0B00-000093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12" name="Option Button 148" hidden="1">
                <a:extLst>
                  <a:ext uri="{63B3BB69-23CF-44E3-9099-C40C66FF867C}">
                    <a14:compatExt spid="_x0000_s241812"/>
                  </a:ext>
                  <a:ext uri="{FF2B5EF4-FFF2-40B4-BE49-F238E27FC236}">
                    <a16:creationId xmlns:a16="http://schemas.microsoft.com/office/drawing/2014/main" id="{00000000-0008-0000-0B00-000094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13" name="Group Box 149" hidden="1">
                <a:extLst>
                  <a:ext uri="{63B3BB69-23CF-44E3-9099-C40C66FF867C}">
                    <a14:compatExt spid="_x0000_s241813"/>
                  </a:ext>
                  <a:ext uri="{FF2B5EF4-FFF2-40B4-BE49-F238E27FC236}">
                    <a16:creationId xmlns:a16="http://schemas.microsoft.com/office/drawing/2014/main" id="{00000000-0008-0000-0B00-000095B00300}"/>
                  </a:ext>
                </a:extLst>
              </xdr:cNvPr>
              <xdr:cNvSpPr/>
            </xdr:nvSpPr>
            <xdr:spPr bwMode="auto">
              <a:xfrm>
                <a:off x="2995436" y="3846790"/>
                <a:ext cx="1960181" cy="16448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10635</xdr:colOff>
      <xdr:row>64</xdr:row>
      <xdr:rowOff>22859</xdr:rowOff>
    </xdr:from>
    <xdr:to>
      <xdr:col>9</xdr:col>
      <xdr:colOff>4574992</xdr:colOff>
      <xdr:row>64</xdr:row>
      <xdr:rowOff>2010102</xdr:rowOff>
    </xdr:to>
    <xdr:sp macro="" textlink="" fLocksText="0">
      <xdr:nvSpPr>
        <xdr:cNvPr id="241815" name="ZoneTexte 1">
          <a:extLst>
            <a:ext uri="{FF2B5EF4-FFF2-40B4-BE49-F238E27FC236}">
              <a16:creationId xmlns:a16="http://schemas.microsoft.com/office/drawing/2014/main" id="{00000000-0008-0000-0C00-000097B00300}"/>
            </a:ext>
          </a:extLst>
        </xdr:cNvPr>
        <xdr:cNvSpPr txBox="1">
          <a:spLocks noChangeArrowheads="1"/>
        </xdr:cNvSpPr>
      </xdr:nvSpPr>
      <xdr:spPr bwMode="auto">
        <a:xfrm>
          <a:off x="6876255" y="52859939"/>
          <a:ext cx="4564357" cy="162148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10952</xdr:colOff>
      <xdr:row>65</xdr:row>
      <xdr:rowOff>19739</xdr:rowOff>
    </xdr:from>
    <xdr:to>
      <xdr:col>9</xdr:col>
      <xdr:colOff>4575309</xdr:colOff>
      <xdr:row>65</xdr:row>
      <xdr:rowOff>1621739</xdr:rowOff>
    </xdr:to>
    <xdr:sp macro="" textlink="" fLocksText="0">
      <xdr:nvSpPr>
        <xdr:cNvPr id="241816" name="ZoneTexte 1">
          <a:extLst>
            <a:ext uri="{FF2B5EF4-FFF2-40B4-BE49-F238E27FC236}">
              <a16:creationId xmlns:a16="http://schemas.microsoft.com/office/drawing/2014/main" id="{00000000-0008-0000-0C00-000098B00300}"/>
            </a:ext>
          </a:extLst>
        </xdr:cNvPr>
        <xdr:cNvSpPr txBox="1">
          <a:spLocks noChangeArrowheads="1"/>
        </xdr:cNvSpPr>
      </xdr:nvSpPr>
      <xdr:spPr bwMode="auto">
        <a:xfrm>
          <a:off x="6876572" y="54502739"/>
          <a:ext cx="4564357"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47</xdr:row>
      <xdr:rowOff>15675</xdr:rowOff>
    </xdr:from>
    <xdr:to>
      <xdr:col>9</xdr:col>
      <xdr:colOff>4542762</xdr:colOff>
      <xdr:row>48</xdr:row>
      <xdr:rowOff>0</xdr:rowOff>
    </xdr:to>
    <xdr:sp macro="" textlink="" fLocksText="0">
      <xdr:nvSpPr>
        <xdr:cNvPr id="241823" name="ZoneTexte 1">
          <a:extLst>
            <a:ext uri="{FF2B5EF4-FFF2-40B4-BE49-F238E27FC236}">
              <a16:creationId xmlns:a16="http://schemas.microsoft.com/office/drawing/2014/main" id="{00000000-0008-0000-0C00-00009FB00300}"/>
            </a:ext>
          </a:extLst>
        </xdr:cNvPr>
        <xdr:cNvSpPr txBox="1">
          <a:spLocks noChangeArrowheads="1"/>
        </xdr:cNvSpPr>
      </xdr:nvSpPr>
      <xdr:spPr bwMode="auto">
        <a:xfrm>
          <a:off x="6894195" y="3758989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48</xdr:row>
      <xdr:rowOff>22859</xdr:rowOff>
    </xdr:from>
    <xdr:to>
      <xdr:col>9</xdr:col>
      <xdr:colOff>4572000</xdr:colOff>
      <xdr:row>49</xdr:row>
      <xdr:rowOff>0</xdr:rowOff>
    </xdr:to>
    <xdr:sp macro="" textlink="" fLocksText="0">
      <xdr:nvSpPr>
        <xdr:cNvPr id="241830" name="ZoneTexte 1">
          <a:extLst>
            <a:ext uri="{FF2B5EF4-FFF2-40B4-BE49-F238E27FC236}">
              <a16:creationId xmlns:a16="http://schemas.microsoft.com/office/drawing/2014/main" id="{00000000-0008-0000-0C00-0000A6B00300}"/>
            </a:ext>
          </a:extLst>
        </xdr:cNvPr>
        <xdr:cNvSpPr txBox="1">
          <a:spLocks noChangeArrowheads="1"/>
        </xdr:cNvSpPr>
      </xdr:nvSpPr>
      <xdr:spPr bwMode="auto">
        <a:xfrm>
          <a:off x="6876256" y="39242999"/>
          <a:ext cx="4561364" cy="150114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49</xdr:row>
      <xdr:rowOff>15675</xdr:rowOff>
    </xdr:from>
    <xdr:to>
      <xdr:col>9</xdr:col>
      <xdr:colOff>4542762</xdr:colOff>
      <xdr:row>50</xdr:row>
      <xdr:rowOff>0</xdr:rowOff>
    </xdr:to>
    <xdr:sp macro="" textlink="" fLocksText="0">
      <xdr:nvSpPr>
        <xdr:cNvPr id="241831" name="ZoneTexte 1">
          <a:extLst>
            <a:ext uri="{FF2B5EF4-FFF2-40B4-BE49-F238E27FC236}">
              <a16:creationId xmlns:a16="http://schemas.microsoft.com/office/drawing/2014/main" id="{00000000-0008-0000-0C00-0000A7B00300}"/>
            </a:ext>
          </a:extLst>
        </xdr:cNvPr>
        <xdr:cNvSpPr txBox="1">
          <a:spLocks noChangeArrowheads="1"/>
        </xdr:cNvSpPr>
      </xdr:nvSpPr>
      <xdr:spPr bwMode="auto">
        <a:xfrm>
          <a:off x="6894195" y="40759815"/>
          <a:ext cx="4514187"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82</xdr:row>
      <xdr:rowOff>22860</xdr:rowOff>
    </xdr:from>
    <xdr:to>
      <xdr:col>9</xdr:col>
      <xdr:colOff>4532586</xdr:colOff>
      <xdr:row>82</xdr:row>
      <xdr:rowOff>2036380</xdr:rowOff>
    </xdr:to>
    <xdr:sp macro="" textlink="" fLocksText="0">
      <xdr:nvSpPr>
        <xdr:cNvPr id="241838" name="ZoneTexte 1">
          <a:extLst>
            <a:ext uri="{FF2B5EF4-FFF2-40B4-BE49-F238E27FC236}">
              <a16:creationId xmlns:a16="http://schemas.microsoft.com/office/drawing/2014/main" id="{00000000-0008-0000-0C00-0000AEB00300}"/>
            </a:ext>
          </a:extLst>
        </xdr:cNvPr>
        <xdr:cNvSpPr txBox="1">
          <a:spLocks noChangeArrowheads="1"/>
        </xdr:cNvSpPr>
      </xdr:nvSpPr>
      <xdr:spPr bwMode="auto">
        <a:xfrm>
          <a:off x="6876256" y="6691884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83</xdr:row>
      <xdr:rowOff>19739</xdr:rowOff>
    </xdr:from>
    <xdr:to>
      <xdr:col>9</xdr:col>
      <xdr:colOff>4532903</xdr:colOff>
      <xdr:row>83</xdr:row>
      <xdr:rowOff>1621739</xdr:rowOff>
    </xdr:to>
    <xdr:sp macro="" textlink="" fLocksText="0">
      <xdr:nvSpPr>
        <xdr:cNvPr id="241839" name="ZoneTexte 1">
          <a:extLst>
            <a:ext uri="{FF2B5EF4-FFF2-40B4-BE49-F238E27FC236}">
              <a16:creationId xmlns:a16="http://schemas.microsoft.com/office/drawing/2014/main" id="{00000000-0008-0000-0C00-0000AFB00300}"/>
            </a:ext>
          </a:extLst>
        </xdr:cNvPr>
        <xdr:cNvSpPr txBox="1">
          <a:spLocks noChangeArrowheads="1"/>
        </xdr:cNvSpPr>
      </xdr:nvSpPr>
      <xdr:spPr bwMode="auto">
        <a:xfrm>
          <a:off x="6876573" y="685616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93</xdr:row>
      <xdr:rowOff>22860</xdr:rowOff>
    </xdr:from>
    <xdr:to>
      <xdr:col>9</xdr:col>
      <xdr:colOff>4503756</xdr:colOff>
      <xdr:row>94</xdr:row>
      <xdr:rowOff>0</xdr:rowOff>
    </xdr:to>
    <xdr:sp macro="" textlink="" fLocksText="0">
      <xdr:nvSpPr>
        <xdr:cNvPr id="241852" name="ZoneTexte 1">
          <a:extLst>
            <a:ext uri="{FF2B5EF4-FFF2-40B4-BE49-F238E27FC236}">
              <a16:creationId xmlns:a16="http://schemas.microsoft.com/office/drawing/2014/main" id="{00000000-0008-0000-0C00-0000BCB00300}"/>
            </a:ext>
          </a:extLst>
        </xdr:cNvPr>
        <xdr:cNvSpPr txBox="1">
          <a:spLocks noChangeArrowheads="1"/>
        </xdr:cNvSpPr>
      </xdr:nvSpPr>
      <xdr:spPr bwMode="auto">
        <a:xfrm>
          <a:off x="6894195" y="7238238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94</xdr:row>
          <xdr:rowOff>0</xdr:rowOff>
        </xdr:from>
        <xdr:to>
          <xdr:col>8</xdr:col>
          <xdr:colOff>0</xdr:colOff>
          <xdr:row>95</xdr:row>
          <xdr:rowOff>0</xdr:rowOff>
        </xdr:to>
        <xdr:grpSp>
          <xdr:nvGrpSpPr>
            <xdr:cNvPr id="241854" name="Groupe 241853">
              <a:extLst>
                <a:ext uri="{FF2B5EF4-FFF2-40B4-BE49-F238E27FC236}">
                  <a16:creationId xmlns:a16="http://schemas.microsoft.com/office/drawing/2014/main" id="{00000000-0008-0000-0C00-0000BEB00300}"/>
                </a:ext>
              </a:extLst>
            </xdr:cNvPr>
            <xdr:cNvGrpSpPr/>
          </xdr:nvGrpSpPr>
          <xdr:grpSpPr>
            <a:xfrm>
              <a:off x="4009292" y="64008000"/>
              <a:ext cx="1957754" cy="1875692"/>
              <a:chOff x="2995436" y="3846790"/>
              <a:chExt cx="1960181" cy="1644869"/>
            </a:xfrm>
          </xdr:grpSpPr>
          <xdr:sp macro="" textlink="">
            <xdr:nvSpPr>
              <xdr:cNvPr id="241923" name="Option Button 175" hidden="1">
                <a:extLst>
                  <a:ext uri="{63B3BB69-23CF-44E3-9099-C40C66FF867C}">
                    <a14:compatExt spid="_x0000_s241839"/>
                  </a:ext>
                  <a:ext uri="{FF2B5EF4-FFF2-40B4-BE49-F238E27FC236}">
                    <a16:creationId xmlns:a16="http://schemas.microsoft.com/office/drawing/2014/main" id="{00000000-0008-0000-0B00-000003B1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40" name="Option Button 176" hidden="1">
                <a:extLst>
                  <a:ext uri="{63B3BB69-23CF-44E3-9099-C40C66FF867C}">
                    <a14:compatExt spid="_x0000_s241840"/>
                  </a:ext>
                  <a:ext uri="{FF2B5EF4-FFF2-40B4-BE49-F238E27FC236}">
                    <a16:creationId xmlns:a16="http://schemas.microsoft.com/office/drawing/2014/main" id="{00000000-0008-0000-0B00-0000B0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41" name="Option Button 177" hidden="1">
                <a:extLst>
                  <a:ext uri="{63B3BB69-23CF-44E3-9099-C40C66FF867C}">
                    <a14:compatExt spid="_x0000_s241841"/>
                  </a:ext>
                  <a:ext uri="{FF2B5EF4-FFF2-40B4-BE49-F238E27FC236}">
                    <a16:creationId xmlns:a16="http://schemas.microsoft.com/office/drawing/2014/main" id="{00000000-0008-0000-0B00-0000B1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42" name="Option Button 178" hidden="1">
                <a:extLst>
                  <a:ext uri="{63B3BB69-23CF-44E3-9099-C40C66FF867C}">
                    <a14:compatExt spid="_x0000_s241842"/>
                  </a:ext>
                  <a:ext uri="{FF2B5EF4-FFF2-40B4-BE49-F238E27FC236}">
                    <a16:creationId xmlns:a16="http://schemas.microsoft.com/office/drawing/2014/main" id="{00000000-0008-0000-0B00-0000B2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43" name="Group Box 179" hidden="1">
                <a:extLst>
                  <a:ext uri="{63B3BB69-23CF-44E3-9099-C40C66FF867C}">
                    <a14:compatExt spid="_x0000_s241843"/>
                  </a:ext>
                  <a:ext uri="{FF2B5EF4-FFF2-40B4-BE49-F238E27FC236}">
                    <a16:creationId xmlns:a16="http://schemas.microsoft.com/office/drawing/2014/main" id="{00000000-0008-0000-0B00-0000B3B00300}"/>
                  </a:ext>
                </a:extLst>
              </xdr:cNvPr>
              <xdr:cNvSpPr/>
            </xdr:nvSpPr>
            <xdr:spPr bwMode="auto">
              <a:xfrm>
                <a:off x="2995436" y="3846790"/>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0</xdr:rowOff>
        </xdr:from>
        <xdr:to>
          <xdr:col>8</xdr:col>
          <xdr:colOff>0</xdr:colOff>
          <xdr:row>94</xdr:row>
          <xdr:rowOff>2055</xdr:rowOff>
        </xdr:to>
        <xdr:grpSp>
          <xdr:nvGrpSpPr>
            <xdr:cNvPr id="241860" name="Groupe 241859">
              <a:extLst>
                <a:ext uri="{FF2B5EF4-FFF2-40B4-BE49-F238E27FC236}">
                  <a16:creationId xmlns:a16="http://schemas.microsoft.com/office/drawing/2014/main" id="{00000000-0008-0000-0C00-0000C4B00300}"/>
                </a:ext>
              </a:extLst>
            </xdr:cNvPr>
            <xdr:cNvGrpSpPr/>
          </xdr:nvGrpSpPr>
          <xdr:grpSpPr>
            <a:xfrm>
              <a:off x="4009292" y="62366769"/>
              <a:ext cx="1957754" cy="1643286"/>
              <a:chOff x="2994705" y="2201924"/>
              <a:chExt cx="1960969" cy="1646923"/>
            </a:xfrm>
          </xdr:grpSpPr>
          <xdr:sp macro="" textlink="">
            <xdr:nvSpPr>
              <xdr:cNvPr id="241844" name="Option Button 180" descr="Case d'option 47" hidden="1">
                <a:extLst>
                  <a:ext uri="{63B3BB69-23CF-44E3-9099-C40C66FF867C}">
                    <a14:compatExt spid="_x0000_s241844"/>
                  </a:ext>
                  <a:ext uri="{FF2B5EF4-FFF2-40B4-BE49-F238E27FC236}">
                    <a16:creationId xmlns:a16="http://schemas.microsoft.com/office/drawing/2014/main" id="{00000000-0008-0000-0B00-0000B4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45" name="Option Button 181" hidden="1">
                <a:extLst>
                  <a:ext uri="{63B3BB69-23CF-44E3-9099-C40C66FF867C}">
                    <a14:compatExt spid="_x0000_s241845"/>
                  </a:ext>
                  <a:ext uri="{FF2B5EF4-FFF2-40B4-BE49-F238E27FC236}">
                    <a16:creationId xmlns:a16="http://schemas.microsoft.com/office/drawing/2014/main" id="{00000000-0008-0000-0B00-0000B5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46" name="Option Button 182" hidden="1">
                <a:extLst>
                  <a:ext uri="{63B3BB69-23CF-44E3-9099-C40C66FF867C}">
                    <a14:compatExt spid="_x0000_s241846"/>
                  </a:ext>
                  <a:ext uri="{FF2B5EF4-FFF2-40B4-BE49-F238E27FC236}">
                    <a16:creationId xmlns:a16="http://schemas.microsoft.com/office/drawing/2014/main" id="{00000000-0008-0000-0B00-0000B6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47" name="Option Button 183" hidden="1">
                <a:extLst>
                  <a:ext uri="{63B3BB69-23CF-44E3-9099-C40C66FF867C}">
                    <a14:compatExt spid="_x0000_s241847"/>
                  </a:ext>
                  <a:ext uri="{FF2B5EF4-FFF2-40B4-BE49-F238E27FC236}">
                    <a16:creationId xmlns:a16="http://schemas.microsoft.com/office/drawing/2014/main" id="{00000000-0008-0000-0B00-0000B7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48" name="Group Box 184" hidden="1">
                <a:extLst>
                  <a:ext uri="{63B3BB69-23CF-44E3-9099-C40C66FF867C}">
                    <a14:compatExt spid="_x0000_s241848"/>
                  </a:ext>
                  <a:ext uri="{FF2B5EF4-FFF2-40B4-BE49-F238E27FC236}">
                    <a16:creationId xmlns:a16="http://schemas.microsoft.com/office/drawing/2014/main" id="{00000000-0008-0000-0B00-0000B8B00300}"/>
                  </a:ext>
                </a:extLst>
              </xdr:cNvPr>
              <xdr:cNvSpPr/>
            </xdr:nvSpPr>
            <xdr:spPr bwMode="auto">
              <a:xfrm>
                <a:off x="2994705" y="2201924"/>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95</xdr:row>
      <xdr:rowOff>15675</xdr:rowOff>
    </xdr:from>
    <xdr:to>
      <xdr:col>9</xdr:col>
      <xdr:colOff>4503756</xdr:colOff>
      <xdr:row>96</xdr:row>
      <xdr:rowOff>0</xdr:rowOff>
    </xdr:to>
    <xdr:sp macro="" textlink="" fLocksText="0">
      <xdr:nvSpPr>
        <xdr:cNvPr id="241866" name="ZoneTexte 1">
          <a:extLst>
            <a:ext uri="{FF2B5EF4-FFF2-40B4-BE49-F238E27FC236}">
              <a16:creationId xmlns:a16="http://schemas.microsoft.com/office/drawing/2014/main" id="{00000000-0008-0000-0C00-0000CAB00300}"/>
            </a:ext>
          </a:extLst>
        </xdr:cNvPr>
        <xdr:cNvSpPr txBox="1">
          <a:spLocks noChangeArrowheads="1"/>
        </xdr:cNvSpPr>
      </xdr:nvSpPr>
      <xdr:spPr bwMode="auto">
        <a:xfrm>
          <a:off x="6894195" y="7566703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96</xdr:row>
      <xdr:rowOff>22860</xdr:rowOff>
    </xdr:from>
    <xdr:to>
      <xdr:col>9</xdr:col>
      <xdr:colOff>4532586</xdr:colOff>
      <xdr:row>96</xdr:row>
      <xdr:rowOff>1594338</xdr:rowOff>
    </xdr:to>
    <xdr:sp macro="" textlink="" fLocksText="0">
      <xdr:nvSpPr>
        <xdr:cNvPr id="241867" name="ZoneTexte 1">
          <a:extLst>
            <a:ext uri="{FF2B5EF4-FFF2-40B4-BE49-F238E27FC236}">
              <a16:creationId xmlns:a16="http://schemas.microsoft.com/office/drawing/2014/main" id="{00000000-0008-0000-0C00-0000CBB00300}"/>
            </a:ext>
          </a:extLst>
        </xdr:cNvPr>
        <xdr:cNvSpPr txBox="1">
          <a:spLocks noChangeArrowheads="1"/>
        </xdr:cNvSpPr>
      </xdr:nvSpPr>
      <xdr:spPr bwMode="auto">
        <a:xfrm>
          <a:off x="6868636" y="77430337"/>
          <a:ext cx="4521950" cy="157147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97</xdr:row>
      <xdr:rowOff>19739</xdr:rowOff>
    </xdr:from>
    <xdr:to>
      <xdr:col>9</xdr:col>
      <xdr:colOff>4532903</xdr:colOff>
      <xdr:row>97</xdr:row>
      <xdr:rowOff>1621739</xdr:rowOff>
    </xdr:to>
    <xdr:sp macro="" textlink="" fLocksText="0">
      <xdr:nvSpPr>
        <xdr:cNvPr id="241868" name="ZoneTexte 1">
          <a:extLst>
            <a:ext uri="{FF2B5EF4-FFF2-40B4-BE49-F238E27FC236}">
              <a16:creationId xmlns:a16="http://schemas.microsoft.com/office/drawing/2014/main" id="{00000000-0008-0000-0C00-0000CCB00300}"/>
            </a:ext>
          </a:extLst>
        </xdr:cNvPr>
        <xdr:cNvSpPr txBox="1">
          <a:spLocks noChangeArrowheads="1"/>
        </xdr:cNvSpPr>
      </xdr:nvSpPr>
      <xdr:spPr bwMode="auto">
        <a:xfrm>
          <a:off x="6876573" y="7896293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97</xdr:row>
          <xdr:rowOff>3</xdr:rowOff>
        </xdr:from>
        <xdr:to>
          <xdr:col>8</xdr:col>
          <xdr:colOff>0</xdr:colOff>
          <xdr:row>98</xdr:row>
          <xdr:rowOff>3</xdr:rowOff>
        </xdr:to>
        <xdr:grpSp>
          <xdr:nvGrpSpPr>
            <xdr:cNvPr id="241869" name="Groupe 241868">
              <a:extLst>
                <a:ext uri="{FF2B5EF4-FFF2-40B4-BE49-F238E27FC236}">
                  <a16:creationId xmlns:a16="http://schemas.microsoft.com/office/drawing/2014/main" id="{00000000-0008-0000-0C00-0000CDB00300}"/>
                </a:ext>
              </a:extLst>
            </xdr:cNvPr>
            <xdr:cNvGrpSpPr/>
          </xdr:nvGrpSpPr>
          <xdr:grpSpPr>
            <a:xfrm>
              <a:off x="4009292" y="69166157"/>
              <a:ext cx="1957754" cy="1641228"/>
              <a:chOff x="2995436" y="3846801"/>
              <a:chExt cx="1960181" cy="1644870"/>
            </a:xfrm>
          </xdr:grpSpPr>
          <xdr:sp macro="" textlink="">
            <xdr:nvSpPr>
              <xdr:cNvPr id="241849" name="Option Button 185" hidden="1">
                <a:extLst>
                  <a:ext uri="{63B3BB69-23CF-44E3-9099-C40C66FF867C}">
                    <a14:compatExt spid="_x0000_s241849"/>
                  </a:ext>
                  <a:ext uri="{FF2B5EF4-FFF2-40B4-BE49-F238E27FC236}">
                    <a16:creationId xmlns:a16="http://schemas.microsoft.com/office/drawing/2014/main" id="{00000000-0008-0000-0B00-0000B9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50" name="Option Button 186" hidden="1">
                <a:extLst>
                  <a:ext uri="{63B3BB69-23CF-44E3-9099-C40C66FF867C}">
                    <a14:compatExt spid="_x0000_s241850"/>
                  </a:ext>
                  <a:ext uri="{FF2B5EF4-FFF2-40B4-BE49-F238E27FC236}">
                    <a16:creationId xmlns:a16="http://schemas.microsoft.com/office/drawing/2014/main" id="{00000000-0008-0000-0B00-0000BA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51" name="Option Button 187" hidden="1">
                <a:extLst>
                  <a:ext uri="{63B3BB69-23CF-44E3-9099-C40C66FF867C}">
                    <a14:compatExt spid="_x0000_s241851"/>
                  </a:ext>
                  <a:ext uri="{FF2B5EF4-FFF2-40B4-BE49-F238E27FC236}">
                    <a16:creationId xmlns:a16="http://schemas.microsoft.com/office/drawing/2014/main" id="{00000000-0008-0000-0B00-0000BB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24" name="Option Button 188" hidden="1">
                <a:extLst>
                  <a:ext uri="{63B3BB69-23CF-44E3-9099-C40C66FF867C}">
                    <a14:compatExt spid="_x0000_s241852"/>
                  </a:ext>
                  <a:ext uri="{FF2B5EF4-FFF2-40B4-BE49-F238E27FC236}">
                    <a16:creationId xmlns:a16="http://schemas.microsoft.com/office/drawing/2014/main" id="{00000000-0008-0000-0B00-000004B1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26" name="Group Box 189" hidden="1">
                <a:extLst>
                  <a:ext uri="{63B3BB69-23CF-44E3-9099-C40C66FF867C}">
                    <a14:compatExt spid="_x0000_s241853"/>
                  </a:ext>
                  <a:ext uri="{FF2B5EF4-FFF2-40B4-BE49-F238E27FC236}">
                    <a16:creationId xmlns:a16="http://schemas.microsoft.com/office/drawing/2014/main" id="{00000000-0008-0000-0B00-000006B10300}"/>
                  </a:ext>
                </a:extLst>
              </xdr:cNvPr>
              <xdr:cNvSpPr/>
            </xdr:nvSpPr>
            <xdr:spPr bwMode="auto">
              <a:xfrm>
                <a:off x="2995436" y="3846801"/>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96</xdr:row>
          <xdr:rowOff>0</xdr:rowOff>
        </xdr:from>
        <xdr:to>
          <xdr:col>8</xdr:col>
          <xdr:colOff>0</xdr:colOff>
          <xdr:row>97</xdr:row>
          <xdr:rowOff>2058</xdr:rowOff>
        </xdr:to>
        <xdr:grpSp>
          <xdr:nvGrpSpPr>
            <xdr:cNvPr id="241875" name="Groupe 241874">
              <a:extLst>
                <a:ext uri="{FF2B5EF4-FFF2-40B4-BE49-F238E27FC236}">
                  <a16:creationId xmlns:a16="http://schemas.microsoft.com/office/drawing/2014/main" id="{00000000-0008-0000-0C00-0000D3B00300}"/>
                </a:ext>
              </a:extLst>
            </xdr:cNvPr>
            <xdr:cNvGrpSpPr/>
          </xdr:nvGrpSpPr>
          <xdr:grpSpPr>
            <a:xfrm>
              <a:off x="4012460" y="67524923"/>
              <a:ext cx="1954586" cy="1643289"/>
              <a:chOff x="2994659" y="2201927"/>
              <a:chExt cx="1960969" cy="1646926"/>
            </a:xfrm>
          </xdr:grpSpPr>
          <xdr:sp macro="" textlink="">
            <xdr:nvSpPr>
              <xdr:cNvPr id="241927" name="Option Button 190" descr="Case d'option 47" hidden="1">
                <a:extLst>
                  <a:ext uri="{63B3BB69-23CF-44E3-9099-C40C66FF867C}">
                    <a14:compatExt spid="_x0000_s241854"/>
                  </a:ext>
                  <a:ext uri="{FF2B5EF4-FFF2-40B4-BE49-F238E27FC236}">
                    <a16:creationId xmlns:a16="http://schemas.microsoft.com/office/drawing/2014/main" id="{00000000-0008-0000-0B00-000007B1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55" name="Option Button 191" hidden="1">
                <a:extLst>
                  <a:ext uri="{63B3BB69-23CF-44E3-9099-C40C66FF867C}">
                    <a14:compatExt spid="_x0000_s241855"/>
                  </a:ext>
                  <a:ext uri="{FF2B5EF4-FFF2-40B4-BE49-F238E27FC236}">
                    <a16:creationId xmlns:a16="http://schemas.microsoft.com/office/drawing/2014/main" id="{00000000-0008-0000-0B00-0000BF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56" name="Option Button 192" hidden="1">
                <a:extLst>
                  <a:ext uri="{63B3BB69-23CF-44E3-9099-C40C66FF867C}">
                    <a14:compatExt spid="_x0000_s241856"/>
                  </a:ext>
                  <a:ext uri="{FF2B5EF4-FFF2-40B4-BE49-F238E27FC236}">
                    <a16:creationId xmlns:a16="http://schemas.microsoft.com/office/drawing/2014/main" id="{00000000-0008-0000-0B00-0000C0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57" name="Option Button 193" hidden="1">
                <a:extLst>
                  <a:ext uri="{63B3BB69-23CF-44E3-9099-C40C66FF867C}">
                    <a14:compatExt spid="_x0000_s241857"/>
                  </a:ext>
                  <a:ext uri="{FF2B5EF4-FFF2-40B4-BE49-F238E27FC236}">
                    <a16:creationId xmlns:a16="http://schemas.microsoft.com/office/drawing/2014/main" id="{00000000-0008-0000-0B00-0000C1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58" name="Group Box 194" hidden="1">
                <a:extLst>
                  <a:ext uri="{63B3BB69-23CF-44E3-9099-C40C66FF867C}">
                    <a14:compatExt spid="_x0000_s241858"/>
                  </a:ext>
                  <a:ext uri="{FF2B5EF4-FFF2-40B4-BE49-F238E27FC236}">
                    <a16:creationId xmlns:a16="http://schemas.microsoft.com/office/drawing/2014/main" id="{00000000-0008-0000-0B00-0000C2B00300}"/>
                  </a:ext>
                </a:extLst>
              </xdr:cNvPr>
              <xdr:cNvSpPr/>
            </xdr:nvSpPr>
            <xdr:spPr bwMode="auto">
              <a:xfrm>
                <a:off x="2994659" y="2201927"/>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0</xdr:rowOff>
        </xdr:from>
        <xdr:to>
          <xdr:col>8</xdr:col>
          <xdr:colOff>0</xdr:colOff>
          <xdr:row>96</xdr:row>
          <xdr:rowOff>0</xdr:rowOff>
        </xdr:to>
        <xdr:grpSp>
          <xdr:nvGrpSpPr>
            <xdr:cNvPr id="241881" name="Groupe 241880">
              <a:extLst>
                <a:ext uri="{FF2B5EF4-FFF2-40B4-BE49-F238E27FC236}">
                  <a16:creationId xmlns:a16="http://schemas.microsoft.com/office/drawing/2014/main" id="{00000000-0008-0000-0C00-0000D9B00300}"/>
                </a:ext>
              </a:extLst>
            </xdr:cNvPr>
            <xdr:cNvGrpSpPr/>
          </xdr:nvGrpSpPr>
          <xdr:grpSpPr>
            <a:xfrm>
              <a:off x="4009292" y="65883692"/>
              <a:ext cx="1957754" cy="1641231"/>
              <a:chOff x="2994701" y="2201920"/>
              <a:chExt cx="1960969" cy="1646930"/>
            </a:xfrm>
          </xdr:grpSpPr>
          <xdr:sp macro="" textlink="">
            <xdr:nvSpPr>
              <xdr:cNvPr id="241859" name="Option Button 195" descr="Case d'option 47" hidden="1">
                <a:extLst>
                  <a:ext uri="{63B3BB69-23CF-44E3-9099-C40C66FF867C}">
                    <a14:compatExt spid="_x0000_s241859"/>
                  </a:ext>
                  <a:ext uri="{FF2B5EF4-FFF2-40B4-BE49-F238E27FC236}">
                    <a16:creationId xmlns:a16="http://schemas.microsoft.com/office/drawing/2014/main" id="{00000000-0008-0000-0B00-0000C3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28" name="Option Button 196" hidden="1">
                <a:extLst>
                  <a:ext uri="{63B3BB69-23CF-44E3-9099-C40C66FF867C}">
                    <a14:compatExt spid="_x0000_s241860"/>
                  </a:ext>
                  <a:ext uri="{FF2B5EF4-FFF2-40B4-BE49-F238E27FC236}">
                    <a16:creationId xmlns:a16="http://schemas.microsoft.com/office/drawing/2014/main" id="{00000000-0008-0000-0B00-000008B1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61" name="Option Button 197" hidden="1">
                <a:extLst>
                  <a:ext uri="{63B3BB69-23CF-44E3-9099-C40C66FF867C}">
                    <a14:compatExt spid="_x0000_s241861"/>
                  </a:ext>
                  <a:ext uri="{FF2B5EF4-FFF2-40B4-BE49-F238E27FC236}">
                    <a16:creationId xmlns:a16="http://schemas.microsoft.com/office/drawing/2014/main" id="{00000000-0008-0000-0B00-0000C5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62" name="Option Button 198" hidden="1">
                <a:extLst>
                  <a:ext uri="{63B3BB69-23CF-44E3-9099-C40C66FF867C}">
                    <a14:compatExt spid="_x0000_s241862"/>
                  </a:ext>
                  <a:ext uri="{FF2B5EF4-FFF2-40B4-BE49-F238E27FC236}">
                    <a16:creationId xmlns:a16="http://schemas.microsoft.com/office/drawing/2014/main" id="{00000000-0008-0000-0B00-0000C6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63" name="Group Box 199" hidden="1">
                <a:extLst>
                  <a:ext uri="{63B3BB69-23CF-44E3-9099-C40C66FF867C}">
                    <a14:compatExt spid="_x0000_s241863"/>
                  </a:ext>
                  <a:ext uri="{FF2B5EF4-FFF2-40B4-BE49-F238E27FC236}">
                    <a16:creationId xmlns:a16="http://schemas.microsoft.com/office/drawing/2014/main" id="{00000000-0008-0000-0B00-0000C7B00300}"/>
                  </a:ext>
                </a:extLst>
              </xdr:cNvPr>
              <xdr:cNvSpPr/>
            </xdr:nvSpPr>
            <xdr:spPr bwMode="auto">
              <a:xfrm>
                <a:off x="2994701" y="2201920"/>
                <a:ext cx="1960969" cy="164693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90</xdr:row>
      <xdr:rowOff>165251</xdr:rowOff>
    </xdr:from>
    <xdr:to>
      <xdr:col>5</xdr:col>
      <xdr:colOff>462364</xdr:colOff>
      <xdr:row>91</xdr:row>
      <xdr:rowOff>415621</xdr:rowOff>
    </xdr:to>
    <xdr:sp macro="" textlink="">
      <xdr:nvSpPr>
        <xdr:cNvPr id="241887" name="Ellipse 241886">
          <a:extLst>
            <a:ext uri="{FF2B5EF4-FFF2-40B4-BE49-F238E27FC236}">
              <a16:creationId xmlns:a16="http://schemas.microsoft.com/office/drawing/2014/main" id="{00000000-0008-0000-0C00-0000DFB00300}"/>
            </a:ext>
          </a:extLst>
        </xdr:cNvPr>
        <xdr:cNvSpPr>
          <a:spLocks noChangeAspect="1"/>
        </xdr:cNvSpPr>
      </xdr:nvSpPr>
      <xdr:spPr>
        <a:xfrm>
          <a:off x="481621" y="7173991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6</a:t>
          </a:r>
        </a:p>
      </xdr:txBody>
    </xdr:sp>
    <xdr:clientData/>
  </xdr:twoCellAnchor>
  <xdr:twoCellAnchor>
    <xdr:from>
      <xdr:col>9</xdr:col>
      <xdr:colOff>10636</xdr:colOff>
      <xdr:row>98</xdr:row>
      <xdr:rowOff>22860</xdr:rowOff>
    </xdr:from>
    <xdr:to>
      <xdr:col>9</xdr:col>
      <xdr:colOff>4532586</xdr:colOff>
      <xdr:row>98</xdr:row>
      <xdr:rowOff>2036380</xdr:rowOff>
    </xdr:to>
    <xdr:sp macro="" textlink="" fLocksText="0">
      <xdr:nvSpPr>
        <xdr:cNvPr id="241888" name="ZoneTexte 1">
          <a:extLst>
            <a:ext uri="{FF2B5EF4-FFF2-40B4-BE49-F238E27FC236}">
              <a16:creationId xmlns:a16="http://schemas.microsoft.com/office/drawing/2014/main" id="{00000000-0008-0000-0C00-0000E0B00300}"/>
            </a:ext>
          </a:extLst>
        </xdr:cNvPr>
        <xdr:cNvSpPr txBox="1">
          <a:spLocks noChangeArrowheads="1"/>
        </xdr:cNvSpPr>
      </xdr:nvSpPr>
      <xdr:spPr bwMode="auto">
        <a:xfrm>
          <a:off x="6876256" y="8061198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99</xdr:row>
      <xdr:rowOff>19739</xdr:rowOff>
    </xdr:from>
    <xdr:to>
      <xdr:col>9</xdr:col>
      <xdr:colOff>4532903</xdr:colOff>
      <xdr:row>99</xdr:row>
      <xdr:rowOff>1621739</xdr:rowOff>
    </xdr:to>
    <xdr:sp macro="" textlink="" fLocksText="0">
      <xdr:nvSpPr>
        <xdr:cNvPr id="241889" name="ZoneTexte 1">
          <a:extLst>
            <a:ext uri="{FF2B5EF4-FFF2-40B4-BE49-F238E27FC236}">
              <a16:creationId xmlns:a16="http://schemas.microsoft.com/office/drawing/2014/main" id="{00000000-0008-0000-0C00-0000E1B00300}"/>
            </a:ext>
          </a:extLst>
        </xdr:cNvPr>
        <xdr:cNvSpPr txBox="1">
          <a:spLocks noChangeArrowheads="1"/>
        </xdr:cNvSpPr>
      </xdr:nvSpPr>
      <xdr:spPr bwMode="auto">
        <a:xfrm>
          <a:off x="6876573" y="822547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109</xdr:row>
      <xdr:rowOff>22860</xdr:rowOff>
    </xdr:from>
    <xdr:to>
      <xdr:col>9</xdr:col>
      <xdr:colOff>4503756</xdr:colOff>
      <xdr:row>110</xdr:row>
      <xdr:rowOff>0</xdr:rowOff>
    </xdr:to>
    <xdr:sp macro="" textlink="" fLocksText="0">
      <xdr:nvSpPr>
        <xdr:cNvPr id="241902" name="ZoneTexte 1">
          <a:extLst>
            <a:ext uri="{FF2B5EF4-FFF2-40B4-BE49-F238E27FC236}">
              <a16:creationId xmlns:a16="http://schemas.microsoft.com/office/drawing/2014/main" id="{00000000-0008-0000-0C00-0000EEB00300}"/>
            </a:ext>
          </a:extLst>
        </xdr:cNvPr>
        <xdr:cNvSpPr txBox="1">
          <a:spLocks noChangeArrowheads="1"/>
        </xdr:cNvSpPr>
      </xdr:nvSpPr>
      <xdr:spPr bwMode="auto">
        <a:xfrm>
          <a:off x="6894195" y="86075520"/>
          <a:ext cx="4475181" cy="162306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110</xdr:row>
          <xdr:rowOff>0</xdr:rowOff>
        </xdr:from>
        <xdr:to>
          <xdr:col>8</xdr:col>
          <xdr:colOff>0</xdr:colOff>
          <xdr:row>111</xdr:row>
          <xdr:rowOff>0</xdr:rowOff>
        </xdr:to>
        <xdr:grpSp>
          <xdr:nvGrpSpPr>
            <xdr:cNvPr id="241904" name="Groupe 241903">
              <a:extLst>
                <a:ext uri="{FF2B5EF4-FFF2-40B4-BE49-F238E27FC236}">
                  <a16:creationId xmlns:a16="http://schemas.microsoft.com/office/drawing/2014/main" id="{00000000-0008-0000-0C00-0000F0B00300}"/>
                </a:ext>
              </a:extLst>
            </xdr:cNvPr>
            <xdr:cNvGrpSpPr/>
          </xdr:nvGrpSpPr>
          <xdr:grpSpPr>
            <a:xfrm>
              <a:off x="4009292" y="74605662"/>
              <a:ext cx="1957754" cy="1641230"/>
              <a:chOff x="2995436" y="3846802"/>
              <a:chExt cx="1960181" cy="1644867"/>
            </a:xfrm>
          </xdr:grpSpPr>
          <xdr:sp macro="" textlink="">
            <xdr:nvSpPr>
              <xdr:cNvPr id="241874" name="Option Button 210" hidden="1">
                <a:extLst>
                  <a:ext uri="{63B3BB69-23CF-44E3-9099-C40C66FF867C}">
                    <a14:compatExt spid="_x0000_s241874"/>
                  </a:ext>
                  <a:ext uri="{FF2B5EF4-FFF2-40B4-BE49-F238E27FC236}">
                    <a16:creationId xmlns:a16="http://schemas.microsoft.com/office/drawing/2014/main" id="{00000000-0008-0000-0B00-0000D2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29" name="Option Button 211" hidden="1">
                <a:extLst>
                  <a:ext uri="{63B3BB69-23CF-44E3-9099-C40C66FF867C}">
                    <a14:compatExt spid="_x0000_s241875"/>
                  </a:ext>
                  <a:ext uri="{FF2B5EF4-FFF2-40B4-BE49-F238E27FC236}">
                    <a16:creationId xmlns:a16="http://schemas.microsoft.com/office/drawing/2014/main" id="{00000000-0008-0000-0B00-000009B1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76" name="Option Button 212" hidden="1">
                <a:extLst>
                  <a:ext uri="{63B3BB69-23CF-44E3-9099-C40C66FF867C}">
                    <a14:compatExt spid="_x0000_s241876"/>
                  </a:ext>
                  <a:ext uri="{FF2B5EF4-FFF2-40B4-BE49-F238E27FC236}">
                    <a16:creationId xmlns:a16="http://schemas.microsoft.com/office/drawing/2014/main" id="{00000000-0008-0000-0B00-0000D4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77" name="Option Button 213" hidden="1">
                <a:extLst>
                  <a:ext uri="{63B3BB69-23CF-44E3-9099-C40C66FF867C}">
                    <a14:compatExt spid="_x0000_s241877"/>
                  </a:ext>
                  <a:ext uri="{FF2B5EF4-FFF2-40B4-BE49-F238E27FC236}">
                    <a16:creationId xmlns:a16="http://schemas.microsoft.com/office/drawing/2014/main" id="{00000000-0008-0000-0B00-0000D5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78" name="Group Box 214" hidden="1">
                <a:extLst>
                  <a:ext uri="{63B3BB69-23CF-44E3-9099-C40C66FF867C}">
                    <a14:compatExt spid="_x0000_s241878"/>
                  </a:ext>
                  <a:ext uri="{FF2B5EF4-FFF2-40B4-BE49-F238E27FC236}">
                    <a16:creationId xmlns:a16="http://schemas.microsoft.com/office/drawing/2014/main" id="{00000000-0008-0000-0B00-0000D6B00300}"/>
                  </a:ext>
                </a:extLst>
              </xdr:cNvPr>
              <xdr:cNvSpPr/>
            </xdr:nvSpPr>
            <xdr:spPr bwMode="auto">
              <a:xfrm>
                <a:off x="2995436" y="3846802"/>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109</xdr:row>
          <xdr:rowOff>0</xdr:rowOff>
        </xdr:from>
        <xdr:to>
          <xdr:col>8</xdr:col>
          <xdr:colOff>0</xdr:colOff>
          <xdr:row>110</xdr:row>
          <xdr:rowOff>2055</xdr:rowOff>
        </xdr:to>
        <xdr:grpSp>
          <xdr:nvGrpSpPr>
            <xdr:cNvPr id="241910" name="Groupe 241909">
              <a:extLst>
                <a:ext uri="{FF2B5EF4-FFF2-40B4-BE49-F238E27FC236}">
                  <a16:creationId xmlns:a16="http://schemas.microsoft.com/office/drawing/2014/main" id="{00000000-0008-0000-0C00-0000F6B00300}"/>
                </a:ext>
              </a:extLst>
            </xdr:cNvPr>
            <xdr:cNvGrpSpPr/>
          </xdr:nvGrpSpPr>
          <xdr:grpSpPr>
            <a:xfrm>
              <a:off x="4009292" y="72964431"/>
              <a:ext cx="1957754" cy="1643286"/>
              <a:chOff x="2994705" y="2201923"/>
              <a:chExt cx="1960969" cy="1646923"/>
            </a:xfrm>
          </xdr:grpSpPr>
          <xdr:sp macro="" textlink="">
            <xdr:nvSpPr>
              <xdr:cNvPr id="241879" name="Option Button 215" descr="Case d'option 47" hidden="1">
                <a:extLst>
                  <a:ext uri="{63B3BB69-23CF-44E3-9099-C40C66FF867C}">
                    <a14:compatExt spid="_x0000_s241879"/>
                  </a:ext>
                  <a:ext uri="{FF2B5EF4-FFF2-40B4-BE49-F238E27FC236}">
                    <a16:creationId xmlns:a16="http://schemas.microsoft.com/office/drawing/2014/main" id="{00000000-0008-0000-0B00-0000D7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80" name="Option Button 216" hidden="1">
                <a:extLst>
                  <a:ext uri="{63B3BB69-23CF-44E3-9099-C40C66FF867C}">
                    <a14:compatExt spid="_x0000_s241880"/>
                  </a:ext>
                  <a:ext uri="{FF2B5EF4-FFF2-40B4-BE49-F238E27FC236}">
                    <a16:creationId xmlns:a16="http://schemas.microsoft.com/office/drawing/2014/main" id="{00000000-0008-0000-0B00-0000D8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30" name="Option Button 217" hidden="1">
                <a:extLst>
                  <a:ext uri="{63B3BB69-23CF-44E3-9099-C40C66FF867C}">
                    <a14:compatExt spid="_x0000_s241881"/>
                  </a:ext>
                  <a:ext uri="{FF2B5EF4-FFF2-40B4-BE49-F238E27FC236}">
                    <a16:creationId xmlns:a16="http://schemas.microsoft.com/office/drawing/2014/main" id="{00000000-0008-0000-0B00-00000AB1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82" name="Option Button 218" hidden="1">
                <a:extLst>
                  <a:ext uri="{63B3BB69-23CF-44E3-9099-C40C66FF867C}">
                    <a14:compatExt spid="_x0000_s241882"/>
                  </a:ext>
                  <a:ext uri="{FF2B5EF4-FFF2-40B4-BE49-F238E27FC236}">
                    <a16:creationId xmlns:a16="http://schemas.microsoft.com/office/drawing/2014/main" id="{00000000-0008-0000-0B00-0000DA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83" name="Group Box 219" hidden="1">
                <a:extLst>
                  <a:ext uri="{63B3BB69-23CF-44E3-9099-C40C66FF867C}">
                    <a14:compatExt spid="_x0000_s241883"/>
                  </a:ext>
                  <a:ext uri="{FF2B5EF4-FFF2-40B4-BE49-F238E27FC236}">
                    <a16:creationId xmlns:a16="http://schemas.microsoft.com/office/drawing/2014/main" id="{00000000-0008-0000-0B00-0000DBB00300}"/>
                  </a:ext>
                </a:extLst>
              </xdr:cNvPr>
              <xdr:cNvSpPr/>
            </xdr:nvSpPr>
            <xdr:spPr bwMode="auto">
              <a:xfrm>
                <a:off x="2994705" y="2201923"/>
                <a:ext cx="1960969"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111</xdr:row>
      <xdr:rowOff>15675</xdr:rowOff>
    </xdr:from>
    <xdr:to>
      <xdr:col>9</xdr:col>
      <xdr:colOff>4503756</xdr:colOff>
      <xdr:row>112</xdr:row>
      <xdr:rowOff>0</xdr:rowOff>
    </xdr:to>
    <xdr:sp macro="" textlink="" fLocksText="0">
      <xdr:nvSpPr>
        <xdr:cNvPr id="241916" name="ZoneTexte 1">
          <a:extLst>
            <a:ext uri="{FF2B5EF4-FFF2-40B4-BE49-F238E27FC236}">
              <a16:creationId xmlns:a16="http://schemas.microsoft.com/office/drawing/2014/main" id="{00000000-0008-0000-0C00-0000FCB00300}"/>
            </a:ext>
          </a:extLst>
        </xdr:cNvPr>
        <xdr:cNvSpPr txBox="1">
          <a:spLocks noChangeArrowheads="1"/>
        </xdr:cNvSpPr>
      </xdr:nvSpPr>
      <xdr:spPr bwMode="auto">
        <a:xfrm>
          <a:off x="6894195" y="89360175"/>
          <a:ext cx="4475181" cy="163024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112</xdr:row>
      <xdr:rowOff>22860</xdr:rowOff>
    </xdr:from>
    <xdr:to>
      <xdr:col>9</xdr:col>
      <xdr:colOff>4532586</xdr:colOff>
      <xdr:row>112</xdr:row>
      <xdr:rowOff>1570892</xdr:rowOff>
    </xdr:to>
    <xdr:sp macro="" textlink="" fLocksText="0">
      <xdr:nvSpPr>
        <xdr:cNvPr id="241917" name="ZoneTexte 1">
          <a:extLst>
            <a:ext uri="{FF2B5EF4-FFF2-40B4-BE49-F238E27FC236}">
              <a16:creationId xmlns:a16="http://schemas.microsoft.com/office/drawing/2014/main" id="{00000000-0008-0000-0C00-0000FDB00300}"/>
            </a:ext>
          </a:extLst>
        </xdr:cNvPr>
        <xdr:cNvSpPr txBox="1">
          <a:spLocks noChangeArrowheads="1"/>
        </xdr:cNvSpPr>
      </xdr:nvSpPr>
      <xdr:spPr bwMode="auto">
        <a:xfrm>
          <a:off x="6868636" y="91134614"/>
          <a:ext cx="4521950" cy="1548032"/>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113</xdr:row>
      <xdr:rowOff>19739</xdr:rowOff>
    </xdr:from>
    <xdr:to>
      <xdr:col>9</xdr:col>
      <xdr:colOff>4532903</xdr:colOff>
      <xdr:row>113</xdr:row>
      <xdr:rowOff>1621739</xdr:rowOff>
    </xdr:to>
    <xdr:sp macro="" textlink="" fLocksText="0">
      <xdr:nvSpPr>
        <xdr:cNvPr id="241918" name="ZoneTexte 1">
          <a:extLst>
            <a:ext uri="{FF2B5EF4-FFF2-40B4-BE49-F238E27FC236}">
              <a16:creationId xmlns:a16="http://schemas.microsoft.com/office/drawing/2014/main" id="{00000000-0008-0000-0C00-0000FEB00300}"/>
            </a:ext>
          </a:extLst>
        </xdr:cNvPr>
        <xdr:cNvSpPr txBox="1">
          <a:spLocks noChangeArrowheads="1"/>
        </xdr:cNvSpPr>
      </xdr:nvSpPr>
      <xdr:spPr bwMode="auto">
        <a:xfrm>
          <a:off x="6876573" y="9265607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113</xdr:row>
          <xdr:rowOff>3</xdr:rowOff>
        </xdr:from>
        <xdr:to>
          <xdr:col>8</xdr:col>
          <xdr:colOff>0</xdr:colOff>
          <xdr:row>114</xdr:row>
          <xdr:rowOff>3</xdr:rowOff>
        </xdr:to>
        <xdr:grpSp>
          <xdr:nvGrpSpPr>
            <xdr:cNvPr id="241919" name="Groupe 241918">
              <a:extLst>
                <a:ext uri="{FF2B5EF4-FFF2-40B4-BE49-F238E27FC236}">
                  <a16:creationId xmlns:a16="http://schemas.microsoft.com/office/drawing/2014/main" id="{00000000-0008-0000-0C00-0000FFB00300}"/>
                </a:ext>
              </a:extLst>
            </xdr:cNvPr>
            <xdr:cNvGrpSpPr/>
          </xdr:nvGrpSpPr>
          <xdr:grpSpPr>
            <a:xfrm>
              <a:off x="4009292" y="79529357"/>
              <a:ext cx="1957754" cy="1641228"/>
              <a:chOff x="2995436" y="3846803"/>
              <a:chExt cx="1960181" cy="1644870"/>
            </a:xfrm>
          </xdr:grpSpPr>
          <xdr:sp macro="" textlink="">
            <xdr:nvSpPr>
              <xdr:cNvPr id="241884" name="Option Button 220" hidden="1">
                <a:extLst>
                  <a:ext uri="{63B3BB69-23CF-44E3-9099-C40C66FF867C}">
                    <a14:compatExt spid="_x0000_s241884"/>
                  </a:ext>
                  <a:ext uri="{FF2B5EF4-FFF2-40B4-BE49-F238E27FC236}">
                    <a16:creationId xmlns:a16="http://schemas.microsoft.com/office/drawing/2014/main" id="{00000000-0008-0000-0B00-0000DC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85" name="Option Button 221" hidden="1">
                <a:extLst>
                  <a:ext uri="{63B3BB69-23CF-44E3-9099-C40C66FF867C}">
                    <a14:compatExt spid="_x0000_s241885"/>
                  </a:ext>
                  <a:ext uri="{FF2B5EF4-FFF2-40B4-BE49-F238E27FC236}">
                    <a16:creationId xmlns:a16="http://schemas.microsoft.com/office/drawing/2014/main" id="{00000000-0008-0000-0B00-0000DD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86" name="Option Button 222" hidden="1">
                <a:extLst>
                  <a:ext uri="{63B3BB69-23CF-44E3-9099-C40C66FF867C}">
                    <a14:compatExt spid="_x0000_s241886"/>
                  </a:ext>
                  <a:ext uri="{FF2B5EF4-FFF2-40B4-BE49-F238E27FC236}">
                    <a16:creationId xmlns:a16="http://schemas.microsoft.com/office/drawing/2014/main" id="{00000000-0008-0000-0B00-0000DE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20" name="Option Button 223" hidden="1">
                <a:extLst>
                  <a:ext uri="{63B3BB69-23CF-44E3-9099-C40C66FF867C}">
                    <a14:compatExt spid="_x0000_s241887"/>
                  </a:ext>
                  <a:ext uri="{FF2B5EF4-FFF2-40B4-BE49-F238E27FC236}">
                    <a16:creationId xmlns:a16="http://schemas.microsoft.com/office/drawing/2014/main" id="{00000000-0008-0000-0B00-000000B1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21" name="Group Box 224" hidden="1">
                <a:extLst>
                  <a:ext uri="{63B3BB69-23CF-44E3-9099-C40C66FF867C}">
                    <a14:compatExt spid="_x0000_s241888"/>
                  </a:ext>
                  <a:ext uri="{FF2B5EF4-FFF2-40B4-BE49-F238E27FC236}">
                    <a16:creationId xmlns:a16="http://schemas.microsoft.com/office/drawing/2014/main" id="{00000000-0008-0000-0B00-000001B10300}"/>
                  </a:ext>
                </a:extLst>
              </xdr:cNvPr>
              <xdr:cNvSpPr/>
            </xdr:nvSpPr>
            <xdr:spPr bwMode="auto">
              <a:xfrm>
                <a:off x="2995436" y="3846803"/>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xdr:colOff>
          <xdr:row>112</xdr:row>
          <xdr:rowOff>0</xdr:rowOff>
        </xdr:from>
        <xdr:to>
          <xdr:col>8</xdr:col>
          <xdr:colOff>0</xdr:colOff>
          <xdr:row>113</xdr:row>
          <xdr:rowOff>2058</xdr:rowOff>
        </xdr:to>
        <xdr:grpSp>
          <xdr:nvGrpSpPr>
            <xdr:cNvPr id="241925" name="Groupe 241924">
              <a:extLst>
                <a:ext uri="{FF2B5EF4-FFF2-40B4-BE49-F238E27FC236}">
                  <a16:creationId xmlns:a16="http://schemas.microsoft.com/office/drawing/2014/main" id="{00000000-0008-0000-0C00-000005B10300}"/>
                </a:ext>
              </a:extLst>
            </xdr:cNvPr>
            <xdr:cNvGrpSpPr/>
          </xdr:nvGrpSpPr>
          <xdr:grpSpPr>
            <a:xfrm>
              <a:off x="4012460" y="77888123"/>
              <a:ext cx="1954586" cy="1643289"/>
              <a:chOff x="2994659" y="2201924"/>
              <a:chExt cx="1960969" cy="1646926"/>
            </a:xfrm>
          </xdr:grpSpPr>
          <xdr:sp macro="" textlink="">
            <xdr:nvSpPr>
              <xdr:cNvPr id="241922" name="Option Button 225" descr="Case d'option 47" hidden="1">
                <a:extLst>
                  <a:ext uri="{63B3BB69-23CF-44E3-9099-C40C66FF867C}">
                    <a14:compatExt spid="_x0000_s241889"/>
                  </a:ext>
                  <a:ext uri="{FF2B5EF4-FFF2-40B4-BE49-F238E27FC236}">
                    <a16:creationId xmlns:a16="http://schemas.microsoft.com/office/drawing/2014/main" id="{00000000-0008-0000-0B00-000002B1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90" name="Option Button 226" hidden="1">
                <a:extLst>
                  <a:ext uri="{63B3BB69-23CF-44E3-9099-C40C66FF867C}">
                    <a14:compatExt spid="_x0000_s241890"/>
                  </a:ext>
                  <a:ext uri="{FF2B5EF4-FFF2-40B4-BE49-F238E27FC236}">
                    <a16:creationId xmlns:a16="http://schemas.microsoft.com/office/drawing/2014/main" id="{00000000-0008-0000-0B00-0000E2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91" name="Option Button 227" hidden="1">
                <a:extLst>
                  <a:ext uri="{63B3BB69-23CF-44E3-9099-C40C66FF867C}">
                    <a14:compatExt spid="_x0000_s241891"/>
                  </a:ext>
                  <a:ext uri="{FF2B5EF4-FFF2-40B4-BE49-F238E27FC236}">
                    <a16:creationId xmlns:a16="http://schemas.microsoft.com/office/drawing/2014/main" id="{00000000-0008-0000-0B00-0000E3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92" name="Option Button 228" hidden="1">
                <a:extLst>
                  <a:ext uri="{63B3BB69-23CF-44E3-9099-C40C66FF867C}">
                    <a14:compatExt spid="_x0000_s241892"/>
                  </a:ext>
                  <a:ext uri="{FF2B5EF4-FFF2-40B4-BE49-F238E27FC236}">
                    <a16:creationId xmlns:a16="http://schemas.microsoft.com/office/drawing/2014/main" id="{00000000-0008-0000-0B00-0000E4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93" name="Group Box 229" hidden="1">
                <a:extLst>
                  <a:ext uri="{63B3BB69-23CF-44E3-9099-C40C66FF867C}">
                    <a14:compatExt spid="_x0000_s241893"/>
                  </a:ext>
                  <a:ext uri="{FF2B5EF4-FFF2-40B4-BE49-F238E27FC236}">
                    <a16:creationId xmlns:a16="http://schemas.microsoft.com/office/drawing/2014/main" id="{00000000-0008-0000-0B00-0000E5B00300}"/>
                  </a:ext>
                </a:extLst>
              </xdr:cNvPr>
              <xdr:cNvSpPr/>
            </xdr:nvSpPr>
            <xdr:spPr bwMode="auto">
              <a:xfrm>
                <a:off x="2994659" y="2201924"/>
                <a:ext cx="1960968" cy="164692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111</xdr:row>
          <xdr:rowOff>0</xdr:rowOff>
        </xdr:from>
        <xdr:to>
          <xdr:col>8</xdr:col>
          <xdr:colOff>0</xdr:colOff>
          <xdr:row>112</xdr:row>
          <xdr:rowOff>0</xdr:rowOff>
        </xdr:to>
        <xdr:grpSp>
          <xdr:nvGrpSpPr>
            <xdr:cNvPr id="241931" name="Groupe 241930">
              <a:extLst>
                <a:ext uri="{FF2B5EF4-FFF2-40B4-BE49-F238E27FC236}">
                  <a16:creationId xmlns:a16="http://schemas.microsoft.com/office/drawing/2014/main" id="{00000000-0008-0000-0C00-00000BB10300}"/>
                </a:ext>
              </a:extLst>
            </xdr:cNvPr>
            <xdr:cNvGrpSpPr/>
          </xdr:nvGrpSpPr>
          <xdr:grpSpPr>
            <a:xfrm>
              <a:off x="4009292" y="76246892"/>
              <a:ext cx="1957754" cy="1641231"/>
              <a:chOff x="2994701" y="2201926"/>
              <a:chExt cx="1960969" cy="1646931"/>
            </a:xfrm>
          </xdr:grpSpPr>
          <xdr:sp macro="" textlink="">
            <xdr:nvSpPr>
              <xdr:cNvPr id="241894" name="Option Button 230" descr="Case d'option 47" hidden="1">
                <a:extLst>
                  <a:ext uri="{63B3BB69-23CF-44E3-9099-C40C66FF867C}">
                    <a14:compatExt spid="_x0000_s241894"/>
                  </a:ext>
                  <a:ext uri="{FF2B5EF4-FFF2-40B4-BE49-F238E27FC236}">
                    <a16:creationId xmlns:a16="http://schemas.microsoft.com/office/drawing/2014/main" id="{00000000-0008-0000-0B00-0000E6B0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895" name="Option Button 231" hidden="1">
                <a:extLst>
                  <a:ext uri="{63B3BB69-23CF-44E3-9099-C40C66FF867C}">
                    <a14:compatExt spid="_x0000_s241895"/>
                  </a:ext>
                  <a:ext uri="{FF2B5EF4-FFF2-40B4-BE49-F238E27FC236}">
                    <a16:creationId xmlns:a16="http://schemas.microsoft.com/office/drawing/2014/main" id="{00000000-0008-0000-0B00-0000E7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896" name="Option Button 232" hidden="1">
                <a:extLst>
                  <a:ext uri="{63B3BB69-23CF-44E3-9099-C40C66FF867C}">
                    <a14:compatExt spid="_x0000_s241896"/>
                  </a:ext>
                  <a:ext uri="{FF2B5EF4-FFF2-40B4-BE49-F238E27FC236}">
                    <a16:creationId xmlns:a16="http://schemas.microsoft.com/office/drawing/2014/main" id="{00000000-0008-0000-0B00-0000E8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897" name="Option Button 233" hidden="1">
                <a:extLst>
                  <a:ext uri="{63B3BB69-23CF-44E3-9099-C40C66FF867C}">
                    <a14:compatExt spid="_x0000_s241897"/>
                  </a:ext>
                  <a:ext uri="{FF2B5EF4-FFF2-40B4-BE49-F238E27FC236}">
                    <a16:creationId xmlns:a16="http://schemas.microsoft.com/office/drawing/2014/main" id="{00000000-0008-0000-0B00-0000E9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898" name="Group Box 234" hidden="1">
                <a:extLst>
                  <a:ext uri="{63B3BB69-23CF-44E3-9099-C40C66FF867C}">
                    <a14:compatExt spid="_x0000_s241898"/>
                  </a:ext>
                  <a:ext uri="{FF2B5EF4-FFF2-40B4-BE49-F238E27FC236}">
                    <a16:creationId xmlns:a16="http://schemas.microsoft.com/office/drawing/2014/main" id="{00000000-0008-0000-0B00-0000EAB00300}"/>
                  </a:ext>
                </a:extLst>
              </xdr:cNvPr>
              <xdr:cNvSpPr/>
            </xdr:nvSpPr>
            <xdr:spPr bwMode="auto">
              <a:xfrm>
                <a:off x="2994701" y="2201926"/>
                <a:ext cx="1960969" cy="164693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9181</xdr:colOff>
      <xdr:row>106</xdr:row>
      <xdr:rowOff>165251</xdr:rowOff>
    </xdr:from>
    <xdr:to>
      <xdr:col>5</xdr:col>
      <xdr:colOff>462364</xdr:colOff>
      <xdr:row>107</xdr:row>
      <xdr:rowOff>415621</xdr:rowOff>
    </xdr:to>
    <xdr:sp macro="" textlink="">
      <xdr:nvSpPr>
        <xdr:cNvPr id="241937" name="Ellipse 241936">
          <a:extLst>
            <a:ext uri="{FF2B5EF4-FFF2-40B4-BE49-F238E27FC236}">
              <a16:creationId xmlns:a16="http://schemas.microsoft.com/office/drawing/2014/main" id="{00000000-0008-0000-0C00-000011B10300}"/>
            </a:ext>
          </a:extLst>
        </xdr:cNvPr>
        <xdr:cNvSpPr>
          <a:spLocks noChangeAspect="1"/>
        </xdr:cNvSpPr>
      </xdr:nvSpPr>
      <xdr:spPr>
        <a:xfrm>
          <a:off x="481621" y="85433051"/>
          <a:ext cx="453183" cy="433250"/>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7</a:t>
          </a:r>
        </a:p>
      </xdr:txBody>
    </xdr:sp>
    <xdr:clientData/>
  </xdr:twoCellAnchor>
  <xdr:twoCellAnchor>
    <xdr:from>
      <xdr:col>9</xdr:col>
      <xdr:colOff>10636</xdr:colOff>
      <xdr:row>114</xdr:row>
      <xdr:rowOff>22860</xdr:rowOff>
    </xdr:from>
    <xdr:to>
      <xdr:col>9</xdr:col>
      <xdr:colOff>4532586</xdr:colOff>
      <xdr:row>114</xdr:row>
      <xdr:rowOff>2036380</xdr:rowOff>
    </xdr:to>
    <xdr:sp macro="" textlink="" fLocksText="0">
      <xdr:nvSpPr>
        <xdr:cNvPr id="241938" name="ZoneTexte 1">
          <a:extLst>
            <a:ext uri="{FF2B5EF4-FFF2-40B4-BE49-F238E27FC236}">
              <a16:creationId xmlns:a16="http://schemas.microsoft.com/office/drawing/2014/main" id="{00000000-0008-0000-0C00-000012B10300}"/>
            </a:ext>
          </a:extLst>
        </xdr:cNvPr>
        <xdr:cNvSpPr txBox="1">
          <a:spLocks noChangeArrowheads="1"/>
        </xdr:cNvSpPr>
      </xdr:nvSpPr>
      <xdr:spPr bwMode="auto">
        <a:xfrm>
          <a:off x="6876256" y="94305120"/>
          <a:ext cx="4521950" cy="16249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115</xdr:row>
      <xdr:rowOff>19739</xdr:rowOff>
    </xdr:from>
    <xdr:to>
      <xdr:col>9</xdr:col>
      <xdr:colOff>4532903</xdr:colOff>
      <xdr:row>115</xdr:row>
      <xdr:rowOff>1621739</xdr:rowOff>
    </xdr:to>
    <xdr:sp macro="" textlink="" fLocksText="0">
      <xdr:nvSpPr>
        <xdr:cNvPr id="241939" name="ZoneTexte 1">
          <a:extLst>
            <a:ext uri="{FF2B5EF4-FFF2-40B4-BE49-F238E27FC236}">
              <a16:creationId xmlns:a16="http://schemas.microsoft.com/office/drawing/2014/main" id="{00000000-0008-0000-0C00-000013B10300}"/>
            </a:ext>
          </a:extLst>
        </xdr:cNvPr>
        <xdr:cNvSpPr txBox="1">
          <a:spLocks noChangeArrowheads="1"/>
        </xdr:cNvSpPr>
      </xdr:nvSpPr>
      <xdr:spPr bwMode="auto">
        <a:xfrm>
          <a:off x="6876573" y="95947919"/>
          <a:ext cx="4521950"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28575</xdr:colOff>
      <xdr:row>125</xdr:row>
      <xdr:rowOff>22860</xdr:rowOff>
    </xdr:from>
    <xdr:to>
      <xdr:col>9</xdr:col>
      <xdr:colOff>4519448</xdr:colOff>
      <xdr:row>126</xdr:row>
      <xdr:rowOff>0</xdr:rowOff>
    </xdr:to>
    <xdr:sp macro="" textlink="" fLocksText="0">
      <xdr:nvSpPr>
        <xdr:cNvPr id="241932" name="ZoneTexte 1">
          <a:extLst>
            <a:ext uri="{FF2B5EF4-FFF2-40B4-BE49-F238E27FC236}">
              <a16:creationId xmlns:a16="http://schemas.microsoft.com/office/drawing/2014/main" id="{00000000-0008-0000-0C00-00000CB10300}"/>
            </a:ext>
          </a:extLst>
        </xdr:cNvPr>
        <xdr:cNvSpPr txBox="1">
          <a:spLocks noChangeArrowheads="1"/>
        </xdr:cNvSpPr>
      </xdr:nvSpPr>
      <xdr:spPr bwMode="auto">
        <a:xfrm>
          <a:off x="7188200" y="17882235"/>
          <a:ext cx="4490873" cy="162814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0</xdr:colOff>
          <xdr:row>126</xdr:row>
          <xdr:rowOff>0</xdr:rowOff>
        </xdr:from>
        <xdr:to>
          <xdr:col>8</xdr:col>
          <xdr:colOff>0</xdr:colOff>
          <xdr:row>127</xdr:row>
          <xdr:rowOff>0</xdr:rowOff>
        </xdr:to>
        <xdr:grpSp>
          <xdr:nvGrpSpPr>
            <xdr:cNvPr id="241934" name="Groupe 241933">
              <a:extLst>
                <a:ext uri="{FF2B5EF4-FFF2-40B4-BE49-F238E27FC236}">
                  <a16:creationId xmlns:a16="http://schemas.microsoft.com/office/drawing/2014/main" id="{00000000-0008-0000-0C00-00000EB10300}"/>
                </a:ext>
              </a:extLst>
            </xdr:cNvPr>
            <xdr:cNvGrpSpPr/>
          </xdr:nvGrpSpPr>
          <xdr:grpSpPr>
            <a:xfrm>
              <a:off x="4009292" y="85191600"/>
              <a:ext cx="1957754" cy="1641231"/>
              <a:chOff x="2995436" y="3846792"/>
              <a:chExt cx="1960181" cy="1644870"/>
            </a:xfrm>
          </xdr:grpSpPr>
          <xdr:sp macro="" textlink="">
            <xdr:nvSpPr>
              <xdr:cNvPr id="241899" name="Option Button 235" hidden="1">
                <a:extLst>
                  <a:ext uri="{63B3BB69-23CF-44E3-9099-C40C66FF867C}">
                    <a14:compatExt spid="_x0000_s241899"/>
                  </a:ext>
                  <a:ext uri="{FF2B5EF4-FFF2-40B4-BE49-F238E27FC236}">
                    <a16:creationId xmlns:a16="http://schemas.microsoft.com/office/drawing/2014/main" id="{00000000-0008-0000-0B00-0000EB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00" name="Option Button 236" hidden="1">
                <a:extLst>
                  <a:ext uri="{63B3BB69-23CF-44E3-9099-C40C66FF867C}">
                    <a14:compatExt spid="_x0000_s241900"/>
                  </a:ext>
                  <a:ext uri="{FF2B5EF4-FFF2-40B4-BE49-F238E27FC236}">
                    <a16:creationId xmlns:a16="http://schemas.microsoft.com/office/drawing/2014/main" id="{00000000-0008-0000-0B00-0000EC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01" name="Option Button 237" hidden="1">
                <a:extLst>
                  <a:ext uri="{63B3BB69-23CF-44E3-9099-C40C66FF867C}">
                    <a14:compatExt spid="_x0000_s241901"/>
                  </a:ext>
                  <a:ext uri="{FF2B5EF4-FFF2-40B4-BE49-F238E27FC236}">
                    <a16:creationId xmlns:a16="http://schemas.microsoft.com/office/drawing/2014/main" id="{00000000-0008-0000-0B00-0000ED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35" name="Option Button 238" hidden="1">
                <a:extLst>
                  <a:ext uri="{63B3BB69-23CF-44E3-9099-C40C66FF867C}">
                    <a14:compatExt spid="_x0000_s241902"/>
                  </a:ext>
                  <a:ext uri="{FF2B5EF4-FFF2-40B4-BE49-F238E27FC236}">
                    <a16:creationId xmlns:a16="http://schemas.microsoft.com/office/drawing/2014/main" id="{00000000-0008-0000-0B00-00000FB1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36" name="Group Box 239" hidden="1">
                <a:extLst>
                  <a:ext uri="{63B3BB69-23CF-44E3-9099-C40C66FF867C}">
                    <a14:compatExt spid="_x0000_s241903"/>
                  </a:ext>
                  <a:ext uri="{FF2B5EF4-FFF2-40B4-BE49-F238E27FC236}">
                    <a16:creationId xmlns:a16="http://schemas.microsoft.com/office/drawing/2014/main" id="{00000000-0008-0000-0B00-000010B10300}"/>
                  </a:ext>
                </a:extLst>
              </xdr:cNvPr>
              <xdr:cNvSpPr/>
            </xdr:nvSpPr>
            <xdr:spPr bwMode="auto">
              <a:xfrm>
                <a:off x="2995436" y="3846792"/>
                <a:ext cx="1960181" cy="164487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28575</xdr:colOff>
      <xdr:row>127</xdr:row>
      <xdr:rowOff>15675</xdr:rowOff>
    </xdr:from>
    <xdr:to>
      <xdr:col>9</xdr:col>
      <xdr:colOff>4519448</xdr:colOff>
      <xdr:row>128</xdr:row>
      <xdr:rowOff>0</xdr:rowOff>
    </xdr:to>
    <xdr:sp macro="" textlink="" fLocksText="0">
      <xdr:nvSpPr>
        <xdr:cNvPr id="241940" name="ZoneTexte 1">
          <a:extLst>
            <a:ext uri="{FF2B5EF4-FFF2-40B4-BE49-F238E27FC236}">
              <a16:creationId xmlns:a16="http://schemas.microsoft.com/office/drawing/2014/main" id="{00000000-0008-0000-0C00-000014B10300}"/>
            </a:ext>
          </a:extLst>
        </xdr:cNvPr>
        <xdr:cNvSpPr txBox="1">
          <a:spLocks noChangeArrowheads="1"/>
        </xdr:cNvSpPr>
      </xdr:nvSpPr>
      <xdr:spPr bwMode="auto">
        <a:xfrm>
          <a:off x="7188200" y="21177050"/>
          <a:ext cx="4490873" cy="1635325"/>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10636</xdr:colOff>
      <xdr:row>128</xdr:row>
      <xdr:rowOff>22860</xdr:rowOff>
    </xdr:from>
    <xdr:to>
      <xdr:col>9</xdr:col>
      <xdr:colOff>4548442</xdr:colOff>
      <xdr:row>129</xdr:row>
      <xdr:rowOff>2588</xdr:rowOff>
    </xdr:to>
    <xdr:sp macro="" textlink="" fLocksText="0">
      <xdr:nvSpPr>
        <xdr:cNvPr id="241941" name="ZoneTexte 1">
          <a:extLst>
            <a:ext uri="{FF2B5EF4-FFF2-40B4-BE49-F238E27FC236}">
              <a16:creationId xmlns:a16="http://schemas.microsoft.com/office/drawing/2014/main" id="{00000000-0008-0000-0C00-000015B10300}"/>
            </a:ext>
          </a:extLst>
        </xdr:cNvPr>
        <xdr:cNvSpPr txBox="1">
          <a:spLocks noChangeArrowheads="1"/>
        </xdr:cNvSpPr>
      </xdr:nvSpPr>
      <xdr:spPr bwMode="auto">
        <a:xfrm>
          <a:off x="7170261" y="22835235"/>
          <a:ext cx="4537806" cy="229747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129</xdr:row>
      <xdr:rowOff>19739</xdr:rowOff>
    </xdr:from>
    <xdr:to>
      <xdr:col>9</xdr:col>
      <xdr:colOff>4548759</xdr:colOff>
      <xdr:row>129</xdr:row>
      <xdr:rowOff>1621739</xdr:rowOff>
    </xdr:to>
    <xdr:sp macro="" textlink="" fLocksText="0">
      <xdr:nvSpPr>
        <xdr:cNvPr id="241942" name="ZoneTexte 1">
          <a:extLst>
            <a:ext uri="{FF2B5EF4-FFF2-40B4-BE49-F238E27FC236}">
              <a16:creationId xmlns:a16="http://schemas.microsoft.com/office/drawing/2014/main" id="{00000000-0008-0000-0C00-000016B10300}"/>
            </a:ext>
          </a:extLst>
        </xdr:cNvPr>
        <xdr:cNvSpPr txBox="1">
          <a:spLocks noChangeArrowheads="1"/>
        </xdr:cNvSpPr>
      </xdr:nvSpPr>
      <xdr:spPr bwMode="auto">
        <a:xfrm>
          <a:off x="7170578" y="25149864"/>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10953</xdr:colOff>
      <xdr:row>130</xdr:row>
      <xdr:rowOff>38468</xdr:rowOff>
    </xdr:from>
    <xdr:to>
      <xdr:col>9</xdr:col>
      <xdr:colOff>4548759</xdr:colOff>
      <xdr:row>130</xdr:row>
      <xdr:rowOff>1640468</xdr:rowOff>
    </xdr:to>
    <xdr:sp macro="" textlink="" fLocksText="0">
      <xdr:nvSpPr>
        <xdr:cNvPr id="241943" name="ZoneTexte 1">
          <a:extLst>
            <a:ext uri="{FF2B5EF4-FFF2-40B4-BE49-F238E27FC236}">
              <a16:creationId xmlns:a16="http://schemas.microsoft.com/office/drawing/2014/main" id="{00000000-0008-0000-0C00-000017B10300}"/>
            </a:ext>
          </a:extLst>
        </xdr:cNvPr>
        <xdr:cNvSpPr txBox="1">
          <a:spLocks noChangeArrowheads="1"/>
        </xdr:cNvSpPr>
      </xdr:nvSpPr>
      <xdr:spPr bwMode="auto">
        <a:xfrm>
          <a:off x="7170578" y="26819593"/>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15716</xdr:colOff>
      <xdr:row>131</xdr:row>
      <xdr:rowOff>12060</xdr:rowOff>
    </xdr:from>
    <xdr:to>
      <xdr:col>9</xdr:col>
      <xdr:colOff>4553522</xdr:colOff>
      <xdr:row>131</xdr:row>
      <xdr:rowOff>1614060</xdr:rowOff>
    </xdr:to>
    <xdr:sp macro="" textlink="" fLocksText="0">
      <xdr:nvSpPr>
        <xdr:cNvPr id="241944" name="ZoneTexte 1">
          <a:extLst>
            <a:ext uri="{FF2B5EF4-FFF2-40B4-BE49-F238E27FC236}">
              <a16:creationId xmlns:a16="http://schemas.microsoft.com/office/drawing/2014/main" id="{00000000-0008-0000-0C00-000018B10300}"/>
            </a:ext>
          </a:extLst>
        </xdr:cNvPr>
        <xdr:cNvSpPr txBox="1">
          <a:spLocks noChangeArrowheads="1"/>
        </xdr:cNvSpPr>
      </xdr:nvSpPr>
      <xdr:spPr bwMode="auto">
        <a:xfrm>
          <a:off x="7175341" y="28444185"/>
          <a:ext cx="4537806" cy="1602000"/>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mc:AlternateContent xmlns:mc="http://schemas.openxmlformats.org/markup-compatibility/2006">
    <mc:Choice xmlns:a14="http://schemas.microsoft.com/office/drawing/2010/main" Requires="a14">
      <xdr:twoCellAnchor>
        <xdr:from>
          <xdr:col>7</xdr:col>
          <xdr:colOff>3017</xdr:colOff>
          <xdr:row>131</xdr:row>
          <xdr:rowOff>550</xdr:rowOff>
        </xdr:from>
        <xdr:to>
          <xdr:col>8</xdr:col>
          <xdr:colOff>0</xdr:colOff>
          <xdr:row>132</xdr:row>
          <xdr:rowOff>659</xdr:rowOff>
        </xdr:to>
        <xdr:grpSp>
          <xdr:nvGrpSpPr>
            <xdr:cNvPr id="241946" name="Groupe 241945">
              <a:extLst>
                <a:ext uri="{FF2B5EF4-FFF2-40B4-BE49-F238E27FC236}">
                  <a16:creationId xmlns:a16="http://schemas.microsoft.com/office/drawing/2014/main" id="{00000000-0008-0000-0C00-00001AB10300}"/>
                </a:ext>
              </a:extLst>
            </xdr:cNvPr>
            <xdr:cNvGrpSpPr/>
          </xdr:nvGrpSpPr>
          <xdr:grpSpPr>
            <a:xfrm>
              <a:off x="4012309" y="93398304"/>
              <a:ext cx="1954737" cy="1641340"/>
              <a:chOff x="2995399" y="3846798"/>
              <a:chExt cx="1960181" cy="1644869"/>
            </a:xfrm>
          </xdr:grpSpPr>
          <xdr:sp macro="" textlink="">
            <xdr:nvSpPr>
              <xdr:cNvPr id="241905" name="Option Button 241" hidden="1">
                <a:extLst>
                  <a:ext uri="{63B3BB69-23CF-44E3-9099-C40C66FF867C}">
                    <a14:compatExt spid="_x0000_s241905"/>
                  </a:ext>
                  <a:ext uri="{FF2B5EF4-FFF2-40B4-BE49-F238E27FC236}">
                    <a16:creationId xmlns:a16="http://schemas.microsoft.com/office/drawing/2014/main" id="{00000000-0008-0000-0B00-0000F1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06" name="Option Button 242" hidden="1">
                <a:extLst>
                  <a:ext uri="{63B3BB69-23CF-44E3-9099-C40C66FF867C}">
                    <a14:compatExt spid="_x0000_s241906"/>
                  </a:ext>
                  <a:ext uri="{FF2B5EF4-FFF2-40B4-BE49-F238E27FC236}">
                    <a16:creationId xmlns:a16="http://schemas.microsoft.com/office/drawing/2014/main" id="{00000000-0008-0000-0B00-0000F2B0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07" name="Option Button 243" hidden="1">
                <a:extLst>
                  <a:ext uri="{63B3BB69-23CF-44E3-9099-C40C66FF867C}">
                    <a14:compatExt spid="_x0000_s241907"/>
                  </a:ext>
                  <a:ext uri="{FF2B5EF4-FFF2-40B4-BE49-F238E27FC236}">
                    <a16:creationId xmlns:a16="http://schemas.microsoft.com/office/drawing/2014/main" id="{00000000-0008-0000-0B00-0000F3B0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08" name="Option Button 244" hidden="1">
                <a:extLst>
                  <a:ext uri="{63B3BB69-23CF-44E3-9099-C40C66FF867C}">
                    <a14:compatExt spid="_x0000_s241908"/>
                  </a:ext>
                  <a:ext uri="{FF2B5EF4-FFF2-40B4-BE49-F238E27FC236}">
                    <a16:creationId xmlns:a16="http://schemas.microsoft.com/office/drawing/2014/main" id="{00000000-0008-0000-0B00-0000F4B0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09" name="Group Box 245" hidden="1">
                <a:extLst>
                  <a:ext uri="{63B3BB69-23CF-44E3-9099-C40C66FF867C}">
                    <a14:compatExt spid="_x0000_s241909"/>
                  </a:ext>
                  <a:ext uri="{FF2B5EF4-FFF2-40B4-BE49-F238E27FC236}">
                    <a16:creationId xmlns:a16="http://schemas.microsoft.com/office/drawing/2014/main" id="{00000000-0008-0000-0B00-0000F5B00300}"/>
                  </a:ext>
                </a:extLst>
              </xdr:cNvPr>
              <xdr:cNvSpPr/>
            </xdr:nvSpPr>
            <xdr:spPr bwMode="auto">
              <a:xfrm>
                <a:off x="2995399" y="3846798"/>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1457</xdr:colOff>
          <xdr:row>130</xdr:row>
          <xdr:rowOff>0</xdr:rowOff>
        </xdr:from>
        <xdr:to>
          <xdr:col>8</xdr:col>
          <xdr:colOff>601</xdr:colOff>
          <xdr:row>131</xdr:row>
          <xdr:rowOff>0</xdr:rowOff>
        </xdr:to>
        <xdr:grpSp>
          <xdr:nvGrpSpPr>
            <xdr:cNvPr id="241947" name="Groupe 241946">
              <a:extLst>
                <a:ext uri="{FF2B5EF4-FFF2-40B4-BE49-F238E27FC236}">
                  <a16:creationId xmlns:a16="http://schemas.microsoft.com/office/drawing/2014/main" id="{00000000-0008-0000-0C00-00001BB10300}"/>
                </a:ext>
              </a:extLst>
            </xdr:cNvPr>
            <xdr:cNvGrpSpPr/>
          </xdr:nvGrpSpPr>
          <xdr:grpSpPr>
            <a:xfrm>
              <a:off x="4010749" y="91756523"/>
              <a:ext cx="1956898" cy="1641231"/>
              <a:chOff x="2994661" y="2201924"/>
              <a:chExt cx="1960968" cy="1646922"/>
            </a:xfrm>
          </xdr:grpSpPr>
          <xdr:sp macro="" textlink="">
            <xdr:nvSpPr>
              <xdr:cNvPr id="241945" name="Option Button 246" descr="Case d'option 47" hidden="1">
                <a:extLst>
                  <a:ext uri="{63B3BB69-23CF-44E3-9099-C40C66FF867C}">
                    <a14:compatExt spid="_x0000_s241910"/>
                  </a:ext>
                  <a:ext uri="{FF2B5EF4-FFF2-40B4-BE49-F238E27FC236}">
                    <a16:creationId xmlns:a16="http://schemas.microsoft.com/office/drawing/2014/main" id="{00000000-0008-0000-0B00-000019B1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11" name="Option Button 247" hidden="1">
                <a:extLst>
                  <a:ext uri="{63B3BB69-23CF-44E3-9099-C40C66FF867C}">
                    <a14:compatExt spid="_x0000_s241911"/>
                  </a:ext>
                  <a:ext uri="{FF2B5EF4-FFF2-40B4-BE49-F238E27FC236}">
                    <a16:creationId xmlns:a16="http://schemas.microsoft.com/office/drawing/2014/main" id="{00000000-0008-0000-0B00-0000F7B0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12" name="Option Button 248" hidden="1">
                <a:extLst>
                  <a:ext uri="{63B3BB69-23CF-44E3-9099-C40C66FF867C}">
                    <a14:compatExt spid="_x0000_s241912"/>
                  </a:ext>
                  <a:ext uri="{FF2B5EF4-FFF2-40B4-BE49-F238E27FC236}">
                    <a16:creationId xmlns:a16="http://schemas.microsoft.com/office/drawing/2014/main" id="{00000000-0008-0000-0B00-0000F8B0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13" name="Option Button 249" hidden="1">
                <a:extLst>
                  <a:ext uri="{63B3BB69-23CF-44E3-9099-C40C66FF867C}">
                    <a14:compatExt spid="_x0000_s241913"/>
                  </a:ext>
                  <a:ext uri="{FF2B5EF4-FFF2-40B4-BE49-F238E27FC236}">
                    <a16:creationId xmlns:a16="http://schemas.microsoft.com/office/drawing/2014/main" id="{00000000-0008-0000-0B00-0000F9B0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14" name="Group Box 250" hidden="1">
                <a:extLst>
                  <a:ext uri="{63B3BB69-23CF-44E3-9099-C40C66FF867C}">
                    <a14:compatExt spid="_x0000_s241914"/>
                  </a:ext>
                  <a:ext uri="{FF2B5EF4-FFF2-40B4-BE49-F238E27FC236}">
                    <a16:creationId xmlns:a16="http://schemas.microsoft.com/office/drawing/2014/main" id="{00000000-0008-0000-0B00-0000FAB00300}"/>
                  </a:ext>
                </a:extLst>
              </xdr:cNvPr>
              <xdr:cNvSpPr/>
            </xdr:nvSpPr>
            <xdr:spPr bwMode="auto">
              <a:xfrm>
                <a:off x="2994661" y="2201924"/>
                <a:ext cx="1960968"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129</xdr:row>
          <xdr:rowOff>3</xdr:rowOff>
        </xdr:from>
        <xdr:to>
          <xdr:col>8</xdr:col>
          <xdr:colOff>0</xdr:colOff>
          <xdr:row>130</xdr:row>
          <xdr:rowOff>3</xdr:rowOff>
        </xdr:to>
        <xdr:grpSp>
          <xdr:nvGrpSpPr>
            <xdr:cNvPr id="241949" name="Groupe 241948">
              <a:extLst>
                <a:ext uri="{FF2B5EF4-FFF2-40B4-BE49-F238E27FC236}">
                  <a16:creationId xmlns:a16="http://schemas.microsoft.com/office/drawing/2014/main" id="{00000000-0008-0000-0C00-00001DB10300}"/>
                </a:ext>
              </a:extLst>
            </xdr:cNvPr>
            <xdr:cNvGrpSpPr/>
          </xdr:nvGrpSpPr>
          <xdr:grpSpPr>
            <a:xfrm>
              <a:off x="4009292" y="90115295"/>
              <a:ext cx="1957754" cy="1641231"/>
              <a:chOff x="2995436" y="3846785"/>
              <a:chExt cx="1960181" cy="1644867"/>
            </a:xfrm>
          </xdr:grpSpPr>
          <xdr:sp macro="" textlink="">
            <xdr:nvSpPr>
              <xdr:cNvPr id="241915" name="Option Button 251" hidden="1">
                <a:extLst>
                  <a:ext uri="{63B3BB69-23CF-44E3-9099-C40C66FF867C}">
                    <a14:compatExt spid="_x0000_s241915"/>
                  </a:ext>
                  <a:ext uri="{FF2B5EF4-FFF2-40B4-BE49-F238E27FC236}">
                    <a16:creationId xmlns:a16="http://schemas.microsoft.com/office/drawing/2014/main" id="{00000000-0008-0000-0B00-0000FBB0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48" name="Option Button 252" hidden="1">
                <a:extLst>
                  <a:ext uri="{63B3BB69-23CF-44E3-9099-C40C66FF867C}">
                    <a14:compatExt spid="_x0000_s241916"/>
                  </a:ext>
                  <a:ext uri="{FF2B5EF4-FFF2-40B4-BE49-F238E27FC236}">
                    <a16:creationId xmlns:a16="http://schemas.microsoft.com/office/drawing/2014/main" id="{00000000-0008-0000-0B00-00001CB10300}"/>
                  </a:ext>
                </a:extLst>
              </xdr:cNvPr>
              <xdr:cNvSpPr/>
            </xdr:nvSpPr>
            <xdr:spPr bwMode="auto">
              <a:xfrm>
                <a:off x="3109748" y="424302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50" name="Option Button 253" hidden="1">
                <a:extLst>
                  <a:ext uri="{63B3BB69-23CF-44E3-9099-C40C66FF867C}">
                    <a14:compatExt spid="_x0000_s241917"/>
                  </a:ext>
                  <a:ext uri="{FF2B5EF4-FFF2-40B4-BE49-F238E27FC236}">
                    <a16:creationId xmlns:a16="http://schemas.microsoft.com/office/drawing/2014/main" id="{00000000-0008-0000-0B00-00001EB10300}"/>
                  </a:ext>
                </a:extLst>
              </xdr:cNvPr>
              <xdr:cNvSpPr/>
            </xdr:nvSpPr>
            <xdr:spPr bwMode="auto">
              <a:xfrm>
                <a:off x="3109748" y="448686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51" name="Option Button 254" hidden="1">
                <a:extLst>
                  <a:ext uri="{63B3BB69-23CF-44E3-9099-C40C66FF867C}">
                    <a14:compatExt spid="_x0000_s241918"/>
                  </a:ext>
                  <a:ext uri="{FF2B5EF4-FFF2-40B4-BE49-F238E27FC236}">
                    <a16:creationId xmlns:a16="http://schemas.microsoft.com/office/drawing/2014/main" id="{00000000-0008-0000-0B00-00001FB10300}"/>
                  </a:ext>
                </a:extLst>
              </xdr:cNvPr>
              <xdr:cNvSpPr/>
            </xdr:nvSpPr>
            <xdr:spPr bwMode="auto">
              <a:xfrm>
                <a:off x="3109748" y="4768806"/>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52" name="Group Box 255" hidden="1">
                <a:extLst>
                  <a:ext uri="{63B3BB69-23CF-44E3-9099-C40C66FF867C}">
                    <a14:compatExt spid="_x0000_s241919"/>
                  </a:ext>
                  <a:ext uri="{FF2B5EF4-FFF2-40B4-BE49-F238E27FC236}">
                    <a16:creationId xmlns:a16="http://schemas.microsoft.com/office/drawing/2014/main" id="{00000000-0008-0000-0B00-000020B10300}"/>
                  </a:ext>
                </a:extLst>
              </xdr:cNvPr>
              <xdr:cNvSpPr/>
            </xdr:nvSpPr>
            <xdr:spPr bwMode="auto">
              <a:xfrm>
                <a:off x="2995436" y="3846785"/>
                <a:ext cx="1960181" cy="164486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560</xdr:colOff>
          <xdr:row>128</xdr:row>
          <xdr:rowOff>307</xdr:rowOff>
        </xdr:from>
        <xdr:to>
          <xdr:col>8</xdr:col>
          <xdr:colOff>132</xdr:colOff>
          <xdr:row>129</xdr:row>
          <xdr:rowOff>2058</xdr:rowOff>
        </xdr:to>
        <xdr:grpSp>
          <xdr:nvGrpSpPr>
            <xdr:cNvPr id="241954" name="Groupe 241953">
              <a:extLst>
                <a:ext uri="{FF2B5EF4-FFF2-40B4-BE49-F238E27FC236}">
                  <a16:creationId xmlns:a16="http://schemas.microsoft.com/office/drawing/2014/main" id="{00000000-0008-0000-0C00-000022B10300}"/>
                </a:ext>
              </a:extLst>
            </xdr:cNvPr>
            <xdr:cNvGrpSpPr/>
          </xdr:nvGrpSpPr>
          <xdr:grpSpPr>
            <a:xfrm>
              <a:off x="4009852" y="88474369"/>
              <a:ext cx="1957326" cy="1642981"/>
              <a:chOff x="2994656" y="2201918"/>
              <a:chExt cx="1960972" cy="1646923"/>
            </a:xfrm>
          </xdr:grpSpPr>
          <xdr:sp macro="" textlink="">
            <xdr:nvSpPr>
              <xdr:cNvPr id="241953" name="Option Button 256" descr="Case d'option 47" hidden="1">
                <a:extLst>
                  <a:ext uri="{63B3BB69-23CF-44E3-9099-C40C66FF867C}">
                    <a14:compatExt spid="_x0000_s241920"/>
                  </a:ext>
                  <a:ext uri="{FF2B5EF4-FFF2-40B4-BE49-F238E27FC236}">
                    <a16:creationId xmlns:a16="http://schemas.microsoft.com/office/drawing/2014/main" id="{00000000-0008-0000-0B00-000021B10300}"/>
                  </a:ext>
                </a:extLst>
              </xdr:cNvPr>
              <xdr:cNvSpPr/>
            </xdr:nvSpPr>
            <xdr:spPr bwMode="auto">
              <a:xfrm>
                <a:off x="3102128" y="2270497"/>
                <a:ext cx="1394459"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55" name="Option Button 257" hidden="1">
                <a:extLst>
                  <a:ext uri="{63B3BB69-23CF-44E3-9099-C40C66FF867C}">
                    <a14:compatExt spid="_x0000_s241921"/>
                  </a:ext>
                  <a:ext uri="{FF2B5EF4-FFF2-40B4-BE49-F238E27FC236}">
                    <a16:creationId xmlns:a16="http://schemas.microsoft.com/office/drawing/2014/main" id="{00000000-0008-0000-0B00-000023B10300}"/>
                  </a:ext>
                </a:extLst>
              </xdr:cNvPr>
              <xdr:cNvSpPr/>
            </xdr:nvSpPr>
            <xdr:spPr bwMode="auto">
              <a:xfrm>
                <a:off x="3102128" y="2530464"/>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56" name="Option Button 258" hidden="1">
                <a:extLst>
                  <a:ext uri="{63B3BB69-23CF-44E3-9099-C40C66FF867C}">
                    <a14:compatExt spid="_x0000_s241922"/>
                  </a:ext>
                  <a:ext uri="{FF2B5EF4-FFF2-40B4-BE49-F238E27FC236}">
                    <a16:creationId xmlns:a16="http://schemas.microsoft.com/office/drawing/2014/main" id="{00000000-0008-0000-0B00-000024B10300}"/>
                  </a:ext>
                </a:extLst>
              </xdr:cNvPr>
              <xdr:cNvSpPr/>
            </xdr:nvSpPr>
            <xdr:spPr bwMode="auto">
              <a:xfrm>
                <a:off x="3102128" y="2798050"/>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57" name="Option Button 259" hidden="1">
                <a:extLst>
                  <a:ext uri="{63B3BB69-23CF-44E3-9099-C40C66FF867C}">
                    <a14:compatExt spid="_x0000_s241923"/>
                  </a:ext>
                  <a:ext uri="{FF2B5EF4-FFF2-40B4-BE49-F238E27FC236}">
                    <a16:creationId xmlns:a16="http://schemas.microsoft.com/office/drawing/2014/main" id="{00000000-0008-0000-0B00-000025B10300}"/>
                  </a:ext>
                </a:extLst>
              </xdr:cNvPr>
              <xdr:cNvSpPr/>
            </xdr:nvSpPr>
            <xdr:spPr bwMode="auto">
              <a:xfrm>
                <a:off x="3102128" y="3042778"/>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58" name="Group Box 260" hidden="1">
                <a:extLst>
                  <a:ext uri="{63B3BB69-23CF-44E3-9099-C40C66FF867C}">
                    <a14:compatExt spid="_x0000_s241924"/>
                  </a:ext>
                  <a:ext uri="{FF2B5EF4-FFF2-40B4-BE49-F238E27FC236}">
                    <a16:creationId xmlns:a16="http://schemas.microsoft.com/office/drawing/2014/main" id="{00000000-0008-0000-0B00-000026B10300}"/>
                  </a:ext>
                </a:extLst>
              </xdr:cNvPr>
              <xdr:cNvSpPr/>
            </xdr:nvSpPr>
            <xdr:spPr bwMode="auto">
              <a:xfrm>
                <a:off x="2994656" y="2201918"/>
                <a:ext cx="1960968" cy="164692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127</xdr:row>
          <xdr:rowOff>0</xdr:rowOff>
        </xdr:from>
        <xdr:to>
          <xdr:col>8</xdr:col>
          <xdr:colOff>0</xdr:colOff>
          <xdr:row>128</xdr:row>
          <xdr:rowOff>0</xdr:rowOff>
        </xdr:to>
        <xdr:grpSp>
          <xdr:nvGrpSpPr>
            <xdr:cNvPr id="241960" name="Groupe 241959">
              <a:extLst>
                <a:ext uri="{FF2B5EF4-FFF2-40B4-BE49-F238E27FC236}">
                  <a16:creationId xmlns:a16="http://schemas.microsoft.com/office/drawing/2014/main" id="{00000000-0008-0000-0C00-000028B10300}"/>
                </a:ext>
              </a:extLst>
            </xdr:cNvPr>
            <xdr:cNvGrpSpPr/>
          </xdr:nvGrpSpPr>
          <xdr:grpSpPr>
            <a:xfrm>
              <a:off x="4009292" y="86832831"/>
              <a:ext cx="1957754" cy="1641231"/>
              <a:chOff x="2994701" y="2201926"/>
              <a:chExt cx="1960969" cy="1646922"/>
            </a:xfrm>
          </xdr:grpSpPr>
          <xdr:sp macro="" textlink="">
            <xdr:nvSpPr>
              <xdr:cNvPr id="241959" name="Option Button 261" descr="Case d'option 47" hidden="1">
                <a:extLst>
                  <a:ext uri="{63B3BB69-23CF-44E3-9099-C40C66FF867C}">
                    <a14:compatExt spid="_x0000_s241925"/>
                  </a:ext>
                  <a:ext uri="{FF2B5EF4-FFF2-40B4-BE49-F238E27FC236}">
                    <a16:creationId xmlns:a16="http://schemas.microsoft.com/office/drawing/2014/main" id="{00000000-0008-0000-0B00-000027B10300}"/>
                  </a:ext>
                </a:extLst>
              </xdr:cNvPr>
              <xdr:cNvSpPr/>
            </xdr:nvSpPr>
            <xdr:spPr bwMode="auto">
              <a:xfrm>
                <a:off x="3102128" y="2270497"/>
                <a:ext cx="139445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61" name="Option Button 262" hidden="1">
                <a:extLst>
                  <a:ext uri="{63B3BB69-23CF-44E3-9099-C40C66FF867C}">
                    <a14:compatExt spid="_x0000_s241926"/>
                  </a:ext>
                  <a:ext uri="{FF2B5EF4-FFF2-40B4-BE49-F238E27FC236}">
                    <a16:creationId xmlns:a16="http://schemas.microsoft.com/office/drawing/2014/main" id="{00000000-0008-0000-0B00-000029B10300}"/>
                  </a:ext>
                </a:extLst>
              </xdr:cNvPr>
              <xdr:cNvSpPr/>
            </xdr:nvSpPr>
            <xdr:spPr bwMode="auto">
              <a:xfrm>
                <a:off x="3102128" y="2506717"/>
                <a:ext cx="18516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62" name="Option Button 263" hidden="1">
                <a:extLst>
                  <a:ext uri="{63B3BB69-23CF-44E3-9099-C40C66FF867C}">
                    <a14:compatExt spid="_x0000_s241927"/>
                  </a:ext>
                  <a:ext uri="{FF2B5EF4-FFF2-40B4-BE49-F238E27FC236}">
                    <a16:creationId xmlns:a16="http://schemas.microsoft.com/office/drawing/2014/main" id="{00000000-0008-0000-0B00-00002AB10300}"/>
                  </a:ext>
                </a:extLst>
              </xdr:cNvPr>
              <xdr:cNvSpPr/>
            </xdr:nvSpPr>
            <xdr:spPr bwMode="auto">
              <a:xfrm>
                <a:off x="3102128" y="2781037"/>
                <a:ext cx="185350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63" name="Option Button 264" hidden="1">
                <a:extLst>
                  <a:ext uri="{63B3BB69-23CF-44E3-9099-C40C66FF867C}">
                    <a14:compatExt spid="_x0000_s241928"/>
                  </a:ext>
                  <a:ext uri="{FF2B5EF4-FFF2-40B4-BE49-F238E27FC236}">
                    <a16:creationId xmlns:a16="http://schemas.microsoft.com/office/drawing/2014/main" id="{00000000-0008-0000-0B00-00002BB10300}"/>
                  </a:ext>
                </a:extLst>
              </xdr:cNvPr>
              <xdr:cNvSpPr/>
            </xdr:nvSpPr>
            <xdr:spPr bwMode="auto">
              <a:xfrm>
                <a:off x="3102128" y="3024877"/>
                <a:ext cx="830580"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64" name="Group Box 265" hidden="1">
                <a:extLst>
                  <a:ext uri="{63B3BB69-23CF-44E3-9099-C40C66FF867C}">
                    <a14:compatExt spid="_x0000_s241929"/>
                  </a:ext>
                  <a:ext uri="{FF2B5EF4-FFF2-40B4-BE49-F238E27FC236}">
                    <a16:creationId xmlns:a16="http://schemas.microsoft.com/office/drawing/2014/main" id="{00000000-0008-0000-0B00-00002CB10300}"/>
                  </a:ext>
                </a:extLst>
              </xdr:cNvPr>
              <xdr:cNvSpPr/>
            </xdr:nvSpPr>
            <xdr:spPr bwMode="auto">
              <a:xfrm>
                <a:off x="2994701" y="2201926"/>
                <a:ext cx="1960969" cy="164692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5</xdr:col>
      <xdr:colOff>0</xdr:colOff>
      <xdr:row>122</xdr:row>
      <xdr:rowOff>168796</xdr:rowOff>
    </xdr:from>
    <xdr:to>
      <xdr:col>5</xdr:col>
      <xdr:colOff>453183</xdr:colOff>
      <xdr:row>123</xdr:row>
      <xdr:rowOff>419165</xdr:rowOff>
    </xdr:to>
    <xdr:sp macro="" textlink="">
      <xdr:nvSpPr>
        <xdr:cNvPr id="241967" name="Ellipse 241966">
          <a:extLst>
            <a:ext uri="{FF2B5EF4-FFF2-40B4-BE49-F238E27FC236}">
              <a16:creationId xmlns:a16="http://schemas.microsoft.com/office/drawing/2014/main" id="{00000000-0008-0000-0C00-00002FB10300}"/>
            </a:ext>
          </a:extLst>
        </xdr:cNvPr>
        <xdr:cNvSpPr>
          <a:spLocks noChangeAspect="1"/>
        </xdr:cNvSpPr>
      </xdr:nvSpPr>
      <xdr:spPr>
        <a:xfrm>
          <a:off x="460375" y="17234421"/>
          <a:ext cx="453183" cy="440869"/>
        </a:xfrm>
        <a:prstGeom prst="ellipse">
          <a:avLst/>
        </a:prstGeom>
        <a:noFill/>
        <a:ln w="28575">
          <a:solidFill>
            <a:srgbClr val="203B7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600">
              <a:solidFill>
                <a:srgbClr val="203B7D"/>
              </a:solidFill>
            </a:rPr>
            <a:t>8</a:t>
          </a:r>
        </a:p>
      </xdr:txBody>
    </xdr:sp>
    <xdr:clientData/>
  </xdr:twoCellAnchor>
  <mc:AlternateContent xmlns:mc="http://schemas.openxmlformats.org/markup-compatibility/2006">
    <mc:Choice xmlns:a14="http://schemas.microsoft.com/office/drawing/2010/main" Requires="a14">
      <xdr:twoCellAnchor>
        <xdr:from>
          <xdr:col>7</xdr:col>
          <xdr:colOff>0</xdr:colOff>
          <xdr:row>125</xdr:row>
          <xdr:rowOff>0</xdr:rowOff>
        </xdr:from>
        <xdr:to>
          <xdr:col>8</xdr:col>
          <xdr:colOff>0</xdr:colOff>
          <xdr:row>126</xdr:row>
          <xdr:rowOff>0</xdr:rowOff>
        </xdr:to>
        <xdr:grpSp>
          <xdr:nvGrpSpPr>
            <xdr:cNvPr id="241968" name="Groupe 241967">
              <a:extLst>
                <a:ext uri="{FF2B5EF4-FFF2-40B4-BE49-F238E27FC236}">
                  <a16:creationId xmlns:a16="http://schemas.microsoft.com/office/drawing/2014/main" id="{00000000-0008-0000-0C00-000030B10300}"/>
                </a:ext>
              </a:extLst>
            </xdr:cNvPr>
            <xdr:cNvGrpSpPr/>
          </xdr:nvGrpSpPr>
          <xdr:grpSpPr>
            <a:xfrm>
              <a:off x="4009292" y="83327631"/>
              <a:ext cx="1957754" cy="1863969"/>
              <a:chOff x="2995436" y="3846783"/>
              <a:chExt cx="1960181" cy="1644869"/>
            </a:xfrm>
          </xdr:grpSpPr>
          <xdr:sp macro="" textlink="">
            <xdr:nvSpPr>
              <xdr:cNvPr id="241965" name="Option Button 267" hidden="1">
                <a:extLst>
                  <a:ext uri="{63B3BB69-23CF-44E3-9099-C40C66FF867C}">
                    <a14:compatExt spid="_x0000_s241931"/>
                  </a:ext>
                  <a:ext uri="{FF2B5EF4-FFF2-40B4-BE49-F238E27FC236}">
                    <a16:creationId xmlns:a16="http://schemas.microsoft.com/office/drawing/2014/main" id="{00000000-0008-0000-0B00-00002DB10300}"/>
                  </a:ext>
                </a:extLst>
              </xdr:cNvPr>
              <xdr:cNvSpPr/>
            </xdr:nvSpPr>
            <xdr:spPr bwMode="auto">
              <a:xfrm>
                <a:off x="3109748" y="3991566"/>
                <a:ext cx="1844040"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non respectées</a:t>
                </a:r>
              </a:p>
            </xdr:txBody>
          </xdr:sp>
          <xdr:sp macro="" textlink="">
            <xdr:nvSpPr>
              <xdr:cNvPr id="241966" name="Option Button 268" hidden="1">
                <a:extLst>
                  <a:ext uri="{63B3BB69-23CF-44E3-9099-C40C66FF867C}">
                    <a14:compatExt spid="_x0000_s241932"/>
                  </a:ext>
                  <a:ext uri="{FF2B5EF4-FFF2-40B4-BE49-F238E27FC236}">
                    <a16:creationId xmlns:a16="http://schemas.microsoft.com/office/drawing/2014/main" id="{00000000-0008-0000-0B00-00002EB10300}"/>
                  </a:ext>
                </a:extLst>
              </xdr:cNvPr>
              <xdr:cNvSpPr/>
            </xdr:nvSpPr>
            <xdr:spPr bwMode="auto">
              <a:xfrm>
                <a:off x="3109748" y="4221359"/>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partiellement respectées</a:t>
                </a:r>
              </a:p>
            </xdr:txBody>
          </xdr:sp>
          <xdr:sp macro="" textlink="">
            <xdr:nvSpPr>
              <xdr:cNvPr id="241969" name="Option Button 269" hidden="1">
                <a:extLst>
                  <a:ext uri="{63B3BB69-23CF-44E3-9099-C40C66FF867C}">
                    <a14:compatExt spid="_x0000_s241933"/>
                  </a:ext>
                  <a:ext uri="{FF2B5EF4-FFF2-40B4-BE49-F238E27FC236}">
                    <a16:creationId xmlns:a16="http://schemas.microsoft.com/office/drawing/2014/main" id="{00000000-0008-0000-0B00-000031B10300}"/>
                  </a:ext>
                </a:extLst>
              </xdr:cNvPr>
              <xdr:cNvSpPr/>
            </xdr:nvSpPr>
            <xdr:spPr bwMode="auto">
              <a:xfrm>
                <a:off x="3109748" y="4466392"/>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Exigences respectées</a:t>
                </a:r>
              </a:p>
            </xdr:txBody>
          </xdr:sp>
          <xdr:sp macro="" textlink="">
            <xdr:nvSpPr>
              <xdr:cNvPr id="241970" name="Option Button 270" hidden="1">
                <a:extLst>
                  <a:ext uri="{63B3BB69-23CF-44E3-9099-C40C66FF867C}">
                    <a14:compatExt spid="_x0000_s241934"/>
                  </a:ext>
                  <a:ext uri="{FF2B5EF4-FFF2-40B4-BE49-F238E27FC236}">
                    <a16:creationId xmlns:a16="http://schemas.microsoft.com/office/drawing/2014/main" id="{00000000-0008-0000-0B00-000032B10300}"/>
                  </a:ext>
                </a:extLst>
              </xdr:cNvPr>
              <xdr:cNvSpPr/>
            </xdr:nvSpPr>
            <xdr:spPr bwMode="auto">
              <a:xfrm>
                <a:off x="3109748" y="4711425"/>
                <a:ext cx="18440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800" b="0" i="0" u="none" strike="noStrike" baseline="0">
                    <a:solidFill>
                      <a:srgbClr val="000000"/>
                    </a:solidFill>
                    <a:latin typeface="Tahoma"/>
                    <a:ea typeface="Tahoma"/>
                    <a:cs typeface="Tahoma"/>
                  </a:rPr>
                  <a:t>Non évalué</a:t>
                </a:r>
              </a:p>
            </xdr:txBody>
          </xdr:sp>
          <xdr:sp macro="" textlink="">
            <xdr:nvSpPr>
              <xdr:cNvPr id="241971" name="Group Box 271" hidden="1">
                <a:extLst>
                  <a:ext uri="{63B3BB69-23CF-44E3-9099-C40C66FF867C}">
                    <a14:compatExt spid="_x0000_s241935"/>
                  </a:ext>
                  <a:ext uri="{FF2B5EF4-FFF2-40B4-BE49-F238E27FC236}">
                    <a16:creationId xmlns:a16="http://schemas.microsoft.com/office/drawing/2014/main" id="{00000000-0008-0000-0B00-000033B10300}"/>
                  </a:ext>
                </a:extLst>
              </xdr:cNvPr>
              <xdr:cNvSpPr/>
            </xdr:nvSpPr>
            <xdr:spPr bwMode="auto">
              <a:xfrm>
                <a:off x="2995436" y="3846783"/>
                <a:ext cx="1960181" cy="164486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9</xdr:col>
      <xdr:colOff>23446</xdr:colOff>
      <xdr:row>12</xdr:row>
      <xdr:rowOff>23446</xdr:rowOff>
    </xdr:from>
    <xdr:to>
      <xdr:col>9</xdr:col>
      <xdr:colOff>4572000</xdr:colOff>
      <xdr:row>12</xdr:row>
      <xdr:rowOff>1957754</xdr:rowOff>
    </xdr:to>
    <xdr:sp macro="" textlink="" fLocksText="0">
      <xdr:nvSpPr>
        <xdr:cNvPr id="241972" name="ZoneTexte 241971">
          <a:extLst>
            <a:ext uri="{FF2B5EF4-FFF2-40B4-BE49-F238E27FC236}">
              <a16:creationId xmlns:a16="http://schemas.microsoft.com/office/drawing/2014/main" id="{9E593848-44E8-4967-BB04-88346E1791A7}"/>
            </a:ext>
          </a:extLst>
        </xdr:cNvPr>
        <xdr:cNvSpPr txBox="1">
          <a:spLocks noChangeArrowheads="1"/>
        </xdr:cNvSpPr>
      </xdr:nvSpPr>
      <xdr:spPr bwMode="auto">
        <a:xfrm>
          <a:off x="7197969" y="5076092"/>
          <a:ext cx="4548554" cy="1934308"/>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28</xdr:row>
      <xdr:rowOff>23446</xdr:rowOff>
    </xdr:from>
    <xdr:to>
      <xdr:col>9</xdr:col>
      <xdr:colOff>4572000</xdr:colOff>
      <xdr:row>29</xdr:row>
      <xdr:rowOff>586</xdr:rowOff>
    </xdr:to>
    <xdr:sp macro="" textlink="" fLocksText="0">
      <xdr:nvSpPr>
        <xdr:cNvPr id="241973" name="ZoneTexte 241972">
          <a:extLst>
            <a:ext uri="{FF2B5EF4-FFF2-40B4-BE49-F238E27FC236}">
              <a16:creationId xmlns:a16="http://schemas.microsoft.com/office/drawing/2014/main" id="{52CE16EF-CCFC-4459-8CEA-16604F3D9430}"/>
            </a:ext>
          </a:extLst>
        </xdr:cNvPr>
        <xdr:cNvSpPr txBox="1">
          <a:spLocks noChangeArrowheads="1"/>
        </xdr:cNvSpPr>
      </xdr:nvSpPr>
      <xdr:spPr bwMode="auto">
        <a:xfrm>
          <a:off x="7197969" y="19518923"/>
          <a:ext cx="4548554"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44</xdr:row>
      <xdr:rowOff>23446</xdr:rowOff>
    </xdr:from>
    <xdr:to>
      <xdr:col>10</xdr:col>
      <xdr:colOff>0</xdr:colOff>
      <xdr:row>44</xdr:row>
      <xdr:rowOff>1899139</xdr:rowOff>
    </xdr:to>
    <xdr:sp macro="" textlink="" fLocksText="0">
      <xdr:nvSpPr>
        <xdr:cNvPr id="241974" name="ZoneTexte 241973">
          <a:extLst>
            <a:ext uri="{FF2B5EF4-FFF2-40B4-BE49-F238E27FC236}">
              <a16:creationId xmlns:a16="http://schemas.microsoft.com/office/drawing/2014/main" id="{7D0BE875-93AD-4F33-A93C-8508C112536E}"/>
            </a:ext>
          </a:extLst>
        </xdr:cNvPr>
        <xdr:cNvSpPr txBox="1">
          <a:spLocks noChangeArrowheads="1"/>
        </xdr:cNvSpPr>
      </xdr:nvSpPr>
      <xdr:spPr bwMode="auto">
        <a:xfrm>
          <a:off x="7197969" y="33891415"/>
          <a:ext cx="4560277" cy="187569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60</xdr:row>
      <xdr:rowOff>23446</xdr:rowOff>
    </xdr:from>
    <xdr:to>
      <xdr:col>9</xdr:col>
      <xdr:colOff>4572000</xdr:colOff>
      <xdr:row>61</xdr:row>
      <xdr:rowOff>586</xdr:rowOff>
    </xdr:to>
    <xdr:sp macro="" textlink="" fLocksText="0">
      <xdr:nvSpPr>
        <xdr:cNvPr id="241975" name="ZoneTexte 241974">
          <a:extLst>
            <a:ext uri="{FF2B5EF4-FFF2-40B4-BE49-F238E27FC236}">
              <a16:creationId xmlns:a16="http://schemas.microsoft.com/office/drawing/2014/main" id="{3A926242-77D8-41D6-BB75-B4936E8F6079}"/>
            </a:ext>
          </a:extLst>
        </xdr:cNvPr>
        <xdr:cNvSpPr txBox="1">
          <a:spLocks noChangeArrowheads="1"/>
        </xdr:cNvSpPr>
      </xdr:nvSpPr>
      <xdr:spPr bwMode="auto">
        <a:xfrm>
          <a:off x="7197969" y="41288677"/>
          <a:ext cx="4548554"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78</xdr:row>
      <xdr:rowOff>23447</xdr:rowOff>
    </xdr:from>
    <xdr:to>
      <xdr:col>9</xdr:col>
      <xdr:colOff>4572000</xdr:colOff>
      <xdr:row>78</xdr:row>
      <xdr:rowOff>1629509</xdr:rowOff>
    </xdr:to>
    <xdr:sp macro="" textlink="" fLocksText="0">
      <xdr:nvSpPr>
        <xdr:cNvPr id="241976" name="ZoneTexte 241975">
          <a:extLst>
            <a:ext uri="{FF2B5EF4-FFF2-40B4-BE49-F238E27FC236}">
              <a16:creationId xmlns:a16="http://schemas.microsoft.com/office/drawing/2014/main" id="{D2234685-4330-49D8-8271-331F6DD5C1F6}"/>
            </a:ext>
          </a:extLst>
        </xdr:cNvPr>
        <xdr:cNvSpPr txBox="1">
          <a:spLocks noChangeArrowheads="1"/>
        </xdr:cNvSpPr>
      </xdr:nvSpPr>
      <xdr:spPr bwMode="auto">
        <a:xfrm>
          <a:off x="7197969" y="53668247"/>
          <a:ext cx="4548554" cy="1606062"/>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94</xdr:row>
      <xdr:rowOff>23446</xdr:rowOff>
    </xdr:from>
    <xdr:to>
      <xdr:col>9</xdr:col>
      <xdr:colOff>4572000</xdr:colOff>
      <xdr:row>94</xdr:row>
      <xdr:rowOff>1863969</xdr:rowOff>
    </xdr:to>
    <xdr:sp macro="" textlink="" fLocksText="0">
      <xdr:nvSpPr>
        <xdr:cNvPr id="241977" name="ZoneTexte 241976">
          <a:extLst>
            <a:ext uri="{FF2B5EF4-FFF2-40B4-BE49-F238E27FC236}">
              <a16:creationId xmlns:a16="http://schemas.microsoft.com/office/drawing/2014/main" id="{AD0F3011-86F9-4C73-9ABC-7C7E616E785A}"/>
            </a:ext>
          </a:extLst>
        </xdr:cNvPr>
        <xdr:cNvSpPr txBox="1">
          <a:spLocks noChangeArrowheads="1"/>
        </xdr:cNvSpPr>
      </xdr:nvSpPr>
      <xdr:spPr bwMode="auto">
        <a:xfrm>
          <a:off x="7197969" y="64031446"/>
          <a:ext cx="4548554" cy="1840523"/>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110</xdr:row>
      <xdr:rowOff>23446</xdr:rowOff>
    </xdr:from>
    <xdr:to>
      <xdr:col>9</xdr:col>
      <xdr:colOff>4560277</xdr:colOff>
      <xdr:row>111</xdr:row>
      <xdr:rowOff>587</xdr:rowOff>
    </xdr:to>
    <xdr:sp macro="" textlink="" fLocksText="0">
      <xdr:nvSpPr>
        <xdr:cNvPr id="241978" name="ZoneTexte 241977">
          <a:extLst>
            <a:ext uri="{FF2B5EF4-FFF2-40B4-BE49-F238E27FC236}">
              <a16:creationId xmlns:a16="http://schemas.microsoft.com/office/drawing/2014/main" id="{60E2277B-A745-4A82-B72A-07CB3A3B78F3}"/>
            </a:ext>
          </a:extLst>
        </xdr:cNvPr>
        <xdr:cNvSpPr txBox="1">
          <a:spLocks noChangeArrowheads="1"/>
        </xdr:cNvSpPr>
      </xdr:nvSpPr>
      <xdr:spPr bwMode="auto">
        <a:xfrm>
          <a:off x="7197969" y="74629108"/>
          <a:ext cx="4536831"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twoCellAnchor>
    <xdr:from>
      <xdr:col>9</xdr:col>
      <xdr:colOff>23446</xdr:colOff>
      <xdr:row>126</xdr:row>
      <xdr:rowOff>23446</xdr:rowOff>
    </xdr:from>
    <xdr:to>
      <xdr:col>9</xdr:col>
      <xdr:colOff>4560277</xdr:colOff>
      <xdr:row>127</xdr:row>
      <xdr:rowOff>586</xdr:rowOff>
    </xdr:to>
    <xdr:sp macro="" textlink="" fLocksText="0">
      <xdr:nvSpPr>
        <xdr:cNvPr id="241979" name="ZoneTexte 241978">
          <a:extLst>
            <a:ext uri="{FF2B5EF4-FFF2-40B4-BE49-F238E27FC236}">
              <a16:creationId xmlns:a16="http://schemas.microsoft.com/office/drawing/2014/main" id="{685A5462-8107-4B00-8DA5-931490172478}"/>
            </a:ext>
          </a:extLst>
        </xdr:cNvPr>
        <xdr:cNvSpPr txBox="1">
          <a:spLocks noChangeArrowheads="1"/>
        </xdr:cNvSpPr>
      </xdr:nvSpPr>
      <xdr:spPr bwMode="auto">
        <a:xfrm>
          <a:off x="7197969" y="85215046"/>
          <a:ext cx="4536831" cy="1618371"/>
        </a:xfrm>
        <a:prstGeom prst="rect">
          <a:avLst/>
        </a:prstGeom>
        <a:solidFill>
          <a:srgbClr val="FFFFFF"/>
        </a:solidFill>
        <a:ln>
          <a:noFill/>
        </a:ln>
        <a:extLst>
          <a:ext uri="{91240B29-F687-4F45-9708-019B960494DF}">
            <a14:hiddenLine xmlns:a14="http://schemas.microsoft.com/office/drawing/2010/main" w="9525">
              <a:solidFill>
                <a:srgbClr val="BCBCBC"/>
              </a:solidFill>
              <a:miter lim="800000"/>
              <a:headEnd/>
              <a:tailEnd/>
            </a14:hiddenLine>
          </a:ext>
        </a:extLst>
      </xdr:spPr>
      <xdr:txBody>
        <a:bodyPr vertOverflow="clip" horzOverflow="clip"/>
        <a:lstStyle/>
        <a:p>
          <a:endParaRPr lang="fr-F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1030897</xdr:colOff>
      <xdr:row>20</xdr:row>
      <xdr:rowOff>273171</xdr:rowOff>
    </xdr:from>
    <xdr:to>
      <xdr:col>6</xdr:col>
      <xdr:colOff>4094772</xdr:colOff>
      <xdr:row>22</xdr:row>
      <xdr:rowOff>169315</xdr:rowOff>
    </xdr:to>
    <xdr:sp macro="[0]!CalculMaturiteVF" textlink="">
      <xdr:nvSpPr>
        <xdr:cNvPr id="2" name="Rectangle : coins arrondis 1">
          <a:extLst>
            <a:ext uri="{FF2B5EF4-FFF2-40B4-BE49-F238E27FC236}">
              <a16:creationId xmlns:a16="http://schemas.microsoft.com/office/drawing/2014/main" id="{00000000-0008-0000-0D00-000002000000}"/>
            </a:ext>
          </a:extLst>
        </xdr:cNvPr>
        <xdr:cNvSpPr/>
      </xdr:nvSpPr>
      <xdr:spPr>
        <a:xfrm>
          <a:off x="3574329" y="9530441"/>
          <a:ext cx="3063875" cy="658144"/>
        </a:xfrm>
        <a:prstGeom prst="roundRect">
          <a:avLst/>
        </a:prstGeom>
        <a:solidFill>
          <a:schemeClr val="accent1">
            <a:lumMod val="20000"/>
            <a:lumOff val="80000"/>
          </a:schemeClr>
        </a:solidFill>
        <a:ln w="28575">
          <a:solidFill>
            <a:srgbClr val="C00000"/>
          </a:solidFill>
        </a:ln>
        <a:effectLst>
          <a:glow rad="101600">
            <a:schemeClr val="bg1">
              <a:alpha val="40000"/>
            </a:schemeClr>
          </a:glow>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b="1">
              <a:solidFill>
                <a:srgbClr val="C00000"/>
              </a:solidFill>
              <a:effectLst/>
              <a:latin typeface="Aptos Light" panose="020B0004020202020204" pitchFamily="34" charset="0"/>
              <a:ea typeface="+mn-ea"/>
              <a:cs typeface="Arial" panose="020B0604020202020204" pitchFamily="34" charset="0"/>
            </a:rPr>
            <a:t>Calculer la</a:t>
          </a:r>
          <a:r>
            <a:rPr lang="fr-FR" sz="1800" b="1" baseline="0">
              <a:solidFill>
                <a:srgbClr val="C00000"/>
              </a:solidFill>
              <a:effectLst/>
              <a:latin typeface="Aptos Light" panose="020B0004020202020204" pitchFamily="34" charset="0"/>
              <a:ea typeface="+mn-ea"/>
              <a:cs typeface="Arial" panose="020B0604020202020204" pitchFamily="34" charset="0"/>
            </a:rPr>
            <a:t> m</a:t>
          </a:r>
          <a:r>
            <a:rPr lang="fr-FR" sz="1800" b="1">
              <a:solidFill>
                <a:srgbClr val="C00000"/>
              </a:solidFill>
              <a:effectLst/>
              <a:latin typeface="Aptos Light" panose="020B0004020202020204" pitchFamily="34" charset="0"/>
              <a:ea typeface="+mn-ea"/>
              <a:cs typeface="Arial" panose="020B0604020202020204" pitchFamily="34" charset="0"/>
            </a:rPr>
            <a:t>aturité</a:t>
          </a:r>
          <a:endParaRPr lang="fr-FR" sz="1800">
            <a:solidFill>
              <a:srgbClr val="C00000"/>
            </a:solidFill>
            <a:effectLst/>
            <a:latin typeface="Aptos Light" panose="020B0004020202020204" pitchFamily="34" charset="0"/>
            <a:cs typeface="Arial" panose="020B06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Gabrielle Le Bihan" id="{06D3DB85-FA01-4CB9-BBC6-8B62FBEE8782}" userId="ef598f20192d4674"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105" dT="2026-01-08T11:33:28.03" personId="{06D3DB85-FA01-4CB9-BBC6-8B62FBEE8782}" id="{5DCC42A8-99DD-44BF-87FD-3C19142D14A3}">
    <text>Erreur en page 47 : pas écrit dans le résumé</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73.xml"/><Relationship Id="rId117" Type="http://schemas.openxmlformats.org/officeDocument/2006/relationships/ctrlProp" Target="../ctrlProps/ctrlProp264.xml"/><Relationship Id="rId21" Type="http://schemas.openxmlformats.org/officeDocument/2006/relationships/ctrlProp" Target="../ctrlProps/ctrlProp168.xml"/><Relationship Id="rId42" Type="http://schemas.openxmlformats.org/officeDocument/2006/relationships/ctrlProp" Target="../ctrlProps/ctrlProp189.xml"/><Relationship Id="rId47" Type="http://schemas.openxmlformats.org/officeDocument/2006/relationships/ctrlProp" Target="../ctrlProps/ctrlProp194.xml"/><Relationship Id="rId63" Type="http://schemas.openxmlformats.org/officeDocument/2006/relationships/ctrlProp" Target="../ctrlProps/ctrlProp210.xml"/><Relationship Id="rId68" Type="http://schemas.openxmlformats.org/officeDocument/2006/relationships/ctrlProp" Target="../ctrlProps/ctrlProp215.xml"/><Relationship Id="rId84" Type="http://schemas.openxmlformats.org/officeDocument/2006/relationships/ctrlProp" Target="../ctrlProps/ctrlProp231.xml"/><Relationship Id="rId89" Type="http://schemas.openxmlformats.org/officeDocument/2006/relationships/ctrlProp" Target="../ctrlProps/ctrlProp236.xml"/><Relationship Id="rId112" Type="http://schemas.openxmlformats.org/officeDocument/2006/relationships/ctrlProp" Target="../ctrlProps/ctrlProp259.xml"/><Relationship Id="rId16" Type="http://schemas.openxmlformats.org/officeDocument/2006/relationships/ctrlProp" Target="../ctrlProps/ctrlProp163.xml"/><Relationship Id="rId107" Type="http://schemas.openxmlformats.org/officeDocument/2006/relationships/ctrlProp" Target="../ctrlProps/ctrlProp254.xml"/><Relationship Id="rId11" Type="http://schemas.openxmlformats.org/officeDocument/2006/relationships/ctrlProp" Target="../ctrlProps/ctrlProp158.xml"/><Relationship Id="rId32" Type="http://schemas.openxmlformats.org/officeDocument/2006/relationships/ctrlProp" Target="../ctrlProps/ctrlProp179.xml"/><Relationship Id="rId37" Type="http://schemas.openxmlformats.org/officeDocument/2006/relationships/ctrlProp" Target="../ctrlProps/ctrlProp184.xml"/><Relationship Id="rId53" Type="http://schemas.openxmlformats.org/officeDocument/2006/relationships/ctrlProp" Target="../ctrlProps/ctrlProp200.xml"/><Relationship Id="rId58" Type="http://schemas.openxmlformats.org/officeDocument/2006/relationships/ctrlProp" Target="../ctrlProps/ctrlProp205.xml"/><Relationship Id="rId74" Type="http://schemas.openxmlformats.org/officeDocument/2006/relationships/ctrlProp" Target="../ctrlProps/ctrlProp221.xml"/><Relationship Id="rId79" Type="http://schemas.openxmlformats.org/officeDocument/2006/relationships/ctrlProp" Target="../ctrlProps/ctrlProp226.xml"/><Relationship Id="rId102" Type="http://schemas.openxmlformats.org/officeDocument/2006/relationships/ctrlProp" Target="../ctrlProps/ctrlProp249.xml"/><Relationship Id="rId123" Type="http://schemas.openxmlformats.org/officeDocument/2006/relationships/ctrlProp" Target="../ctrlProps/ctrlProp270.xml"/><Relationship Id="rId128" Type="http://schemas.openxmlformats.org/officeDocument/2006/relationships/ctrlProp" Target="../ctrlProps/ctrlProp275.xml"/><Relationship Id="rId5" Type="http://schemas.openxmlformats.org/officeDocument/2006/relationships/ctrlProp" Target="../ctrlProps/ctrlProp152.xml"/><Relationship Id="rId90" Type="http://schemas.openxmlformats.org/officeDocument/2006/relationships/ctrlProp" Target="../ctrlProps/ctrlProp237.xml"/><Relationship Id="rId95" Type="http://schemas.openxmlformats.org/officeDocument/2006/relationships/ctrlProp" Target="../ctrlProps/ctrlProp242.xml"/><Relationship Id="rId22" Type="http://schemas.openxmlformats.org/officeDocument/2006/relationships/ctrlProp" Target="../ctrlProps/ctrlProp169.xml"/><Relationship Id="rId27" Type="http://schemas.openxmlformats.org/officeDocument/2006/relationships/ctrlProp" Target="../ctrlProps/ctrlProp174.xml"/><Relationship Id="rId43" Type="http://schemas.openxmlformats.org/officeDocument/2006/relationships/ctrlProp" Target="../ctrlProps/ctrlProp190.xml"/><Relationship Id="rId48" Type="http://schemas.openxmlformats.org/officeDocument/2006/relationships/ctrlProp" Target="../ctrlProps/ctrlProp195.xml"/><Relationship Id="rId64" Type="http://schemas.openxmlformats.org/officeDocument/2006/relationships/ctrlProp" Target="../ctrlProps/ctrlProp211.xml"/><Relationship Id="rId69" Type="http://schemas.openxmlformats.org/officeDocument/2006/relationships/ctrlProp" Target="../ctrlProps/ctrlProp216.xml"/><Relationship Id="rId113" Type="http://schemas.openxmlformats.org/officeDocument/2006/relationships/ctrlProp" Target="../ctrlProps/ctrlProp260.xml"/><Relationship Id="rId118" Type="http://schemas.openxmlformats.org/officeDocument/2006/relationships/ctrlProp" Target="../ctrlProps/ctrlProp265.xml"/><Relationship Id="rId80" Type="http://schemas.openxmlformats.org/officeDocument/2006/relationships/ctrlProp" Target="../ctrlProps/ctrlProp227.xml"/><Relationship Id="rId85" Type="http://schemas.openxmlformats.org/officeDocument/2006/relationships/ctrlProp" Target="../ctrlProps/ctrlProp232.xml"/><Relationship Id="rId12" Type="http://schemas.openxmlformats.org/officeDocument/2006/relationships/ctrlProp" Target="../ctrlProps/ctrlProp159.xml"/><Relationship Id="rId17" Type="http://schemas.openxmlformats.org/officeDocument/2006/relationships/ctrlProp" Target="../ctrlProps/ctrlProp164.xml"/><Relationship Id="rId33" Type="http://schemas.openxmlformats.org/officeDocument/2006/relationships/ctrlProp" Target="../ctrlProps/ctrlProp180.xml"/><Relationship Id="rId38" Type="http://schemas.openxmlformats.org/officeDocument/2006/relationships/ctrlProp" Target="../ctrlProps/ctrlProp185.xml"/><Relationship Id="rId59" Type="http://schemas.openxmlformats.org/officeDocument/2006/relationships/ctrlProp" Target="../ctrlProps/ctrlProp206.xml"/><Relationship Id="rId103" Type="http://schemas.openxmlformats.org/officeDocument/2006/relationships/ctrlProp" Target="../ctrlProps/ctrlProp250.xml"/><Relationship Id="rId108" Type="http://schemas.openxmlformats.org/officeDocument/2006/relationships/ctrlProp" Target="../ctrlProps/ctrlProp255.xml"/><Relationship Id="rId124" Type="http://schemas.openxmlformats.org/officeDocument/2006/relationships/ctrlProp" Target="../ctrlProps/ctrlProp271.xml"/><Relationship Id="rId54" Type="http://schemas.openxmlformats.org/officeDocument/2006/relationships/ctrlProp" Target="../ctrlProps/ctrlProp201.xml"/><Relationship Id="rId70" Type="http://schemas.openxmlformats.org/officeDocument/2006/relationships/ctrlProp" Target="../ctrlProps/ctrlProp217.xml"/><Relationship Id="rId75" Type="http://schemas.openxmlformats.org/officeDocument/2006/relationships/ctrlProp" Target="../ctrlProps/ctrlProp222.xml"/><Relationship Id="rId91" Type="http://schemas.openxmlformats.org/officeDocument/2006/relationships/ctrlProp" Target="../ctrlProps/ctrlProp238.xml"/><Relationship Id="rId96" Type="http://schemas.openxmlformats.org/officeDocument/2006/relationships/ctrlProp" Target="../ctrlProps/ctrlProp243.xml"/><Relationship Id="rId1" Type="http://schemas.openxmlformats.org/officeDocument/2006/relationships/drawing" Target="../drawings/drawing6.xml"/><Relationship Id="rId6" Type="http://schemas.openxmlformats.org/officeDocument/2006/relationships/ctrlProp" Target="../ctrlProps/ctrlProp153.xml"/><Relationship Id="rId23" Type="http://schemas.openxmlformats.org/officeDocument/2006/relationships/ctrlProp" Target="../ctrlProps/ctrlProp170.xml"/><Relationship Id="rId28" Type="http://schemas.openxmlformats.org/officeDocument/2006/relationships/ctrlProp" Target="../ctrlProps/ctrlProp175.xml"/><Relationship Id="rId49" Type="http://schemas.openxmlformats.org/officeDocument/2006/relationships/ctrlProp" Target="../ctrlProps/ctrlProp196.xml"/><Relationship Id="rId114" Type="http://schemas.openxmlformats.org/officeDocument/2006/relationships/ctrlProp" Target="../ctrlProps/ctrlProp261.xml"/><Relationship Id="rId119" Type="http://schemas.openxmlformats.org/officeDocument/2006/relationships/ctrlProp" Target="../ctrlProps/ctrlProp266.xml"/><Relationship Id="rId44" Type="http://schemas.openxmlformats.org/officeDocument/2006/relationships/ctrlProp" Target="../ctrlProps/ctrlProp191.xml"/><Relationship Id="rId60" Type="http://schemas.openxmlformats.org/officeDocument/2006/relationships/ctrlProp" Target="../ctrlProps/ctrlProp207.xml"/><Relationship Id="rId65" Type="http://schemas.openxmlformats.org/officeDocument/2006/relationships/ctrlProp" Target="../ctrlProps/ctrlProp212.xml"/><Relationship Id="rId81" Type="http://schemas.openxmlformats.org/officeDocument/2006/relationships/ctrlProp" Target="../ctrlProps/ctrlProp228.xml"/><Relationship Id="rId86" Type="http://schemas.openxmlformats.org/officeDocument/2006/relationships/ctrlProp" Target="../ctrlProps/ctrlProp233.xml"/><Relationship Id="rId13" Type="http://schemas.openxmlformats.org/officeDocument/2006/relationships/ctrlProp" Target="../ctrlProps/ctrlProp160.xml"/><Relationship Id="rId18" Type="http://schemas.openxmlformats.org/officeDocument/2006/relationships/ctrlProp" Target="../ctrlProps/ctrlProp165.xml"/><Relationship Id="rId39" Type="http://schemas.openxmlformats.org/officeDocument/2006/relationships/ctrlProp" Target="../ctrlProps/ctrlProp186.xml"/><Relationship Id="rId109" Type="http://schemas.openxmlformats.org/officeDocument/2006/relationships/ctrlProp" Target="../ctrlProps/ctrlProp256.xml"/><Relationship Id="rId34" Type="http://schemas.openxmlformats.org/officeDocument/2006/relationships/ctrlProp" Target="../ctrlProps/ctrlProp181.xml"/><Relationship Id="rId50" Type="http://schemas.openxmlformats.org/officeDocument/2006/relationships/ctrlProp" Target="../ctrlProps/ctrlProp197.xml"/><Relationship Id="rId55" Type="http://schemas.openxmlformats.org/officeDocument/2006/relationships/ctrlProp" Target="../ctrlProps/ctrlProp202.xml"/><Relationship Id="rId76" Type="http://schemas.openxmlformats.org/officeDocument/2006/relationships/ctrlProp" Target="../ctrlProps/ctrlProp223.xml"/><Relationship Id="rId97" Type="http://schemas.openxmlformats.org/officeDocument/2006/relationships/ctrlProp" Target="../ctrlProps/ctrlProp244.xml"/><Relationship Id="rId104" Type="http://schemas.openxmlformats.org/officeDocument/2006/relationships/ctrlProp" Target="../ctrlProps/ctrlProp251.xml"/><Relationship Id="rId120" Type="http://schemas.openxmlformats.org/officeDocument/2006/relationships/ctrlProp" Target="../ctrlProps/ctrlProp267.xml"/><Relationship Id="rId125" Type="http://schemas.openxmlformats.org/officeDocument/2006/relationships/ctrlProp" Target="../ctrlProps/ctrlProp272.xml"/><Relationship Id="rId7" Type="http://schemas.openxmlformats.org/officeDocument/2006/relationships/ctrlProp" Target="../ctrlProps/ctrlProp154.xml"/><Relationship Id="rId71" Type="http://schemas.openxmlformats.org/officeDocument/2006/relationships/ctrlProp" Target="../ctrlProps/ctrlProp218.xml"/><Relationship Id="rId92" Type="http://schemas.openxmlformats.org/officeDocument/2006/relationships/ctrlProp" Target="../ctrlProps/ctrlProp239.xml"/><Relationship Id="rId2" Type="http://schemas.openxmlformats.org/officeDocument/2006/relationships/vmlDrawing" Target="../drawings/vmlDrawing3.vml"/><Relationship Id="rId29" Type="http://schemas.openxmlformats.org/officeDocument/2006/relationships/ctrlProp" Target="../ctrlProps/ctrlProp176.xml"/><Relationship Id="rId24" Type="http://schemas.openxmlformats.org/officeDocument/2006/relationships/ctrlProp" Target="../ctrlProps/ctrlProp171.xml"/><Relationship Id="rId40" Type="http://schemas.openxmlformats.org/officeDocument/2006/relationships/ctrlProp" Target="../ctrlProps/ctrlProp187.xml"/><Relationship Id="rId45" Type="http://schemas.openxmlformats.org/officeDocument/2006/relationships/ctrlProp" Target="../ctrlProps/ctrlProp192.xml"/><Relationship Id="rId66" Type="http://schemas.openxmlformats.org/officeDocument/2006/relationships/ctrlProp" Target="../ctrlProps/ctrlProp213.xml"/><Relationship Id="rId87" Type="http://schemas.openxmlformats.org/officeDocument/2006/relationships/ctrlProp" Target="../ctrlProps/ctrlProp234.xml"/><Relationship Id="rId110" Type="http://schemas.openxmlformats.org/officeDocument/2006/relationships/ctrlProp" Target="../ctrlProps/ctrlProp257.xml"/><Relationship Id="rId115" Type="http://schemas.openxmlformats.org/officeDocument/2006/relationships/ctrlProp" Target="../ctrlProps/ctrlProp262.xml"/><Relationship Id="rId61" Type="http://schemas.openxmlformats.org/officeDocument/2006/relationships/ctrlProp" Target="../ctrlProps/ctrlProp208.xml"/><Relationship Id="rId82" Type="http://schemas.openxmlformats.org/officeDocument/2006/relationships/ctrlProp" Target="../ctrlProps/ctrlProp229.xml"/><Relationship Id="rId19" Type="http://schemas.openxmlformats.org/officeDocument/2006/relationships/ctrlProp" Target="../ctrlProps/ctrlProp166.xml"/><Relationship Id="rId14" Type="http://schemas.openxmlformats.org/officeDocument/2006/relationships/ctrlProp" Target="../ctrlProps/ctrlProp161.xml"/><Relationship Id="rId30" Type="http://schemas.openxmlformats.org/officeDocument/2006/relationships/ctrlProp" Target="../ctrlProps/ctrlProp177.xml"/><Relationship Id="rId35" Type="http://schemas.openxmlformats.org/officeDocument/2006/relationships/ctrlProp" Target="../ctrlProps/ctrlProp182.xml"/><Relationship Id="rId56" Type="http://schemas.openxmlformats.org/officeDocument/2006/relationships/ctrlProp" Target="../ctrlProps/ctrlProp203.xml"/><Relationship Id="rId77" Type="http://schemas.openxmlformats.org/officeDocument/2006/relationships/ctrlProp" Target="../ctrlProps/ctrlProp224.xml"/><Relationship Id="rId100" Type="http://schemas.openxmlformats.org/officeDocument/2006/relationships/ctrlProp" Target="../ctrlProps/ctrlProp247.xml"/><Relationship Id="rId105" Type="http://schemas.openxmlformats.org/officeDocument/2006/relationships/ctrlProp" Target="../ctrlProps/ctrlProp252.xml"/><Relationship Id="rId126" Type="http://schemas.openxmlformats.org/officeDocument/2006/relationships/ctrlProp" Target="../ctrlProps/ctrlProp273.xml"/><Relationship Id="rId8" Type="http://schemas.openxmlformats.org/officeDocument/2006/relationships/ctrlProp" Target="../ctrlProps/ctrlProp155.xml"/><Relationship Id="rId51" Type="http://schemas.openxmlformats.org/officeDocument/2006/relationships/ctrlProp" Target="../ctrlProps/ctrlProp198.xml"/><Relationship Id="rId72" Type="http://schemas.openxmlformats.org/officeDocument/2006/relationships/ctrlProp" Target="../ctrlProps/ctrlProp219.xml"/><Relationship Id="rId93" Type="http://schemas.openxmlformats.org/officeDocument/2006/relationships/ctrlProp" Target="../ctrlProps/ctrlProp240.xml"/><Relationship Id="rId98" Type="http://schemas.openxmlformats.org/officeDocument/2006/relationships/ctrlProp" Target="../ctrlProps/ctrlProp245.xml"/><Relationship Id="rId121" Type="http://schemas.openxmlformats.org/officeDocument/2006/relationships/ctrlProp" Target="../ctrlProps/ctrlProp268.xml"/><Relationship Id="rId3" Type="http://schemas.openxmlformats.org/officeDocument/2006/relationships/ctrlProp" Target="../ctrlProps/ctrlProp150.xml"/><Relationship Id="rId25" Type="http://schemas.openxmlformats.org/officeDocument/2006/relationships/ctrlProp" Target="../ctrlProps/ctrlProp172.xml"/><Relationship Id="rId46" Type="http://schemas.openxmlformats.org/officeDocument/2006/relationships/ctrlProp" Target="../ctrlProps/ctrlProp193.xml"/><Relationship Id="rId67" Type="http://schemas.openxmlformats.org/officeDocument/2006/relationships/ctrlProp" Target="../ctrlProps/ctrlProp214.xml"/><Relationship Id="rId116" Type="http://schemas.openxmlformats.org/officeDocument/2006/relationships/ctrlProp" Target="../ctrlProps/ctrlProp263.xml"/><Relationship Id="rId20" Type="http://schemas.openxmlformats.org/officeDocument/2006/relationships/ctrlProp" Target="../ctrlProps/ctrlProp167.xml"/><Relationship Id="rId41" Type="http://schemas.openxmlformats.org/officeDocument/2006/relationships/ctrlProp" Target="../ctrlProps/ctrlProp188.xml"/><Relationship Id="rId62" Type="http://schemas.openxmlformats.org/officeDocument/2006/relationships/ctrlProp" Target="../ctrlProps/ctrlProp209.xml"/><Relationship Id="rId83" Type="http://schemas.openxmlformats.org/officeDocument/2006/relationships/ctrlProp" Target="../ctrlProps/ctrlProp230.xml"/><Relationship Id="rId88" Type="http://schemas.openxmlformats.org/officeDocument/2006/relationships/ctrlProp" Target="../ctrlProps/ctrlProp235.xml"/><Relationship Id="rId111" Type="http://schemas.openxmlformats.org/officeDocument/2006/relationships/ctrlProp" Target="../ctrlProps/ctrlProp258.xml"/><Relationship Id="rId15" Type="http://schemas.openxmlformats.org/officeDocument/2006/relationships/ctrlProp" Target="../ctrlProps/ctrlProp162.xml"/><Relationship Id="rId36" Type="http://schemas.openxmlformats.org/officeDocument/2006/relationships/ctrlProp" Target="../ctrlProps/ctrlProp183.xml"/><Relationship Id="rId57" Type="http://schemas.openxmlformats.org/officeDocument/2006/relationships/ctrlProp" Target="../ctrlProps/ctrlProp204.xml"/><Relationship Id="rId106" Type="http://schemas.openxmlformats.org/officeDocument/2006/relationships/ctrlProp" Target="../ctrlProps/ctrlProp253.xml"/><Relationship Id="rId127" Type="http://schemas.openxmlformats.org/officeDocument/2006/relationships/ctrlProp" Target="../ctrlProps/ctrlProp274.xml"/><Relationship Id="rId10" Type="http://schemas.openxmlformats.org/officeDocument/2006/relationships/ctrlProp" Target="../ctrlProps/ctrlProp157.xml"/><Relationship Id="rId31" Type="http://schemas.openxmlformats.org/officeDocument/2006/relationships/ctrlProp" Target="../ctrlProps/ctrlProp178.xml"/><Relationship Id="rId52" Type="http://schemas.openxmlformats.org/officeDocument/2006/relationships/ctrlProp" Target="../ctrlProps/ctrlProp199.xml"/><Relationship Id="rId73" Type="http://schemas.openxmlformats.org/officeDocument/2006/relationships/ctrlProp" Target="../ctrlProps/ctrlProp220.xml"/><Relationship Id="rId78" Type="http://schemas.openxmlformats.org/officeDocument/2006/relationships/ctrlProp" Target="../ctrlProps/ctrlProp225.xml"/><Relationship Id="rId94" Type="http://schemas.openxmlformats.org/officeDocument/2006/relationships/ctrlProp" Target="../ctrlProps/ctrlProp241.xml"/><Relationship Id="rId99" Type="http://schemas.openxmlformats.org/officeDocument/2006/relationships/ctrlProp" Target="../ctrlProps/ctrlProp246.xml"/><Relationship Id="rId101" Type="http://schemas.openxmlformats.org/officeDocument/2006/relationships/ctrlProp" Target="../ctrlProps/ctrlProp248.xml"/><Relationship Id="rId122" Type="http://schemas.openxmlformats.org/officeDocument/2006/relationships/ctrlProp" Target="../ctrlProps/ctrlProp269.xml"/><Relationship Id="rId4" Type="http://schemas.openxmlformats.org/officeDocument/2006/relationships/ctrlProp" Target="../ctrlProps/ctrlProp151.xml"/><Relationship Id="rId9" Type="http://schemas.openxmlformats.org/officeDocument/2006/relationships/ctrlProp" Target="../ctrlProps/ctrlProp15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90.xml"/><Relationship Id="rId21" Type="http://schemas.openxmlformats.org/officeDocument/2006/relationships/ctrlProp" Target="../ctrlProps/ctrlProp294.xml"/><Relationship Id="rId42" Type="http://schemas.openxmlformats.org/officeDocument/2006/relationships/ctrlProp" Target="../ctrlProps/ctrlProp315.xml"/><Relationship Id="rId63" Type="http://schemas.openxmlformats.org/officeDocument/2006/relationships/ctrlProp" Target="../ctrlProps/ctrlProp336.xml"/><Relationship Id="rId84" Type="http://schemas.openxmlformats.org/officeDocument/2006/relationships/ctrlProp" Target="../ctrlProps/ctrlProp357.xml"/><Relationship Id="rId138" Type="http://schemas.openxmlformats.org/officeDocument/2006/relationships/ctrlProp" Target="../ctrlProps/ctrlProp411.xml"/><Relationship Id="rId159" Type="http://schemas.openxmlformats.org/officeDocument/2006/relationships/ctrlProp" Target="../ctrlProps/ctrlProp432.xml"/><Relationship Id="rId170" Type="http://schemas.openxmlformats.org/officeDocument/2006/relationships/ctrlProp" Target="../ctrlProps/ctrlProp443.xml"/><Relationship Id="rId191" Type="http://schemas.openxmlformats.org/officeDocument/2006/relationships/ctrlProp" Target="../ctrlProps/ctrlProp464.xml"/><Relationship Id="rId205" Type="http://schemas.openxmlformats.org/officeDocument/2006/relationships/ctrlProp" Target="../ctrlProps/ctrlProp478.xml"/><Relationship Id="rId226" Type="http://schemas.openxmlformats.org/officeDocument/2006/relationships/ctrlProp" Target="../ctrlProps/ctrlProp499.xml"/><Relationship Id="rId107" Type="http://schemas.openxmlformats.org/officeDocument/2006/relationships/ctrlProp" Target="../ctrlProps/ctrlProp380.xml"/><Relationship Id="rId11" Type="http://schemas.openxmlformats.org/officeDocument/2006/relationships/ctrlProp" Target="../ctrlProps/ctrlProp284.xml"/><Relationship Id="rId32" Type="http://schemas.openxmlformats.org/officeDocument/2006/relationships/ctrlProp" Target="../ctrlProps/ctrlProp305.xml"/><Relationship Id="rId53" Type="http://schemas.openxmlformats.org/officeDocument/2006/relationships/ctrlProp" Target="../ctrlProps/ctrlProp326.xml"/><Relationship Id="rId74" Type="http://schemas.openxmlformats.org/officeDocument/2006/relationships/ctrlProp" Target="../ctrlProps/ctrlProp347.xml"/><Relationship Id="rId128" Type="http://schemas.openxmlformats.org/officeDocument/2006/relationships/ctrlProp" Target="../ctrlProps/ctrlProp401.xml"/><Relationship Id="rId149" Type="http://schemas.openxmlformats.org/officeDocument/2006/relationships/ctrlProp" Target="../ctrlProps/ctrlProp422.xml"/><Relationship Id="rId5" Type="http://schemas.openxmlformats.org/officeDocument/2006/relationships/ctrlProp" Target="../ctrlProps/ctrlProp278.xml"/><Relationship Id="rId95" Type="http://schemas.openxmlformats.org/officeDocument/2006/relationships/ctrlProp" Target="../ctrlProps/ctrlProp368.xml"/><Relationship Id="rId160" Type="http://schemas.openxmlformats.org/officeDocument/2006/relationships/ctrlProp" Target="../ctrlProps/ctrlProp433.xml"/><Relationship Id="rId181" Type="http://schemas.openxmlformats.org/officeDocument/2006/relationships/ctrlProp" Target="../ctrlProps/ctrlProp454.xml"/><Relationship Id="rId216" Type="http://schemas.openxmlformats.org/officeDocument/2006/relationships/ctrlProp" Target="../ctrlProps/ctrlProp489.xml"/><Relationship Id="rId22" Type="http://schemas.openxmlformats.org/officeDocument/2006/relationships/ctrlProp" Target="../ctrlProps/ctrlProp295.xml"/><Relationship Id="rId43" Type="http://schemas.openxmlformats.org/officeDocument/2006/relationships/ctrlProp" Target="../ctrlProps/ctrlProp316.xml"/><Relationship Id="rId64" Type="http://schemas.openxmlformats.org/officeDocument/2006/relationships/ctrlProp" Target="../ctrlProps/ctrlProp337.xml"/><Relationship Id="rId118" Type="http://schemas.openxmlformats.org/officeDocument/2006/relationships/ctrlProp" Target="../ctrlProps/ctrlProp391.xml"/><Relationship Id="rId139" Type="http://schemas.openxmlformats.org/officeDocument/2006/relationships/ctrlProp" Target="../ctrlProps/ctrlProp412.xml"/><Relationship Id="rId85" Type="http://schemas.openxmlformats.org/officeDocument/2006/relationships/ctrlProp" Target="../ctrlProps/ctrlProp358.xml"/><Relationship Id="rId150" Type="http://schemas.openxmlformats.org/officeDocument/2006/relationships/ctrlProp" Target="../ctrlProps/ctrlProp423.xml"/><Relationship Id="rId171" Type="http://schemas.openxmlformats.org/officeDocument/2006/relationships/ctrlProp" Target="../ctrlProps/ctrlProp444.xml"/><Relationship Id="rId192" Type="http://schemas.openxmlformats.org/officeDocument/2006/relationships/ctrlProp" Target="../ctrlProps/ctrlProp465.xml"/><Relationship Id="rId206" Type="http://schemas.openxmlformats.org/officeDocument/2006/relationships/ctrlProp" Target="../ctrlProps/ctrlProp479.xml"/><Relationship Id="rId227" Type="http://schemas.openxmlformats.org/officeDocument/2006/relationships/ctrlProp" Target="../ctrlProps/ctrlProp500.xml"/><Relationship Id="rId12" Type="http://schemas.openxmlformats.org/officeDocument/2006/relationships/ctrlProp" Target="../ctrlProps/ctrlProp285.xml"/><Relationship Id="rId33" Type="http://schemas.openxmlformats.org/officeDocument/2006/relationships/ctrlProp" Target="../ctrlProps/ctrlProp306.xml"/><Relationship Id="rId108" Type="http://schemas.openxmlformats.org/officeDocument/2006/relationships/ctrlProp" Target="../ctrlProps/ctrlProp381.xml"/><Relationship Id="rId129" Type="http://schemas.openxmlformats.org/officeDocument/2006/relationships/ctrlProp" Target="../ctrlProps/ctrlProp402.xml"/><Relationship Id="rId54" Type="http://schemas.openxmlformats.org/officeDocument/2006/relationships/ctrlProp" Target="../ctrlProps/ctrlProp327.xml"/><Relationship Id="rId75" Type="http://schemas.openxmlformats.org/officeDocument/2006/relationships/ctrlProp" Target="../ctrlProps/ctrlProp348.xml"/><Relationship Id="rId96" Type="http://schemas.openxmlformats.org/officeDocument/2006/relationships/ctrlProp" Target="../ctrlProps/ctrlProp369.xml"/><Relationship Id="rId140" Type="http://schemas.openxmlformats.org/officeDocument/2006/relationships/ctrlProp" Target="../ctrlProps/ctrlProp413.xml"/><Relationship Id="rId161" Type="http://schemas.openxmlformats.org/officeDocument/2006/relationships/ctrlProp" Target="../ctrlProps/ctrlProp434.xml"/><Relationship Id="rId182" Type="http://schemas.openxmlformats.org/officeDocument/2006/relationships/ctrlProp" Target="../ctrlProps/ctrlProp455.xml"/><Relationship Id="rId217" Type="http://schemas.openxmlformats.org/officeDocument/2006/relationships/ctrlProp" Target="../ctrlProps/ctrlProp490.xml"/><Relationship Id="rId6" Type="http://schemas.openxmlformats.org/officeDocument/2006/relationships/ctrlProp" Target="../ctrlProps/ctrlProp279.xml"/><Relationship Id="rId23" Type="http://schemas.openxmlformats.org/officeDocument/2006/relationships/ctrlProp" Target="../ctrlProps/ctrlProp296.xml"/><Relationship Id="rId119" Type="http://schemas.openxmlformats.org/officeDocument/2006/relationships/ctrlProp" Target="../ctrlProps/ctrlProp392.xml"/><Relationship Id="rId44" Type="http://schemas.openxmlformats.org/officeDocument/2006/relationships/ctrlProp" Target="../ctrlProps/ctrlProp317.xml"/><Relationship Id="rId65" Type="http://schemas.openxmlformats.org/officeDocument/2006/relationships/ctrlProp" Target="../ctrlProps/ctrlProp338.xml"/><Relationship Id="rId86" Type="http://schemas.openxmlformats.org/officeDocument/2006/relationships/ctrlProp" Target="../ctrlProps/ctrlProp359.xml"/><Relationship Id="rId130" Type="http://schemas.openxmlformats.org/officeDocument/2006/relationships/ctrlProp" Target="../ctrlProps/ctrlProp403.xml"/><Relationship Id="rId151" Type="http://schemas.openxmlformats.org/officeDocument/2006/relationships/ctrlProp" Target="../ctrlProps/ctrlProp424.xml"/><Relationship Id="rId172" Type="http://schemas.openxmlformats.org/officeDocument/2006/relationships/ctrlProp" Target="../ctrlProps/ctrlProp445.xml"/><Relationship Id="rId193" Type="http://schemas.openxmlformats.org/officeDocument/2006/relationships/ctrlProp" Target="../ctrlProps/ctrlProp466.xml"/><Relationship Id="rId207" Type="http://schemas.openxmlformats.org/officeDocument/2006/relationships/ctrlProp" Target="../ctrlProps/ctrlProp480.xml"/><Relationship Id="rId228" Type="http://schemas.openxmlformats.org/officeDocument/2006/relationships/ctrlProp" Target="../ctrlProps/ctrlProp501.xml"/><Relationship Id="rId13" Type="http://schemas.openxmlformats.org/officeDocument/2006/relationships/ctrlProp" Target="../ctrlProps/ctrlProp286.xml"/><Relationship Id="rId109" Type="http://schemas.openxmlformats.org/officeDocument/2006/relationships/ctrlProp" Target="../ctrlProps/ctrlProp382.xml"/><Relationship Id="rId34" Type="http://schemas.openxmlformats.org/officeDocument/2006/relationships/ctrlProp" Target="../ctrlProps/ctrlProp307.xml"/><Relationship Id="rId55" Type="http://schemas.openxmlformats.org/officeDocument/2006/relationships/ctrlProp" Target="../ctrlProps/ctrlProp328.xml"/><Relationship Id="rId76" Type="http://schemas.openxmlformats.org/officeDocument/2006/relationships/ctrlProp" Target="../ctrlProps/ctrlProp349.xml"/><Relationship Id="rId97" Type="http://schemas.openxmlformats.org/officeDocument/2006/relationships/ctrlProp" Target="../ctrlProps/ctrlProp370.xml"/><Relationship Id="rId120" Type="http://schemas.openxmlformats.org/officeDocument/2006/relationships/ctrlProp" Target="../ctrlProps/ctrlProp393.xml"/><Relationship Id="rId141" Type="http://schemas.openxmlformats.org/officeDocument/2006/relationships/ctrlProp" Target="../ctrlProps/ctrlProp414.xml"/><Relationship Id="rId7" Type="http://schemas.openxmlformats.org/officeDocument/2006/relationships/ctrlProp" Target="../ctrlProps/ctrlProp280.xml"/><Relationship Id="rId162" Type="http://schemas.openxmlformats.org/officeDocument/2006/relationships/ctrlProp" Target="../ctrlProps/ctrlProp435.xml"/><Relationship Id="rId183" Type="http://schemas.openxmlformats.org/officeDocument/2006/relationships/ctrlProp" Target="../ctrlProps/ctrlProp456.xml"/><Relationship Id="rId218" Type="http://schemas.openxmlformats.org/officeDocument/2006/relationships/ctrlProp" Target="../ctrlProps/ctrlProp491.xml"/><Relationship Id="rId24" Type="http://schemas.openxmlformats.org/officeDocument/2006/relationships/ctrlProp" Target="../ctrlProps/ctrlProp297.xml"/><Relationship Id="rId45" Type="http://schemas.openxmlformats.org/officeDocument/2006/relationships/ctrlProp" Target="../ctrlProps/ctrlProp318.xml"/><Relationship Id="rId66" Type="http://schemas.openxmlformats.org/officeDocument/2006/relationships/ctrlProp" Target="../ctrlProps/ctrlProp339.xml"/><Relationship Id="rId87" Type="http://schemas.openxmlformats.org/officeDocument/2006/relationships/ctrlProp" Target="../ctrlProps/ctrlProp360.xml"/><Relationship Id="rId110" Type="http://schemas.openxmlformats.org/officeDocument/2006/relationships/ctrlProp" Target="../ctrlProps/ctrlProp383.xml"/><Relationship Id="rId131" Type="http://schemas.openxmlformats.org/officeDocument/2006/relationships/ctrlProp" Target="../ctrlProps/ctrlProp404.xml"/><Relationship Id="rId152" Type="http://schemas.openxmlformats.org/officeDocument/2006/relationships/ctrlProp" Target="../ctrlProps/ctrlProp425.xml"/><Relationship Id="rId173" Type="http://schemas.openxmlformats.org/officeDocument/2006/relationships/ctrlProp" Target="../ctrlProps/ctrlProp446.xml"/><Relationship Id="rId194" Type="http://schemas.openxmlformats.org/officeDocument/2006/relationships/ctrlProp" Target="../ctrlProps/ctrlProp467.xml"/><Relationship Id="rId208" Type="http://schemas.openxmlformats.org/officeDocument/2006/relationships/ctrlProp" Target="../ctrlProps/ctrlProp481.xml"/><Relationship Id="rId229" Type="http://schemas.openxmlformats.org/officeDocument/2006/relationships/ctrlProp" Target="../ctrlProps/ctrlProp502.xml"/><Relationship Id="rId14" Type="http://schemas.openxmlformats.org/officeDocument/2006/relationships/ctrlProp" Target="../ctrlProps/ctrlProp287.xml"/><Relationship Id="rId35" Type="http://schemas.openxmlformats.org/officeDocument/2006/relationships/ctrlProp" Target="../ctrlProps/ctrlProp308.xml"/><Relationship Id="rId56" Type="http://schemas.openxmlformats.org/officeDocument/2006/relationships/ctrlProp" Target="../ctrlProps/ctrlProp329.xml"/><Relationship Id="rId77" Type="http://schemas.openxmlformats.org/officeDocument/2006/relationships/ctrlProp" Target="../ctrlProps/ctrlProp350.xml"/><Relationship Id="rId100" Type="http://schemas.openxmlformats.org/officeDocument/2006/relationships/ctrlProp" Target="../ctrlProps/ctrlProp373.xml"/><Relationship Id="rId8" Type="http://schemas.openxmlformats.org/officeDocument/2006/relationships/ctrlProp" Target="../ctrlProps/ctrlProp281.xml"/><Relationship Id="rId98" Type="http://schemas.openxmlformats.org/officeDocument/2006/relationships/ctrlProp" Target="../ctrlProps/ctrlProp371.xml"/><Relationship Id="rId121" Type="http://schemas.openxmlformats.org/officeDocument/2006/relationships/ctrlProp" Target="../ctrlProps/ctrlProp394.xml"/><Relationship Id="rId142" Type="http://schemas.openxmlformats.org/officeDocument/2006/relationships/ctrlProp" Target="../ctrlProps/ctrlProp415.xml"/><Relationship Id="rId163" Type="http://schemas.openxmlformats.org/officeDocument/2006/relationships/ctrlProp" Target="../ctrlProps/ctrlProp436.xml"/><Relationship Id="rId184" Type="http://schemas.openxmlformats.org/officeDocument/2006/relationships/ctrlProp" Target="../ctrlProps/ctrlProp457.xml"/><Relationship Id="rId219" Type="http://schemas.openxmlformats.org/officeDocument/2006/relationships/ctrlProp" Target="../ctrlProps/ctrlProp492.xml"/><Relationship Id="rId230" Type="http://schemas.openxmlformats.org/officeDocument/2006/relationships/ctrlProp" Target="../ctrlProps/ctrlProp503.xml"/><Relationship Id="rId25" Type="http://schemas.openxmlformats.org/officeDocument/2006/relationships/ctrlProp" Target="../ctrlProps/ctrlProp298.xml"/><Relationship Id="rId46" Type="http://schemas.openxmlformats.org/officeDocument/2006/relationships/ctrlProp" Target="../ctrlProps/ctrlProp319.xml"/><Relationship Id="rId67" Type="http://schemas.openxmlformats.org/officeDocument/2006/relationships/ctrlProp" Target="../ctrlProps/ctrlProp340.xml"/><Relationship Id="rId116" Type="http://schemas.openxmlformats.org/officeDocument/2006/relationships/ctrlProp" Target="../ctrlProps/ctrlProp389.xml"/><Relationship Id="rId137" Type="http://schemas.openxmlformats.org/officeDocument/2006/relationships/ctrlProp" Target="../ctrlProps/ctrlProp410.xml"/><Relationship Id="rId158" Type="http://schemas.openxmlformats.org/officeDocument/2006/relationships/ctrlProp" Target="../ctrlProps/ctrlProp431.xml"/><Relationship Id="rId20" Type="http://schemas.openxmlformats.org/officeDocument/2006/relationships/ctrlProp" Target="../ctrlProps/ctrlProp293.xml"/><Relationship Id="rId41" Type="http://schemas.openxmlformats.org/officeDocument/2006/relationships/ctrlProp" Target="../ctrlProps/ctrlProp314.xml"/><Relationship Id="rId62" Type="http://schemas.openxmlformats.org/officeDocument/2006/relationships/ctrlProp" Target="../ctrlProps/ctrlProp335.xml"/><Relationship Id="rId83" Type="http://schemas.openxmlformats.org/officeDocument/2006/relationships/ctrlProp" Target="../ctrlProps/ctrlProp356.xml"/><Relationship Id="rId88" Type="http://schemas.openxmlformats.org/officeDocument/2006/relationships/ctrlProp" Target="../ctrlProps/ctrlProp361.xml"/><Relationship Id="rId111" Type="http://schemas.openxmlformats.org/officeDocument/2006/relationships/ctrlProp" Target="../ctrlProps/ctrlProp384.xml"/><Relationship Id="rId132" Type="http://schemas.openxmlformats.org/officeDocument/2006/relationships/ctrlProp" Target="../ctrlProps/ctrlProp405.xml"/><Relationship Id="rId153" Type="http://schemas.openxmlformats.org/officeDocument/2006/relationships/ctrlProp" Target="../ctrlProps/ctrlProp426.xml"/><Relationship Id="rId174" Type="http://schemas.openxmlformats.org/officeDocument/2006/relationships/ctrlProp" Target="../ctrlProps/ctrlProp447.xml"/><Relationship Id="rId179" Type="http://schemas.openxmlformats.org/officeDocument/2006/relationships/ctrlProp" Target="../ctrlProps/ctrlProp452.xml"/><Relationship Id="rId195" Type="http://schemas.openxmlformats.org/officeDocument/2006/relationships/ctrlProp" Target="../ctrlProps/ctrlProp468.xml"/><Relationship Id="rId209" Type="http://schemas.openxmlformats.org/officeDocument/2006/relationships/ctrlProp" Target="../ctrlProps/ctrlProp482.xml"/><Relationship Id="rId190" Type="http://schemas.openxmlformats.org/officeDocument/2006/relationships/ctrlProp" Target="../ctrlProps/ctrlProp463.xml"/><Relationship Id="rId204" Type="http://schemas.openxmlformats.org/officeDocument/2006/relationships/ctrlProp" Target="../ctrlProps/ctrlProp477.xml"/><Relationship Id="rId220" Type="http://schemas.openxmlformats.org/officeDocument/2006/relationships/ctrlProp" Target="../ctrlProps/ctrlProp493.xml"/><Relationship Id="rId225" Type="http://schemas.openxmlformats.org/officeDocument/2006/relationships/ctrlProp" Target="../ctrlProps/ctrlProp498.xml"/><Relationship Id="rId15" Type="http://schemas.openxmlformats.org/officeDocument/2006/relationships/ctrlProp" Target="../ctrlProps/ctrlProp288.xml"/><Relationship Id="rId36" Type="http://schemas.openxmlformats.org/officeDocument/2006/relationships/ctrlProp" Target="../ctrlProps/ctrlProp309.xml"/><Relationship Id="rId57" Type="http://schemas.openxmlformats.org/officeDocument/2006/relationships/ctrlProp" Target="../ctrlProps/ctrlProp330.xml"/><Relationship Id="rId106" Type="http://schemas.openxmlformats.org/officeDocument/2006/relationships/ctrlProp" Target="../ctrlProps/ctrlProp379.xml"/><Relationship Id="rId127" Type="http://schemas.openxmlformats.org/officeDocument/2006/relationships/ctrlProp" Target="../ctrlProps/ctrlProp400.xml"/><Relationship Id="rId10" Type="http://schemas.openxmlformats.org/officeDocument/2006/relationships/ctrlProp" Target="../ctrlProps/ctrlProp283.xml"/><Relationship Id="rId31" Type="http://schemas.openxmlformats.org/officeDocument/2006/relationships/ctrlProp" Target="../ctrlProps/ctrlProp304.xml"/><Relationship Id="rId52" Type="http://schemas.openxmlformats.org/officeDocument/2006/relationships/ctrlProp" Target="../ctrlProps/ctrlProp325.xml"/><Relationship Id="rId73" Type="http://schemas.openxmlformats.org/officeDocument/2006/relationships/ctrlProp" Target="../ctrlProps/ctrlProp346.xml"/><Relationship Id="rId78" Type="http://schemas.openxmlformats.org/officeDocument/2006/relationships/ctrlProp" Target="../ctrlProps/ctrlProp351.xml"/><Relationship Id="rId94" Type="http://schemas.openxmlformats.org/officeDocument/2006/relationships/ctrlProp" Target="../ctrlProps/ctrlProp367.xml"/><Relationship Id="rId99" Type="http://schemas.openxmlformats.org/officeDocument/2006/relationships/ctrlProp" Target="../ctrlProps/ctrlProp372.xml"/><Relationship Id="rId101" Type="http://schemas.openxmlformats.org/officeDocument/2006/relationships/ctrlProp" Target="../ctrlProps/ctrlProp374.xml"/><Relationship Id="rId122" Type="http://schemas.openxmlformats.org/officeDocument/2006/relationships/ctrlProp" Target="../ctrlProps/ctrlProp395.xml"/><Relationship Id="rId143" Type="http://schemas.openxmlformats.org/officeDocument/2006/relationships/ctrlProp" Target="../ctrlProps/ctrlProp416.xml"/><Relationship Id="rId148" Type="http://schemas.openxmlformats.org/officeDocument/2006/relationships/ctrlProp" Target="../ctrlProps/ctrlProp421.xml"/><Relationship Id="rId164" Type="http://schemas.openxmlformats.org/officeDocument/2006/relationships/ctrlProp" Target="../ctrlProps/ctrlProp437.xml"/><Relationship Id="rId169" Type="http://schemas.openxmlformats.org/officeDocument/2006/relationships/ctrlProp" Target="../ctrlProps/ctrlProp442.xml"/><Relationship Id="rId185" Type="http://schemas.openxmlformats.org/officeDocument/2006/relationships/ctrlProp" Target="../ctrlProps/ctrlProp458.xml"/><Relationship Id="rId4" Type="http://schemas.openxmlformats.org/officeDocument/2006/relationships/ctrlProp" Target="../ctrlProps/ctrlProp277.xml"/><Relationship Id="rId9" Type="http://schemas.openxmlformats.org/officeDocument/2006/relationships/ctrlProp" Target="../ctrlProps/ctrlProp282.xml"/><Relationship Id="rId180" Type="http://schemas.openxmlformats.org/officeDocument/2006/relationships/ctrlProp" Target="../ctrlProps/ctrlProp453.xml"/><Relationship Id="rId210" Type="http://schemas.openxmlformats.org/officeDocument/2006/relationships/ctrlProp" Target="../ctrlProps/ctrlProp483.xml"/><Relationship Id="rId215" Type="http://schemas.openxmlformats.org/officeDocument/2006/relationships/ctrlProp" Target="../ctrlProps/ctrlProp488.xml"/><Relationship Id="rId26" Type="http://schemas.openxmlformats.org/officeDocument/2006/relationships/ctrlProp" Target="../ctrlProps/ctrlProp299.xml"/><Relationship Id="rId47" Type="http://schemas.openxmlformats.org/officeDocument/2006/relationships/ctrlProp" Target="../ctrlProps/ctrlProp320.xml"/><Relationship Id="rId68" Type="http://schemas.openxmlformats.org/officeDocument/2006/relationships/ctrlProp" Target="../ctrlProps/ctrlProp341.xml"/><Relationship Id="rId89" Type="http://schemas.openxmlformats.org/officeDocument/2006/relationships/ctrlProp" Target="../ctrlProps/ctrlProp362.xml"/><Relationship Id="rId112" Type="http://schemas.openxmlformats.org/officeDocument/2006/relationships/ctrlProp" Target="../ctrlProps/ctrlProp385.xml"/><Relationship Id="rId133" Type="http://schemas.openxmlformats.org/officeDocument/2006/relationships/ctrlProp" Target="../ctrlProps/ctrlProp406.xml"/><Relationship Id="rId154" Type="http://schemas.openxmlformats.org/officeDocument/2006/relationships/ctrlProp" Target="../ctrlProps/ctrlProp427.xml"/><Relationship Id="rId175" Type="http://schemas.openxmlformats.org/officeDocument/2006/relationships/ctrlProp" Target="../ctrlProps/ctrlProp448.xml"/><Relationship Id="rId196" Type="http://schemas.openxmlformats.org/officeDocument/2006/relationships/ctrlProp" Target="../ctrlProps/ctrlProp469.xml"/><Relationship Id="rId200" Type="http://schemas.openxmlformats.org/officeDocument/2006/relationships/ctrlProp" Target="../ctrlProps/ctrlProp473.xml"/><Relationship Id="rId16" Type="http://schemas.openxmlformats.org/officeDocument/2006/relationships/ctrlProp" Target="../ctrlProps/ctrlProp289.xml"/><Relationship Id="rId221" Type="http://schemas.openxmlformats.org/officeDocument/2006/relationships/ctrlProp" Target="../ctrlProps/ctrlProp494.xml"/><Relationship Id="rId37" Type="http://schemas.openxmlformats.org/officeDocument/2006/relationships/ctrlProp" Target="../ctrlProps/ctrlProp310.xml"/><Relationship Id="rId58" Type="http://schemas.openxmlformats.org/officeDocument/2006/relationships/ctrlProp" Target="../ctrlProps/ctrlProp331.xml"/><Relationship Id="rId79" Type="http://schemas.openxmlformats.org/officeDocument/2006/relationships/ctrlProp" Target="../ctrlProps/ctrlProp352.xml"/><Relationship Id="rId102" Type="http://schemas.openxmlformats.org/officeDocument/2006/relationships/ctrlProp" Target="../ctrlProps/ctrlProp375.xml"/><Relationship Id="rId123" Type="http://schemas.openxmlformats.org/officeDocument/2006/relationships/ctrlProp" Target="../ctrlProps/ctrlProp396.xml"/><Relationship Id="rId144" Type="http://schemas.openxmlformats.org/officeDocument/2006/relationships/ctrlProp" Target="../ctrlProps/ctrlProp417.xml"/><Relationship Id="rId90" Type="http://schemas.openxmlformats.org/officeDocument/2006/relationships/ctrlProp" Target="../ctrlProps/ctrlProp363.xml"/><Relationship Id="rId165" Type="http://schemas.openxmlformats.org/officeDocument/2006/relationships/ctrlProp" Target="../ctrlProps/ctrlProp438.xml"/><Relationship Id="rId186" Type="http://schemas.openxmlformats.org/officeDocument/2006/relationships/ctrlProp" Target="../ctrlProps/ctrlProp459.xml"/><Relationship Id="rId211" Type="http://schemas.openxmlformats.org/officeDocument/2006/relationships/ctrlProp" Target="../ctrlProps/ctrlProp484.xml"/><Relationship Id="rId27" Type="http://schemas.openxmlformats.org/officeDocument/2006/relationships/ctrlProp" Target="../ctrlProps/ctrlProp300.xml"/><Relationship Id="rId48" Type="http://schemas.openxmlformats.org/officeDocument/2006/relationships/ctrlProp" Target="../ctrlProps/ctrlProp321.xml"/><Relationship Id="rId69" Type="http://schemas.openxmlformats.org/officeDocument/2006/relationships/ctrlProp" Target="../ctrlProps/ctrlProp342.xml"/><Relationship Id="rId113" Type="http://schemas.openxmlformats.org/officeDocument/2006/relationships/ctrlProp" Target="../ctrlProps/ctrlProp386.xml"/><Relationship Id="rId134" Type="http://schemas.openxmlformats.org/officeDocument/2006/relationships/ctrlProp" Target="../ctrlProps/ctrlProp407.xml"/><Relationship Id="rId80" Type="http://schemas.openxmlformats.org/officeDocument/2006/relationships/ctrlProp" Target="../ctrlProps/ctrlProp353.xml"/><Relationship Id="rId155" Type="http://schemas.openxmlformats.org/officeDocument/2006/relationships/ctrlProp" Target="../ctrlProps/ctrlProp428.xml"/><Relationship Id="rId176" Type="http://schemas.openxmlformats.org/officeDocument/2006/relationships/ctrlProp" Target="../ctrlProps/ctrlProp449.xml"/><Relationship Id="rId197" Type="http://schemas.openxmlformats.org/officeDocument/2006/relationships/ctrlProp" Target="../ctrlProps/ctrlProp470.xml"/><Relationship Id="rId201" Type="http://schemas.openxmlformats.org/officeDocument/2006/relationships/ctrlProp" Target="../ctrlProps/ctrlProp474.xml"/><Relationship Id="rId222" Type="http://schemas.openxmlformats.org/officeDocument/2006/relationships/ctrlProp" Target="../ctrlProps/ctrlProp495.xml"/><Relationship Id="rId17" Type="http://schemas.openxmlformats.org/officeDocument/2006/relationships/ctrlProp" Target="../ctrlProps/ctrlProp290.xml"/><Relationship Id="rId38" Type="http://schemas.openxmlformats.org/officeDocument/2006/relationships/ctrlProp" Target="../ctrlProps/ctrlProp311.xml"/><Relationship Id="rId59" Type="http://schemas.openxmlformats.org/officeDocument/2006/relationships/ctrlProp" Target="../ctrlProps/ctrlProp332.xml"/><Relationship Id="rId103" Type="http://schemas.openxmlformats.org/officeDocument/2006/relationships/ctrlProp" Target="../ctrlProps/ctrlProp376.xml"/><Relationship Id="rId124" Type="http://schemas.openxmlformats.org/officeDocument/2006/relationships/ctrlProp" Target="../ctrlProps/ctrlProp397.xml"/><Relationship Id="rId70" Type="http://schemas.openxmlformats.org/officeDocument/2006/relationships/ctrlProp" Target="../ctrlProps/ctrlProp343.xml"/><Relationship Id="rId91" Type="http://schemas.openxmlformats.org/officeDocument/2006/relationships/ctrlProp" Target="../ctrlProps/ctrlProp364.xml"/><Relationship Id="rId145" Type="http://schemas.openxmlformats.org/officeDocument/2006/relationships/ctrlProp" Target="../ctrlProps/ctrlProp418.xml"/><Relationship Id="rId166" Type="http://schemas.openxmlformats.org/officeDocument/2006/relationships/ctrlProp" Target="../ctrlProps/ctrlProp439.xml"/><Relationship Id="rId187" Type="http://schemas.openxmlformats.org/officeDocument/2006/relationships/ctrlProp" Target="../ctrlProps/ctrlProp460.xml"/><Relationship Id="rId1" Type="http://schemas.openxmlformats.org/officeDocument/2006/relationships/drawing" Target="../drawings/drawing8.xml"/><Relationship Id="rId212" Type="http://schemas.openxmlformats.org/officeDocument/2006/relationships/ctrlProp" Target="../ctrlProps/ctrlProp485.xml"/><Relationship Id="rId28" Type="http://schemas.openxmlformats.org/officeDocument/2006/relationships/ctrlProp" Target="../ctrlProps/ctrlProp301.xml"/><Relationship Id="rId49" Type="http://schemas.openxmlformats.org/officeDocument/2006/relationships/ctrlProp" Target="../ctrlProps/ctrlProp322.xml"/><Relationship Id="rId114" Type="http://schemas.openxmlformats.org/officeDocument/2006/relationships/ctrlProp" Target="../ctrlProps/ctrlProp387.xml"/><Relationship Id="rId60" Type="http://schemas.openxmlformats.org/officeDocument/2006/relationships/ctrlProp" Target="../ctrlProps/ctrlProp333.xml"/><Relationship Id="rId81" Type="http://schemas.openxmlformats.org/officeDocument/2006/relationships/ctrlProp" Target="../ctrlProps/ctrlProp354.xml"/><Relationship Id="rId135" Type="http://schemas.openxmlformats.org/officeDocument/2006/relationships/ctrlProp" Target="../ctrlProps/ctrlProp408.xml"/><Relationship Id="rId156" Type="http://schemas.openxmlformats.org/officeDocument/2006/relationships/ctrlProp" Target="../ctrlProps/ctrlProp429.xml"/><Relationship Id="rId177" Type="http://schemas.openxmlformats.org/officeDocument/2006/relationships/ctrlProp" Target="../ctrlProps/ctrlProp450.xml"/><Relationship Id="rId198" Type="http://schemas.openxmlformats.org/officeDocument/2006/relationships/ctrlProp" Target="../ctrlProps/ctrlProp471.xml"/><Relationship Id="rId202" Type="http://schemas.openxmlformats.org/officeDocument/2006/relationships/ctrlProp" Target="../ctrlProps/ctrlProp475.xml"/><Relationship Id="rId223" Type="http://schemas.openxmlformats.org/officeDocument/2006/relationships/ctrlProp" Target="../ctrlProps/ctrlProp496.xml"/><Relationship Id="rId18" Type="http://schemas.openxmlformats.org/officeDocument/2006/relationships/ctrlProp" Target="../ctrlProps/ctrlProp291.xml"/><Relationship Id="rId39" Type="http://schemas.openxmlformats.org/officeDocument/2006/relationships/ctrlProp" Target="../ctrlProps/ctrlProp312.xml"/><Relationship Id="rId50" Type="http://schemas.openxmlformats.org/officeDocument/2006/relationships/ctrlProp" Target="../ctrlProps/ctrlProp323.xml"/><Relationship Id="rId104" Type="http://schemas.openxmlformats.org/officeDocument/2006/relationships/ctrlProp" Target="../ctrlProps/ctrlProp377.xml"/><Relationship Id="rId125" Type="http://schemas.openxmlformats.org/officeDocument/2006/relationships/ctrlProp" Target="../ctrlProps/ctrlProp398.xml"/><Relationship Id="rId146" Type="http://schemas.openxmlformats.org/officeDocument/2006/relationships/ctrlProp" Target="../ctrlProps/ctrlProp419.xml"/><Relationship Id="rId167" Type="http://schemas.openxmlformats.org/officeDocument/2006/relationships/ctrlProp" Target="../ctrlProps/ctrlProp440.xml"/><Relationship Id="rId188" Type="http://schemas.openxmlformats.org/officeDocument/2006/relationships/ctrlProp" Target="../ctrlProps/ctrlProp461.xml"/><Relationship Id="rId71" Type="http://schemas.openxmlformats.org/officeDocument/2006/relationships/ctrlProp" Target="../ctrlProps/ctrlProp344.xml"/><Relationship Id="rId92" Type="http://schemas.openxmlformats.org/officeDocument/2006/relationships/ctrlProp" Target="../ctrlProps/ctrlProp365.xml"/><Relationship Id="rId213" Type="http://schemas.openxmlformats.org/officeDocument/2006/relationships/ctrlProp" Target="../ctrlProps/ctrlProp486.xml"/><Relationship Id="rId2" Type="http://schemas.openxmlformats.org/officeDocument/2006/relationships/vmlDrawing" Target="../drawings/vmlDrawing4.vml"/><Relationship Id="rId29" Type="http://schemas.openxmlformats.org/officeDocument/2006/relationships/ctrlProp" Target="../ctrlProps/ctrlProp302.xml"/><Relationship Id="rId40" Type="http://schemas.openxmlformats.org/officeDocument/2006/relationships/ctrlProp" Target="../ctrlProps/ctrlProp313.xml"/><Relationship Id="rId115" Type="http://schemas.openxmlformats.org/officeDocument/2006/relationships/ctrlProp" Target="../ctrlProps/ctrlProp388.xml"/><Relationship Id="rId136" Type="http://schemas.openxmlformats.org/officeDocument/2006/relationships/ctrlProp" Target="../ctrlProps/ctrlProp409.xml"/><Relationship Id="rId157" Type="http://schemas.openxmlformats.org/officeDocument/2006/relationships/ctrlProp" Target="../ctrlProps/ctrlProp430.xml"/><Relationship Id="rId178" Type="http://schemas.openxmlformats.org/officeDocument/2006/relationships/ctrlProp" Target="../ctrlProps/ctrlProp451.xml"/><Relationship Id="rId61" Type="http://schemas.openxmlformats.org/officeDocument/2006/relationships/ctrlProp" Target="../ctrlProps/ctrlProp334.xml"/><Relationship Id="rId82" Type="http://schemas.openxmlformats.org/officeDocument/2006/relationships/ctrlProp" Target="../ctrlProps/ctrlProp355.xml"/><Relationship Id="rId199" Type="http://schemas.openxmlformats.org/officeDocument/2006/relationships/ctrlProp" Target="../ctrlProps/ctrlProp472.xml"/><Relationship Id="rId203" Type="http://schemas.openxmlformats.org/officeDocument/2006/relationships/ctrlProp" Target="../ctrlProps/ctrlProp476.xml"/><Relationship Id="rId19" Type="http://schemas.openxmlformats.org/officeDocument/2006/relationships/ctrlProp" Target="../ctrlProps/ctrlProp292.xml"/><Relationship Id="rId224" Type="http://schemas.openxmlformats.org/officeDocument/2006/relationships/ctrlProp" Target="../ctrlProps/ctrlProp497.xml"/><Relationship Id="rId30" Type="http://schemas.openxmlformats.org/officeDocument/2006/relationships/ctrlProp" Target="../ctrlProps/ctrlProp303.xml"/><Relationship Id="rId105" Type="http://schemas.openxmlformats.org/officeDocument/2006/relationships/ctrlProp" Target="../ctrlProps/ctrlProp378.xml"/><Relationship Id="rId126" Type="http://schemas.openxmlformats.org/officeDocument/2006/relationships/ctrlProp" Target="../ctrlProps/ctrlProp399.xml"/><Relationship Id="rId147" Type="http://schemas.openxmlformats.org/officeDocument/2006/relationships/ctrlProp" Target="../ctrlProps/ctrlProp420.xml"/><Relationship Id="rId168" Type="http://schemas.openxmlformats.org/officeDocument/2006/relationships/ctrlProp" Target="../ctrlProps/ctrlProp441.xml"/><Relationship Id="rId51" Type="http://schemas.openxmlformats.org/officeDocument/2006/relationships/ctrlProp" Target="../ctrlProps/ctrlProp324.xml"/><Relationship Id="rId72" Type="http://schemas.openxmlformats.org/officeDocument/2006/relationships/ctrlProp" Target="../ctrlProps/ctrlProp345.xml"/><Relationship Id="rId93" Type="http://schemas.openxmlformats.org/officeDocument/2006/relationships/ctrlProp" Target="../ctrlProps/ctrlProp366.xml"/><Relationship Id="rId189" Type="http://schemas.openxmlformats.org/officeDocument/2006/relationships/ctrlProp" Target="../ctrlProps/ctrlProp462.xml"/><Relationship Id="rId3" Type="http://schemas.openxmlformats.org/officeDocument/2006/relationships/ctrlProp" Target="../ctrlProps/ctrlProp276.xml"/><Relationship Id="rId214" Type="http://schemas.openxmlformats.org/officeDocument/2006/relationships/ctrlProp" Target="../ctrlProps/ctrlProp48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527.xml"/><Relationship Id="rId21" Type="http://schemas.openxmlformats.org/officeDocument/2006/relationships/ctrlProp" Target="../ctrlProps/ctrlProp522.xml"/><Relationship Id="rId42" Type="http://schemas.openxmlformats.org/officeDocument/2006/relationships/ctrlProp" Target="../ctrlProps/ctrlProp543.xml"/><Relationship Id="rId47" Type="http://schemas.openxmlformats.org/officeDocument/2006/relationships/ctrlProp" Target="../ctrlProps/ctrlProp548.xml"/><Relationship Id="rId63" Type="http://schemas.openxmlformats.org/officeDocument/2006/relationships/ctrlProp" Target="../ctrlProps/ctrlProp564.xml"/><Relationship Id="rId68" Type="http://schemas.openxmlformats.org/officeDocument/2006/relationships/ctrlProp" Target="../ctrlProps/ctrlProp569.xml"/><Relationship Id="rId84" Type="http://schemas.openxmlformats.org/officeDocument/2006/relationships/ctrlProp" Target="../ctrlProps/ctrlProp585.xml"/><Relationship Id="rId89" Type="http://schemas.openxmlformats.org/officeDocument/2006/relationships/ctrlProp" Target="../ctrlProps/ctrlProp590.xml"/><Relationship Id="rId16" Type="http://schemas.openxmlformats.org/officeDocument/2006/relationships/ctrlProp" Target="../ctrlProps/ctrlProp517.xml"/><Relationship Id="rId11" Type="http://schemas.openxmlformats.org/officeDocument/2006/relationships/ctrlProp" Target="../ctrlProps/ctrlProp512.xml"/><Relationship Id="rId32" Type="http://schemas.openxmlformats.org/officeDocument/2006/relationships/ctrlProp" Target="../ctrlProps/ctrlProp533.xml"/><Relationship Id="rId37" Type="http://schemas.openxmlformats.org/officeDocument/2006/relationships/ctrlProp" Target="../ctrlProps/ctrlProp538.xml"/><Relationship Id="rId53" Type="http://schemas.openxmlformats.org/officeDocument/2006/relationships/ctrlProp" Target="../ctrlProps/ctrlProp554.xml"/><Relationship Id="rId58" Type="http://schemas.openxmlformats.org/officeDocument/2006/relationships/ctrlProp" Target="../ctrlProps/ctrlProp559.xml"/><Relationship Id="rId74" Type="http://schemas.openxmlformats.org/officeDocument/2006/relationships/ctrlProp" Target="../ctrlProps/ctrlProp575.xml"/><Relationship Id="rId79" Type="http://schemas.openxmlformats.org/officeDocument/2006/relationships/ctrlProp" Target="../ctrlProps/ctrlProp580.xml"/><Relationship Id="rId5" Type="http://schemas.openxmlformats.org/officeDocument/2006/relationships/ctrlProp" Target="../ctrlProps/ctrlProp506.xml"/><Relationship Id="rId90" Type="http://schemas.openxmlformats.org/officeDocument/2006/relationships/ctrlProp" Target="../ctrlProps/ctrlProp591.xml"/><Relationship Id="rId14" Type="http://schemas.openxmlformats.org/officeDocument/2006/relationships/ctrlProp" Target="../ctrlProps/ctrlProp515.xml"/><Relationship Id="rId22" Type="http://schemas.openxmlformats.org/officeDocument/2006/relationships/ctrlProp" Target="../ctrlProps/ctrlProp523.xml"/><Relationship Id="rId27" Type="http://schemas.openxmlformats.org/officeDocument/2006/relationships/ctrlProp" Target="../ctrlProps/ctrlProp528.xml"/><Relationship Id="rId30" Type="http://schemas.openxmlformats.org/officeDocument/2006/relationships/ctrlProp" Target="../ctrlProps/ctrlProp531.xml"/><Relationship Id="rId35" Type="http://schemas.openxmlformats.org/officeDocument/2006/relationships/ctrlProp" Target="../ctrlProps/ctrlProp536.xml"/><Relationship Id="rId43" Type="http://schemas.openxmlformats.org/officeDocument/2006/relationships/ctrlProp" Target="../ctrlProps/ctrlProp544.xml"/><Relationship Id="rId48" Type="http://schemas.openxmlformats.org/officeDocument/2006/relationships/ctrlProp" Target="../ctrlProps/ctrlProp549.xml"/><Relationship Id="rId56" Type="http://schemas.openxmlformats.org/officeDocument/2006/relationships/ctrlProp" Target="../ctrlProps/ctrlProp557.xml"/><Relationship Id="rId64" Type="http://schemas.openxmlformats.org/officeDocument/2006/relationships/ctrlProp" Target="../ctrlProps/ctrlProp565.xml"/><Relationship Id="rId69" Type="http://schemas.openxmlformats.org/officeDocument/2006/relationships/ctrlProp" Target="../ctrlProps/ctrlProp570.xml"/><Relationship Id="rId77" Type="http://schemas.openxmlformats.org/officeDocument/2006/relationships/ctrlProp" Target="../ctrlProps/ctrlProp578.xml"/><Relationship Id="rId8" Type="http://schemas.openxmlformats.org/officeDocument/2006/relationships/ctrlProp" Target="../ctrlProps/ctrlProp509.xml"/><Relationship Id="rId51" Type="http://schemas.openxmlformats.org/officeDocument/2006/relationships/ctrlProp" Target="../ctrlProps/ctrlProp552.xml"/><Relationship Id="rId72" Type="http://schemas.openxmlformats.org/officeDocument/2006/relationships/ctrlProp" Target="../ctrlProps/ctrlProp573.xml"/><Relationship Id="rId80" Type="http://schemas.openxmlformats.org/officeDocument/2006/relationships/ctrlProp" Target="../ctrlProps/ctrlProp581.xml"/><Relationship Id="rId85" Type="http://schemas.openxmlformats.org/officeDocument/2006/relationships/ctrlProp" Target="../ctrlProps/ctrlProp586.xml"/><Relationship Id="rId3" Type="http://schemas.openxmlformats.org/officeDocument/2006/relationships/ctrlProp" Target="../ctrlProps/ctrlProp504.xml"/><Relationship Id="rId12" Type="http://schemas.openxmlformats.org/officeDocument/2006/relationships/ctrlProp" Target="../ctrlProps/ctrlProp513.xml"/><Relationship Id="rId17" Type="http://schemas.openxmlformats.org/officeDocument/2006/relationships/ctrlProp" Target="../ctrlProps/ctrlProp518.xml"/><Relationship Id="rId25" Type="http://schemas.openxmlformats.org/officeDocument/2006/relationships/ctrlProp" Target="../ctrlProps/ctrlProp526.xml"/><Relationship Id="rId33" Type="http://schemas.openxmlformats.org/officeDocument/2006/relationships/ctrlProp" Target="../ctrlProps/ctrlProp534.xml"/><Relationship Id="rId38" Type="http://schemas.openxmlformats.org/officeDocument/2006/relationships/ctrlProp" Target="../ctrlProps/ctrlProp539.xml"/><Relationship Id="rId46" Type="http://schemas.openxmlformats.org/officeDocument/2006/relationships/ctrlProp" Target="../ctrlProps/ctrlProp547.xml"/><Relationship Id="rId59" Type="http://schemas.openxmlformats.org/officeDocument/2006/relationships/ctrlProp" Target="../ctrlProps/ctrlProp560.xml"/><Relationship Id="rId67" Type="http://schemas.openxmlformats.org/officeDocument/2006/relationships/ctrlProp" Target="../ctrlProps/ctrlProp568.xml"/><Relationship Id="rId20" Type="http://schemas.openxmlformats.org/officeDocument/2006/relationships/ctrlProp" Target="../ctrlProps/ctrlProp521.xml"/><Relationship Id="rId41" Type="http://schemas.openxmlformats.org/officeDocument/2006/relationships/ctrlProp" Target="../ctrlProps/ctrlProp542.xml"/><Relationship Id="rId54" Type="http://schemas.openxmlformats.org/officeDocument/2006/relationships/ctrlProp" Target="../ctrlProps/ctrlProp555.xml"/><Relationship Id="rId62" Type="http://schemas.openxmlformats.org/officeDocument/2006/relationships/ctrlProp" Target="../ctrlProps/ctrlProp563.xml"/><Relationship Id="rId70" Type="http://schemas.openxmlformats.org/officeDocument/2006/relationships/ctrlProp" Target="../ctrlProps/ctrlProp571.xml"/><Relationship Id="rId75" Type="http://schemas.openxmlformats.org/officeDocument/2006/relationships/ctrlProp" Target="../ctrlProps/ctrlProp576.xml"/><Relationship Id="rId83" Type="http://schemas.openxmlformats.org/officeDocument/2006/relationships/ctrlProp" Target="../ctrlProps/ctrlProp584.xml"/><Relationship Id="rId88" Type="http://schemas.openxmlformats.org/officeDocument/2006/relationships/ctrlProp" Target="../ctrlProps/ctrlProp589.xml"/><Relationship Id="rId91" Type="http://schemas.openxmlformats.org/officeDocument/2006/relationships/ctrlProp" Target="../ctrlProps/ctrlProp592.xml"/><Relationship Id="rId1" Type="http://schemas.openxmlformats.org/officeDocument/2006/relationships/drawing" Target="../drawings/drawing10.xml"/><Relationship Id="rId6" Type="http://schemas.openxmlformats.org/officeDocument/2006/relationships/ctrlProp" Target="../ctrlProps/ctrlProp507.xml"/><Relationship Id="rId15" Type="http://schemas.openxmlformats.org/officeDocument/2006/relationships/ctrlProp" Target="../ctrlProps/ctrlProp516.xml"/><Relationship Id="rId23" Type="http://schemas.openxmlformats.org/officeDocument/2006/relationships/ctrlProp" Target="../ctrlProps/ctrlProp524.xml"/><Relationship Id="rId28" Type="http://schemas.openxmlformats.org/officeDocument/2006/relationships/ctrlProp" Target="../ctrlProps/ctrlProp529.xml"/><Relationship Id="rId36" Type="http://schemas.openxmlformats.org/officeDocument/2006/relationships/ctrlProp" Target="../ctrlProps/ctrlProp537.xml"/><Relationship Id="rId49" Type="http://schemas.openxmlformats.org/officeDocument/2006/relationships/ctrlProp" Target="../ctrlProps/ctrlProp550.xml"/><Relationship Id="rId57" Type="http://schemas.openxmlformats.org/officeDocument/2006/relationships/ctrlProp" Target="../ctrlProps/ctrlProp558.xml"/><Relationship Id="rId10" Type="http://schemas.openxmlformats.org/officeDocument/2006/relationships/ctrlProp" Target="../ctrlProps/ctrlProp511.xml"/><Relationship Id="rId31" Type="http://schemas.openxmlformats.org/officeDocument/2006/relationships/ctrlProp" Target="../ctrlProps/ctrlProp532.xml"/><Relationship Id="rId44" Type="http://schemas.openxmlformats.org/officeDocument/2006/relationships/ctrlProp" Target="../ctrlProps/ctrlProp545.xml"/><Relationship Id="rId52" Type="http://schemas.openxmlformats.org/officeDocument/2006/relationships/ctrlProp" Target="../ctrlProps/ctrlProp553.xml"/><Relationship Id="rId60" Type="http://schemas.openxmlformats.org/officeDocument/2006/relationships/ctrlProp" Target="../ctrlProps/ctrlProp561.xml"/><Relationship Id="rId65" Type="http://schemas.openxmlformats.org/officeDocument/2006/relationships/ctrlProp" Target="../ctrlProps/ctrlProp566.xml"/><Relationship Id="rId73" Type="http://schemas.openxmlformats.org/officeDocument/2006/relationships/ctrlProp" Target="../ctrlProps/ctrlProp574.xml"/><Relationship Id="rId78" Type="http://schemas.openxmlformats.org/officeDocument/2006/relationships/ctrlProp" Target="../ctrlProps/ctrlProp579.xml"/><Relationship Id="rId81" Type="http://schemas.openxmlformats.org/officeDocument/2006/relationships/ctrlProp" Target="../ctrlProps/ctrlProp582.xml"/><Relationship Id="rId86" Type="http://schemas.openxmlformats.org/officeDocument/2006/relationships/ctrlProp" Target="../ctrlProps/ctrlProp587.xml"/><Relationship Id="rId4" Type="http://schemas.openxmlformats.org/officeDocument/2006/relationships/ctrlProp" Target="../ctrlProps/ctrlProp505.xml"/><Relationship Id="rId9" Type="http://schemas.openxmlformats.org/officeDocument/2006/relationships/ctrlProp" Target="../ctrlProps/ctrlProp510.xml"/><Relationship Id="rId13" Type="http://schemas.openxmlformats.org/officeDocument/2006/relationships/ctrlProp" Target="../ctrlProps/ctrlProp514.xml"/><Relationship Id="rId18" Type="http://schemas.openxmlformats.org/officeDocument/2006/relationships/ctrlProp" Target="../ctrlProps/ctrlProp519.xml"/><Relationship Id="rId39" Type="http://schemas.openxmlformats.org/officeDocument/2006/relationships/ctrlProp" Target="../ctrlProps/ctrlProp540.xml"/><Relationship Id="rId34" Type="http://schemas.openxmlformats.org/officeDocument/2006/relationships/ctrlProp" Target="../ctrlProps/ctrlProp535.xml"/><Relationship Id="rId50" Type="http://schemas.openxmlformats.org/officeDocument/2006/relationships/ctrlProp" Target="../ctrlProps/ctrlProp551.xml"/><Relationship Id="rId55" Type="http://schemas.openxmlformats.org/officeDocument/2006/relationships/ctrlProp" Target="../ctrlProps/ctrlProp556.xml"/><Relationship Id="rId76" Type="http://schemas.openxmlformats.org/officeDocument/2006/relationships/ctrlProp" Target="../ctrlProps/ctrlProp577.xml"/><Relationship Id="rId7" Type="http://schemas.openxmlformats.org/officeDocument/2006/relationships/ctrlProp" Target="../ctrlProps/ctrlProp508.xml"/><Relationship Id="rId71" Type="http://schemas.openxmlformats.org/officeDocument/2006/relationships/ctrlProp" Target="../ctrlProps/ctrlProp572.xml"/><Relationship Id="rId92" Type="http://schemas.openxmlformats.org/officeDocument/2006/relationships/ctrlProp" Target="../ctrlProps/ctrlProp593.xml"/><Relationship Id="rId2" Type="http://schemas.openxmlformats.org/officeDocument/2006/relationships/vmlDrawing" Target="../drawings/vmlDrawing5.vml"/><Relationship Id="rId29" Type="http://schemas.openxmlformats.org/officeDocument/2006/relationships/ctrlProp" Target="../ctrlProps/ctrlProp530.xml"/><Relationship Id="rId24" Type="http://schemas.openxmlformats.org/officeDocument/2006/relationships/ctrlProp" Target="../ctrlProps/ctrlProp525.xml"/><Relationship Id="rId40" Type="http://schemas.openxmlformats.org/officeDocument/2006/relationships/ctrlProp" Target="../ctrlProps/ctrlProp541.xml"/><Relationship Id="rId45" Type="http://schemas.openxmlformats.org/officeDocument/2006/relationships/ctrlProp" Target="../ctrlProps/ctrlProp546.xml"/><Relationship Id="rId66" Type="http://schemas.openxmlformats.org/officeDocument/2006/relationships/ctrlProp" Target="../ctrlProps/ctrlProp567.xml"/><Relationship Id="rId87" Type="http://schemas.openxmlformats.org/officeDocument/2006/relationships/ctrlProp" Target="../ctrlProps/ctrlProp588.xml"/><Relationship Id="rId61" Type="http://schemas.openxmlformats.org/officeDocument/2006/relationships/ctrlProp" Target="../ctrlProps/ctrlProp562.xml"/><Relationship Id="rId82" Type="http://schemas.openxmlformats.org/officeDocument/2006/relationships/ctrlProp" Target="../ctrlProps/ctrlProp583.xml"/><Relationship Id="rId19" Type="http://schemas.openxmlformats.org/officeDocument/2006/relationships/ctrlProp" Target="../ctrlProps/ctrlProp52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708.xml"/><Relationship Id="rId21" Type="http://schemas.openxmlformats.org/officeDocument/2006/relationships/ctrlProp" Target="../ctrlProps/ctrlProp612.xml"/><Relationship Id="rId42" Type="http://schemas.openxmlformats.org/officeDocument/2006/relationships/ctrlProp" Target="../ctrlProps/ctrlProp633.xml"/><Relationship Id="rId63" Type="http://schemas.openxmlformats.org/officeDocument/2006/relationships/ctrlProp" Target="../ctrlProps/ctrlProp654.xml"/><Relationship Id="rId84" Type="http://schemas.openxmlformats.org/officeDocument/2006/relationships/ctrlProp" Target="../ctrlProps/ctrlProp675.xml"/><Relationship Id="rId138" Type="http://schemas.openxmlformats.org/officeDocument/2006/relationships/ctrlProp" Target="../ctrlProps/ctrlProp729.xml"/><Relationship Id="rId107" Type="http://schemas.openxmlformats.org/officeDocument/2006/relationships/ctrlProp" Target="../ctrlProps/ctrlProp698.xml"/><Relationship Id="rId11" Type="http://schemas.openxmlformats.org/officeDocument/2006/relationships/ctrlProp" Target="../ctrlProps/ctrlProp602.xml"/><Relationship Id="rId32" Type="http://schemas.openxmlformats.org/officeDocument/2006/relationships/ctrlProp" Target="../ctrlProps/ctrlProp623.xml"/><Relationship Id="rId53" Type="http://schemas.openxmlformats.org/officeDocument/2006/relationships/ctrlProp" Target="../ctrlProps/ctrlProp644.xml"/><Relationship Id="rId74" Type="http://schemas.openxmlformats.org/officeDocument/2006/relationships/ctrlProp" Target="../ctrlProps/ctrlProp665.xml"/><Relationship Id="rId128" Type="http://schemas.openxmlformats.org/officeDocument/2006/relationships/ctrlProp" Target="../ctrlProps/ctrlProp719.xml"/><Relationship Id="rId149" Type="http://schemas.openxmlformats.org/officeDocument/2006/relationships/ctrlProp" Target="../ctrlProps/ctrlProp740.xml"/><Relationship Id="rId5" Type="http://schemas.openxmlformats.org/officeDocument/2006/relationships/ctrlProp" Target="../ctrlProps/ctrlProp596.xml"/><Relationship Id="rId95" Type="http://schemas.openxmlformats.org/officeDocument/2006/relationships/ctrlProp" Target="../ctrlProps/ctrlProp686.xml"/><Relationship Id="rId22" Type="http://schemas.openxmlformats.org/officeDocument/2006/relationships/ctrlProp" Target="../ctrlProps/ctrlProp613.xml"/><Relationship Id="rId27" Type="http://schemas.openxmlformats.org/officeDocument/2006/relationships/ctrlProp" Target="../ctrlProps/ctrlProp618.xml"/><Relationship Id="rId43" Type="http://schemas.openxmlformats.org/officeDocument/2006/relationships/ctrlProp" Target="../ctrlProps/ctrlProp634.xml"/><Relationship Id="rId48" Type="http://schemas.openxmlformats.org/officeDocument/2006/relationships/ctrlProp" Target="../ctrlProps/ctrlProp639.xml"/><Relationship Id="rId64" Type="http://schemas.openxmlformats.org/officeDocument/2006/relationships/ctrlProp" Target="../ctrlProps/ctrlProp655.xml"/><Relationship Id="rId69" Type="http://schemas.openxmlformats.org/officeDocument/2006/relationships/ctrlProp" Target="../ctrlProps/ctrlProp660.xml"/><Relationship Id="rId113" Type="http://schemas.openxmlformats.org/officeDocument/2006/relationships/ctrlProp" Target="../ctrlProps/ctrlProp704.xml"/><Relationship Id="rId118" Type="http://schemas.openxmlformats.org/officeDocument/2006/relationships/ctrlProp" Target="../ctrlProps/ctrlProp709.xml"/><Relationship Id="rId134" Type="http://schemas.openxmlformats.org/officeDocument/2006/relationships/ctrlProp" Target="../ctrlProps/ctrlProp725.xml"/><Relationship Id="rId139" Type="http://schemas.openxmlformats.org/officeDocument/2006/relationships/ctrlProp" Target="../ctrlProps/ctrlProp730.xml"/><Relationship Id="rId80" Type="http://schemas.openxmlformats.org/officeDocument/2006/relationships/ctrlProp" Target="../ctrlProps/ctrlProp671.xml"/><Relationship Id="rId85" Type="http://schemas.openxmlformats.org/officeDocument/2006/relationships/ctrlProp" Target="../ctrlProps/ctrlProp676.xml"/><Relationship Id="rId12" Type="http://schemas.openxmlformats.org/officeDocument/2006/relationships/ctrlProp" Target="../ctrlProps/ctrlProp603.xml"/><Relationship Id="rId17" Type="http://schemas.openxmlformats.org/officeDocument/2006/relationships/ctrlProp" Target="../ctrlProps/ctrlProp608.xml"/><Relationship Id="rId33" Type="http://schemas.openxmlformats.org/officeDocument/2006/relationships/ctrlProp" Target="../ctrlProps/ctrlProp624.xml"/><Relationship Id="rId38" Type="http://schemas.openxmlformats.org/officeDocument/2006/relationships/ctrlProp" Target="../ctrlProps/ctrlProp629.xml"/><Relationship Id="rId59" Type="http://schemas.openxmlformats.org/officeDocument/2006/relationships/ctrlProp" Target="../ctrlProps/ctrlProp650.xml"/><Relationship Id="rId103" Type="http://schemas.openxmlformats.org/officeDocument/2006/relationships/ctrlProp" Target="../ctrlProps/ctrlProp694.xml"/><Relationship Id="rId108" Type="http://schemas.openxmlformats.org/officeDocument/2006/relationships/ctrlProp" Target="../ctrlProps/ctrlProp699.xml"/><Relationship Id="rId124" Type="http://schemas.openxmlformats.org/officeDocument/2006/relationships/ctrlProp" Target="../ctrlProps/ctrlProp715.xml"/><Relationship Id="rId129" Type="http://schemas.openxmlformats.org/officeDocument/2006/relationships/ctrlProp" Target="../ctrlProps/ctrlProp720.xml"/><Relationship Id="rId54" Type="http://schemas.openxmlformats.org/officeDocument/2006/relationships/ctrlProp" Target="../ctrlProps/ctrlProp645.xml"/><Relationship Id="rId70" Type="http://schemas.openxmlformats.org/officeDocument/2006/relationships/ctrlProp" Target="../ctrlProps/ctrlProp661.xml"/><Relationship Id="rId75" Type="http://schemas.openxmlformats.org/officeDocument/2006/relationships/ctrlProp" Target="../ctrlProps/ctrlProp666.xml"/><Relationship Id="rId91" Type="http://schemas.openxmlformats.org/officeDocument/2006/relationships/ctrlProp" Target="../ctrlProps/ctrlProp682.xml"/><Relationship Id="rId96" Type="http://schemas.openxmlformats.org/officeDocument/2006/relationships/ctrlProp" Target="../ctrlProps/ctrlProp687.xml"/><Relationship Id="rId140" Type="http://schemas.openxmlformats.org/officeDocument/2006/relationships/ctrlProp" Target="../ctrlProps/ctrlProp731.xml"/><Relationship Id="rId145" Type="http://schemas.openxmlformats.org/officeDocument/2006/relationships/ctrlProp" Target="../ctrlProps/ctrlProp736.xml"/><Relationship Id="rId1" Type="http://schemas.openxmlformats.org/officeDocument/2006/relationships/drawing" Target="../drawings/drawing12.xml"/><Relationship Id="rId6" Type="http://schemas.openxmlformats.org/officeDocument/2006/relationships/ctrlProp" Target="../ctrlProps/ctrlProp597.xml"/><Relationship Id="rId23" Type="http://schemas.openxmlformats.org/officeDocument/2006/relationships/ctrlProp" Target="../ctrlProps/ctrlProp614.xml"/><Relationship Id="rId28" Type="http://schemas.openxmlformats.org/officeDocument/2006/relationships/ctrlProp" Target="../ctrlProps/ctrlProp619.xml"/><Relationship Id="rId49" Type="http://schemas.openxmlformats.org/officeDocument/2006/relationships/ctrlProp" Target="../ctrlProps/ctrlProp640.xml"/><Relationship Id="rId114" Type="http://schemas.openxmlformats.org/officeDocument/2006/relationships/ctrlProp" Target="../ctrlProps/ctrlProp705.xml"/><Relationship Id="rId119" Type="http://schemas.openxmlformats.org/officeDocument/2006/relationships/ctrlProp" Target="../ctrlProps/ctrlProp710.xml"/><Relationship Id="rId44" Type="http://schemas.openxmlformats.org/officeDocument/2006/relationships/ctrlProp" Target="../ctrlProps/ctrlProp635.xml"/><Relationship Id="rId60" Type="http://schemas.openxmlformats.org/officeDocument/2006/relationships/ctrlProp" Target="../ctrlProps/ctrlProp651.xml"/><Relationship Id="rId65" Type="http://schemas.openxmlformats.org/officeDocument/2006/relationships/ctrlProp" Target="../ctrlProps/ctrlProp656.xml"/><Relationship Id="rId81" Type="http://schemas.openxmlformats.org/officeDocument/2006/relationships/ctrlProp" Target="../ctrlProps/ctrlProp672.xml"/><Relationship Id="rId86" Type="http://schemas.openxmlformats.org/officeDocument/2006/relationships/ctrlProp" Target="../ctrlProps/ctrlProp677.xml"/><Relationship Id="rId130" Type="http://schemas.openxmlformats.org/officeDocument/2006/relationships/ctrlProp" Target="../ctrlProps/ctrlProp721.xml"/><Relationship Id="rId135" Type="http://schemas.openxmlformats.org/officeDocument/2006/relationships/ctrlProp" Target="../ctrlProps/ctrlProp726.xml"/><Relationship Id="rId13" Type="http://schemas.openxmlformats.org/officeDocument/2006/relationships/ctrlProp" Target="../ctrlProps/ctrlProp604.xml"/><Relationship Id="rId18" Type="http://schemas.openxmlformats.org/officeDocument/2006/relationships/ctrlProp" Target="../ctrlProps/ctrlProp609.xml"/><Relationship Id="rId39" Type="http://schemas.openxmlformats.org/officeDocument/2006/relationships/ctrlProp" Target="../ctrlProps/ctrlProp630.xml"/><Relationship Id="rId109" Type="http://schemas.openxmlformats.org/officeDocument/2006/relationships/ctrlProp" Target="../ctrlProps/ctrlProp700.xml"/><Relationship Id="rId34" Type="http://schemas.openxmlformats.org/officeDocument/2006/relationships/ctrlProp" Target="../ctrlProps/ctrlProp625.xml"/><Relationship Id="rId50" Type="http://schemas.openxmlformats.org/officeDocument/2006/relationships/ctrlProp" Target="../ctrlProps/ctrlProp641.xml"/><Relationship Id="rId55" Type="http://schemas.openxmlformats.org/officeDocument/2006/relationships/ctrlProp" Target="../ctrlProps/ctrlProp646.xml"/><Relationship Id="rId76" Type="http://schemas.openxmlformats.org/officeDocument/2006/relationships/ctrlProp" Target="../ctrlProps/ctrlProp667.xml"/><Relationship Id="rId97" Type="http://schemas.openxmlformats.org/officeDocument/2006/relationships/ctrlProp" Target="../ctrlProps/ctrlProp688.xml"/><Relationship Id="rId104" Type="http://schemas.openxmlformats.org/officeDocument/2006/relationships/ctrlProp" Target="../ctrlProps/ctrlProp695.xml"/><Relationship Id="rId120" Type="http://schemas.openxmlformats.org/officeDocument/2006/relationships/ctrlProp" Target="../ctrlProps/ctrlProp711.xml"/><Relationship Id="rId125" Type="http://schemas.openxmlformats.org/officeDocument/2006/relationships/ctrlProp" Target="../ctrlProps/ctrlProp716.xml"/><Relationship Id="rId141" Type="http://schemas.openxmlformats.org/officeDocument/2006/relationships/ctrlProp" Target="../ctrlProps/ctrlProp732.xml"/><Relationship Id="rId146" Type="http://schemas.openxmlformats.org/officeDocument/2006/relationships/ctrlProp" Target="../ctrlProps/ctrlProp737.xml"/><Relationship Id="rId7" Type="http://schemas.openxmlformats.org/officeDocument/2006/relationships/ctrlProp" Target="../ctrlProps/ctrlProp598.xml"/><Relationship Id="rId71" Type="http://schemas.openxmlformats.org/officeDocument/2006/relationships/ctrlProp" Target="../ctrlProps/ctrlProp662.xml"/><Relationship Id="rId92" Type="http://schemas.openxmlformats.org/officeDocument/2006/relationships/ctrlProp" Target="../ctrlProps/ctrlProp683.xml"/><Relationship Id="rId2" Type="http://schemas.openxmlformats.org/officeDocument/2006/relationships/vmlDrawing" Target="../drawings/vmlDrawing6.vml"/><Relationship Id="rId29" Type="http://schemas.openxmlformats.org/officeDocument/2006/relationships/ctrlProp" Target="../ctrlProps/ctrlProp620.xml"/><Relationship Id="rId24" Type="http://schemas.openxmlformats.org/officeDocument/2006/relationships/ctrlProp" Target="../ctrlProps/ctrlProp615.xml"/><Relationship Id="rId40" Type="http://schemas.openxmlformats.org/officeDocument/2006/relationships/ctrlProp" Target="../ctrlProps/ctrlProp631.xml"/><Relationship Id="rId45" Type="http://schemas.openxmlformats.org/officeDocument/2006/relationships/ctrlProp" Target="../ctrlProps/ctrlProp636.xml"/><Relationship Id="rId66" Type="http://schemas.openxmlformats.org/officeDocument/2006/relationships/ctrlProp" Target="../ctrlProps/ctrlProp657.xml"/><Relationship Id="rId87" Type="http://schemas.openxmlformats.org/officeDocument/2006/relationships/ctrlProp" Target="../ctrlProps/ctrlProp678.xml"/><Relationship Id="rId110" Type="http://schemas.openxmlformats.org/officeDocument/2006/relationships/ctrlProp" Target="../ctrlProps/ctrlProp701.xml"/><Relationship Id="rId115" Type="http://schemas.openxmlformats.org/officeDocument/2006/relationships/ctrlProp" Target="../ctrlProps/ctrlProp706.xml"/><Relationship Id="rId131" Type="http://schemas.openxmlformats.org/officeDocument/2006/relationships/ctrlProp" Target="../ctrlProps/ctrlProp722.xml"/><Relationship Id="rId136" Type="http://schemas.openxmlformats.org/officeDocument/2006/relationships/ctrlProp" Target="../ctrlProps/ctrlProp727.xml"/><Relationship Id="rId61" Type="http://schemas.openxmlformats.org/officeDocument/2006/relationships/ctrlProp" Target="../ctrlProps/ctrlProp652.xml"/><Relationship Id="rId82" Type="http://schemas.openxmlformats.org/officeDocument/2006/relationships/ctrlProp" Target="../ctrlProps/ctrlProp673.xml"/><Relationship Id="rId19" Type="http://schemas.openxmlformats.org/officeDocument/2006/relationships/ctrlProp" Target="../ctrlProps/ctrlProp610.xml"/><Relationship Id="rId14" Type="http://schemas.openxmlformats.org/officeDocument/2006/relationships/ctrlProp" Target="../ctrlProps/ctrlProp605.xml"/><Relationship Id="rId30" Type="http://schemas.openxmlformats.org/officeDocument/2006/relationships/ctrlProp" Target="../ctrlProps/ctrlProp621.xml"/><Relationship Id="rId35" Type="http://schemas.openxmlformats.org/officeDocument/2006/relationships/ctrlProp" Target="../ctrlProps/ctrlProp626.xml"/><Relationship Id="rId56" Type="http://schemas.openxmlformats.org/officeDocument/2006/relationships/ctrlProp" Target="../ctrlProps/ctrlProp647.xml"/><Relationship Id="rId77" Type="http://schemas.openxmlformats.org/officeDocument/2006/relationships/ctrlProp" Target="../ctrlProps/ctrlProp668.xml"/><Relationship Id="rId100" Type="http://schemas.openxmlformats.org/officeDocument/2006/relationships/ctrlProp" Target="../ctrlProps/ctrlProp691.xml"/><Relationship Id="rId105" Type="http://schemas.openxmlformats.org/officeDocument/2006/relationships/ctrlProp" Target="../ctrlProps/ctrlProp696.xml"/><Relationship Id="rId126" Type="http://schemas.openxmlformats.org/officeDocument/2006/relationships/ctrlProp" Target="../ctrlProps/ctrlProp717.xml"/><Relationship Id="rId147" Type="http://schemas.openxmlformats.org/officeDocument/2006/relationships/ctrlProp" Target="../ctrlProps/ctrlProp738.xml"/><Relationship Id="rId8" Type="http://schemas.openxmlformats.org/officeDocument/2006/relationships/ctrlProp" Target="../ctrlProps/ctrlProp599.xml"/><Relationship Id="rId51" Type="http://schemas.openxmlformats.org/officeDocument/2006/relationships/ctrlProp" Target="../ctrlProps/ctrlProp642.xml"/><Relationship Id="rId72" Type="http://schemas.openxmlformats.org/officeDocument/2006/relationships/ctrlProp" Target="../ctrlProps/ctrlProp663.xml"/><Relationship Id="rId93" Type="http://schemas.openxmlformats.org/officeDocument/2006/relationships/ctrlProp" Target="../ctrlProps/ctrlProp684.xml"/><Relationship Id="rId98" Type="http://schemas.openxmlformats.org/officeDocument/2006/relationships/ctrlProp" Target="../ctrlProps/ctrlProp689.xml"/><Relationship Id="rId121" Type="http://schemas.openxmlformats.org/officeDocument/2006/relationships/ctrlProp" Target="../ctrlProps/ctrlProp712.xml"/><Relationship Id="rId142" Type="http://schemas.openxmlformats.org/officeDocument/2006/relationships/ctrlProp" Target="../ctrlProps/ctrlProp733.xml"/><Relationship Id="rId3" Type="http://schemas.openxmlformats.org/officeDocument/2006/relationships/ctrlProp" Target="../ctrlProps/ctrlProp594.xml"/><Relationship Id="rId25" Type="http://schemas.openxmlformats.org/officeDocument/2006/relationships/ctrlProp" Target="../ctrlProps/ctrlProp616.xml"/><Relationship Id="rId46" Type="http://schemas.openxmlformats.org/officeDocument/2006/relationships/ctrlProp" Target="../ctrlProps/ctrlProp637.xml"/><Relationship Id="rId67" Type="http://schemas.openxmlformats.org/officeDocument/2006/relationships/ctrlProp" Target="../ctrlProps/ctrlProp658.xml"/><Relationship Id="rId116" Type="http://schemas.openxmlformats.org/officeDocument/2006/relationships/ctrlProp" Target="../ctrlProps/ctrlProp707.xml"/><Relationship Id="rId137" Type="http://schemas.openxmlformats.org/officeDocument/2006/relationships/ctrlProp" Target="../ctrlProps/ctrlProp728.xml"/><Relationship Id="rId20" Type="http://schemas.openxmlformats.org/officeDocument/2006/relationships/ctrlProp" Target="../ctrlProps/ctrlProp611.xml"/><Relationship Id="rId41" Type="http://schemas.openxmlformats.org/officeDocument/2006/relationships/ctrlProp" Target="../ctrlProps/ctrlProp632.xml"/><Relationship Id="rId62" Type="http://schemas.openxmlformats.org/officeDocument/2006/relationships/ctrlProp" Target="../ctrlProps/ctrlProp653.xml"/><Relationship Id="rId83" Type="http://schemas.openxmlformats.org/officeDocument/2006/relationships/ctrlProp" Target="../ctrlProps/ctrlProp674.xml"/><Relationship Id="rId88" Type="http://schemas.openxmlformats.org/officeDocument/2006/relationships/ctrlProp" Target="../ctrlProps/ctrlProp679.xml"/><Relationship Id="rId111" Type="http://schemas.openxmlformats.org/officeDocument/2006/relationships/ctrlProp" Target="../ctrlProps/ctrlProp702.xml"/><Relationship Id="rId132" Type="http://schemas.openxmlformats.org/officeDocument/2006/relationships/ctrlProp" Target="../ctrlProps/ctrlProp723.xml"/><Relationship Id="rId15" Type="http://schemas.openxmlformats.org/officeDocument/2006/relationships/ctrlProp" Target="../ctrlProps/ctrlProp606.xml"/><Relationship Id="rId36" Type="http://schemas.openxmlformats.org/officeDocument/2006/relationships/ctrlProp" Target="../ctrlProps/ctrlProp627.xml"/><Relationship Id="rId57" Type="http://schemas.openxmlformats.org/officeDocument/2006/relationships/ctrlProp" Target="../ctrlProps/ctrlProp648.xml"/><Relationship Id="rId106" Type="http://schemas.openxmlformats.org/officeDocument/2006/relationships/ctrlProp" Target="../ctrlProps/ctrlProp697.xml"/><Relationship Id="rId127" Type="http://schemas.openxmlformats.org/officeDocument/2006/relationships/ctrlProp" Target="../ctrlProps/ctrlProp718.xml"/><Relationship Id="rId10" Type="http://schemas.openxmlformats.org/officeDocument/2006/relationships/ctrlProp" Target="../ctrlProps/ctrlProp601.xml"/><Relationship Id="rId31" Type="http://schemas.openxmlformats.org/officeDocument/2006/relationships/ctrlProp" Target="../ctrlProps/ctrlProp622.xml"/><Relationship Id="rId52" Type="http://schemas.openxmlformats.org/officeDocument/2006/relationships/ctrlProp" Target="../ctrlProps/ctrlProp643.xml"/><Relationship Id="rId73" Type="http://schemas.openxmlformats.org/officeDocument/2006/relationships/ctrlProp" Target="../ctrlProps/ctrlProp664.xml"/><Relationship Id="rId78" Type="http://schemas.openxmlformats.org/officeDocument/2006/relationships/ctrlProp" Target="../ctrlProps/ctrlProp669.xml"/><Relationship Id="rId94" Type="http://schemas.openxmlformats.org/officeDocument/2006/relationships/ctrlProp" Target="../ctrlProps/ctrlProp685.xml"/><Relationship Id="rId99" Type="http://schemas.openxmlformats.org/officeDocument/2006/relationships/ctrlProp" Target="../ctrlProps/ctrlProp690.xml"/><Relationship Id="rId101" Type="http://schemas.openxmlformats.org/officeDocument/2006/relationships/ctrlProp" Target="../ctrlProps/ctrlProp692.xml"/><Relationship Id="rId122" Type="http://schemas.openxmlformats.org/officeDocument/2006/relationships/ctrlProp" Target="../ctrlProps/ctrlProp713.xml"/><Relationship Id="rId143" Type="http://schemas.openxmlformats.org/officeDocument/2006/relationships/ctrlProp" Target="../ctrlProps/ctrlProp734.xml"/><Relationship Id="rId148" Type="http://schemas.openxmlformats.org/officeDocument/2006/relationships/ctrlProp" Target="../ctrlProps/ctrlProp739.xml"/><Relationship Id="rId4" Type="http://schemas.openxmlformats.org/officeDocument/2006/relationships/ctrlProp" Target="../ctrlProps/ctrlProp595.xml"/><Relationship Id="rId9" Type="http://schemas.openxmlformats.org/officeDocument/2006/relationships/ctrlProp" Target="../ctrlProps/ctrlProp600.xml"/><Relationship Id="rId26" Type="http://schemas.openxmlformats.org/officeDocument/2006/relationships/ctrlProp" Target="../ctrlProps/ctrlProp617.xml"/><Relationship Id="rId47" Type="http://schemas.openxmlformats.org/officeDocument/2006/relationships/ctrlProp" Target="../ctrlProps/ctrlProp638.xml"/><Relationship Id="rId68" Type="http://schemas.openxmlformats.org/officeDocument/2006/relationships/ctrlProp" Target="../ctrlProps/ctrlProp659.xml"/><Relationship Id="rId89" Type="http://schemas.openxmlformats.org/officeDocument/2006/relationships/ctrlProp" Target="../ctrlProps/ctrlProp680.xml"/><Relationship Id="rId112" Type="http://schemas.openxmlformats.org/officeDocument/2006/relationships/ctrlProp" Target="../ctrlProps/ctrlProp703.xml"/><Relationship Id="rId133" Type="http://schemas.openxmlformats.org/officeDocument/2006/relationships/ctrlProp" Target="../ctrlProps/ctrlProp724.xml"/><Relationship Id="rId16" Type="http://schemas.openxmlformats.org/officeDocument/2006/relationships/ctrlProp" Target="../ctrlProps/ctrlProp607.xml"/><Relationship Id="rId37" Type="http://schemas.openxmlformats.org/officeDocument/2006/relationships/ctrlProp" Target="../ctrlProps/ctrlProp628.xml"/><Relationship Id="rId58" Type="http://schemas.openxmlformats.org/officeDocument/2006/relationships/ctrlProp" Target="../ctrlProps/ctrlProp649.xml"/><Relationship Id="rId79" Type="http://schemas.openxmlformats.org/officeDocument/2006/relationships/ctrlProp" Target="../ctrlProps/ctrlProp670.xml"/><Relationship Id="rId102" Type="http://schemas.openxmlformats.org/officeDocument/2006/relationships/ctrlProp" Target="../ctrlProps/ctrlProp693.xml"/><Relationship Id="rId123" Type="http://schemas.openxmlformats.org/officeDocument/2006/relationships/ctrlProp" Target="../ctrlProps/ctrlProp714.xml"/><Relationship Id="rId144" Type="http://schemas.openxmlformats.org/officeDocument/2006/relationships/ctrlProp" Target="../ctrlProps/ctrlProp735.xml"/><Relationship Id="rId90" Type="http://schemas.openxmlformats.org/officeDocument/2006/relationships/ctrlProp" Target="../ctrlProps/ctrlProp68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855.xml"/><Relationship Id="rId21" Type="http://schemas.openxmlformats.org/officeDocument/2006/relationships/ctrlProp" Target="../ctrlProps/ctrlProp759.xml"/><Relationship Id="rId42" Type="http://schemas.openxmlformats.org/officeDocument/2006/relationships/ctrlProp" Target="../ctrlProps/ctrlProp780.xml"/><Relationship Id="rId63" Type="http://schemas.openxmlformats.org/officeDocument/2006/relationships/ctrlProp" Target="../ctrlProps/ctrlProp801.xml"/><Relationship Id="rId84" Type="http://schemas.openxmlformats.org/officeDocument/2006/relationships/ctrlProp" Target="../ctrlProps/ctrlProp822.xml"/><Relationship Id="rId138" Type="http://schemas.openxmlformats.org/officeDocument/2006/relationships/ctrlProp" Target="../ctrlProps/ctrlProp876.xml"/><Relationship Id="rId107" Type="http://schemas.openxmlformats.org/officeDocument/2006/relationships/ctrlProp" Target="../ctrlProps/ctrlProp845.xml"/><Relationship Id="rId11" Type="http://schemas.openxmlformats.org/officeDocument/2006/relationships/ctrlProp" Target="../ctrlProps/ctrlProp749.xml"/><Relationship Id="rId32" Type="http://schemas.openxmlformats.org/officeDocument/2006/relationships/ctrlProp" Target="../ctrlProps/ctrlProp770.xml"/><Relationship Id="rId53" Type="http://schemas.openxmlformats.org/officeDocument/2006/relationships/ctrlProp" Target="../ctrlProps/ctrlProp791.xml"/><Relationship Id="rId74" Type="http://schemas.openxmlformats.org/officeDocument/2006/relationships/ctrlProp" Target="../ctrlProps/ctrlProp812.xml"/><Relationship Id="rId128" Type="http://schemas.openxmlformats.org/officeDocument/2006/relationships/ctrlProp" Target="../ctrlProps/ctrlProp866.xml"/><Relationship Id="rId149" Type="http://schemas.openxmlformats.org/officeDocument/2006/relationships/ctrlProp" Target="../ctrlProps/ctrlProp887.xml"/><Relationship Id="rId5" Type="http://schemas.openxmlformats.org/officeDocument/2006/relationships/ctrlProp" Target="../ctrlProps/ctrlProp743.xml"/><Relationship Id="rId95" Type="http://schemas.openxmlformats.org/officeDocument/2006/relationships/ctrlProp" Target="../ctrlProps/ctrlProp833.xml"/><Relationship Id="rId22" Type="http://schemas.openxmlformats.org/officeDocument/2006/relationships/ctrlProp" Target="../ctrlProps/ctrlProp760.xml"/><Relationship Id="rId27" Type="http://schemas.openxmlformats.org/officeDocument/2006/relationships/ctrlProp" Target="../ctrlProps/ctrlProp765.xml"/><Relationship Id="rId43" Type="http://schemas.openxmlformats.org/officeDocument/2006/relationships/ctrlProp" Target="../ctrlProps/ctrlProp781.xml"/><Relationship Id="rId48" Type="http://schemas.openxmlformats.org/officeDocument/2006/relationships/ctrlProp" Target="../ctrlProps/ctrlProp786.xml"/><Relationship Id="rId64" Type="http://schemas.openxmlformats.org/officeDocument/2006/relationships/ctrlProp" Target="../ctrlProps/ctrlProp802.xml"/><Relationship Id="rId69" Type="http://schemas.openxmlformats.org/officeDocument/2006/relationships/ctrlProp" Target="../ctrlProps/ctrlProp807.xml"/><Relationship Id="rId113" Type="http://schemas.openxmlformats.org/officeDocument/2006/relationships/ctrlProp" Target="../ctrlProps/ctrlProp851.xml"/><Relationship Id="rId118" Type="http://schemas.openxmlformats.org/officeDocument/2006/relationships/ctrlProp" Target="../ctrlProps/ctrlProp856.xml"/><Relationship Id="rId134" Type="http://schemas.openxmlformats.org/officeDocument/2006/relationships/ctrlProp" Target="../ctrlProps/ctrlProp872.xml"/><Relationship Id="rId139" Type="http://schemas.openxmlformats.org/officeDocument/2006/relationships/ctrlProp" Target="../ctrlProps/ctrlProp877.xml"/><Relationship Id="rId80" Type="http://schemas.openxmlformats.org/officeDocument/2006/relationships/ctrlProp" Target="../ctrlProps/ctrlProp818.xml"/><Relationship Id="rId85" Type="http://schemas.openxmlformats.org/officeDocument/2006/relationships/ctrlProp" Target="../ctrlProps/ctrlProp823.xml"/><Relationship Id="rId150" Type="http://schemas.openxmlformats.org/officeDocument/2006/relationships/ctrlProp" Target="../ctrlProps/ctrlProp888.xml"/><Relationship Id="rId12" Type="http://schemas.openxmlformats.org/officeDocument/2006/relationships/ctrlProp" Target="../ctrlProps/ctrlProp750.xml"/><Relationship Id="rId17" Type="http://schemas.openxmlformats.org/officeDocument/2006/relationships/ctrlProp" Target="../ctrlProps/ctrlProp755.xml"/><Relationship Id="rId33" Type="http://schemas.openxmlformats.org/officeDocument/2006/relationships/ctrlProp" Target="../ctrlProps/ctrlProp771.xml"/><Relationship Id="rId38" Type="http://schemas.openxmlformats.org/officeDocument/2006/relationships/ctrlProp" Target="../ctrlProps/ctrlProp776.xml"/><Relationship Id="rId59" Type="http://schemas.openxmlformats.org/officeDocument/2006/relationships/ctrlProp" Target="../ctrlProps/ctrlProp797.xml"/><Relationship Id="rId103" Type="http://schemas.openxmlformats.org/officeDocument/2006/relationships/ctrlProp" Target="../ctrlProps/ctrlProp841.xml"/><Relationship Id="rId108" Type="http://schemas.openxmlformats.org/officeDocument/2006/relationships/ctrlProp" Target="../ctrlProps/ctrlProp846.xml"/><Relationship Id="rId124" Type="http://schemas.openxmlformats.org/officeDocument/2006/relationships/ctrlProp" Target="../ctrlProps/ctrlProp862.xml"/><Relationship Id="rId129" Type="http://schemas.openxmlformats.org/officeDocument/2006/relationships/ctrlProp" Target="../ctrlProps/ctrlProp867.xml"/><Relationship Id="rId54" Type="http://schemas.openxmlformats.org/officeDocument/2006/relationships/ctrlProp" Target="../ctrlProps/ctrlProp792.xml"/><Relationship Id="rId70" Type="http://schemas.openxmlformats.org/officeDocument/2006/relationships/ctrlProp" Target="../ctrlProps/ctrlProp808.xml"/><Relationship Id="rId75" Type="http://schemas.openxmlformats.org/officeDocument/2006/relationships/ctrlProp" Target="../ctrlProps/ctrlProp813.xml"/><Relationship Id="rId91" Type="http://schemas.openxmlformats.org/officeDocument/2006/relationships/ctrlProp" Target="../ctrlProps/ctrlProp829.xml"/><Relationship Id="rId96" Type="http://schemas.openxmlformats.org/officeDocument/2006/relationships/ctrlProp" Target="../ctrlProps/ctrlProp834.xml"/><Relationship Id="rId140" Type="http://schemas.openxmlformats.org/officeDocument/2006/relationships/ctrlProp" Target="../ctrlProps/ctrlProp878.xml"/><Relationship Id="rId145" Type="http://schemas.openxmlformats.org/officeDocument/2006/relationships/ctrlProp" Target="../ctrlProps/ctrlProp883.xml"/><Relationship Id="rId1" Type="http://schemas.openxmlformats.org/officeDocument/2006/relationships/drawing" Target="../drawings/drawing14.xml"/><Relationship Id="rId6" Type="http://schemas.openxmlformats.org/officeDocument/2006/relationships/ctrlProp" Target="../ctrlProps/ctrlProp744.xml"/><Relationship Id="rId23" Type="http://schemas.openxmlformats.org/officeDocument/2006/relationships/ctrlProp" Target="../ctrlProps/ctrlProp761.xml"/><Relationship Id="rId28" Type="http://schemas.openxmlformats.org/officeDocument/2006/relationships/ctrlProp" Target="../ctrlProps/ctrlProp766.xml"/><Relationship Id="rId49" Type="http://schemas.openxmlformats.org/officeDocument/2006/relationships/ctrlProp" Target="../ctrlProps/ctrlProp787.xml"/><Relationship Id="rId114" Type="http://schemas.openxmlformats.org/officeDocument/2006/relationships/ctrlProp" Target="../ctrlProps/ctrlProp852.xml"/><Relationship Id="rId119" Type="http://schemas.openxmlformats.org/officeDocument/2006/relationships/ctrlProp" Target="../ctrlProps/ctrlProp857.xml"/><Relationship Id="rId44" Type="http://schemas.openxmlformats.org/officeDocument/2006/relationships/ctrlProp" Target="../ctrlProps/ctrlProp782.xml"/><Relationship Id="rId60" Type="http://schemas.openxmlformats.org/officeDocument/2006/relationships/ctrlProp" Target="../ctrlProps/ctrlProp798.xml"/><Relationship Id="rId65" Type="http://schemas.openxmlformats.org/officeDocument/2006/relationships/ctrlProp" Target="../ctrlProps/ctrlProp803.xml"/><Relationship Id="rId81" Type="http://schemas.openxmlformats.org/officeDocument/2006/relationships/ctrlProp" Target="../ctrlProps/ctrlProp819.xml"/><Relationship Id="rId86" Type="http://schemas.openxmlformats.org/officeDocument/2006/relationships/ctrlProp" Target="../ctrlProps/ctrlProp824.xml"/><Relationship Id="rId130" Type="http://schemas.openxmlformats.org/officeDocument/2006/relationships/ctrlProp" Target="../ctrlProps/ctrlProp868.xml"/><Relationship Id="rId135" Type="http://schemas.openxmlformats.org/officeDocument/2006/relationships/ctrlProp" Target="../ctrlProps/ctrlProp873.xml"/><Relationship Id="rId151" Type="http://schemas.openxmlformats.org/officeDocument/2006/relationships/ctrlProp" Target="../ctrlProps/ctrlProp889.xml"/><Relationship Id="rId13" Type="http://schemas.openxmlformats.org/officeDocument/2006/relationships/ctrlProp" Target="../ctrlProps/ctrlProp751.xml"/><Relationship Id="rId18" Type="http://schemas.openxmlformats.org/officeDocument/2006/relationships/ctrlProp" Target="../ctrlProps/ctrlProp756.xml"/><Relationship Id="rId39" Type="http://schemas.openxmlformats.org/officeDocument/2006/relationships/ctrlProp" Target="../ctrlProps/ctrlProp777.xml"/><Relationship Id="rId109" Type="http://schemas.openxmlformats.org/officeDocument/2006/relationships/ctrlProp" Target="../ctrlProps/ctrlProp847.xml"/><Relationship Id="rId34" Type="http://schemas.openxmlformats.org/officeDocument/2006/relationships/ctrlProp" Target="../ctrlProps/ctrlProp772.xml"/><Relationship Id="rId50" Type="http://schemas.openxmlformats.org/officeDocument/2006/relationships/ctrlProp" Target="../ctrlProps/ctrlProp788.xml"/><Relationship Id="rId55" Type="http://schemas.openxmlformats.org/officeDocument/2006/relationships/ctrlProp" Target="../ctrlProps/ctrlProp793.xml"/><Relationship Id="rId76" Type="http://schemas.openxmlformats.org/officeDocument/2006/relationships/ctrlProp" Target="../ctrlProps/ctrlProp814.xml"/><Relationship Id="rId97" Type="http://schemas.openxmlformats.org/officeDocument/2006/relationships/ctrlProp" Target="../ctrlProps/ctrlProp835.xml"/><Relationship Id="rId104" Type="http://schemas.openxmlformats.org/officeDocument/2006/relationships/ctrlProp" Target="../ctrlProps/ctrlProp842.xml"/><Relationship Id="rId120" Type="http://schemas.openxmlformats.org/officeDocument/2006/relationships/ctrlProp" Target="../ctrlProps/ctrlProp858.xml"/><Relationship Id="rId125" Type="http://schemas.openxmlformats.org/officeDocument/2006/relationships/ctrlProp" Target="../ctrlProps/ctrlProp863.xml"/><Relationship Id="rId141" Type="http://schemas.openxmlformats.org/officeDocument/2006/relationships/ctrlProp" Target="../ctrlProps/ctrlProp879.xml"/><Relationship Id="rId146" Type="http://schemas.openxmlformats.org/officeDocument/2006/relationships/ctrlProp" Target="../ctrlProps/ctrlProp884.xml"/><Relationship Id="rId7" Type="http://schemas.openxmlformats.org/officeDocument/2006/relationships/ctrlProp" Target="../ctrlProps/ctrlProp745.xml"/><Relationship Id="rId71" Type="http://schemas.openxmlformats.org/officeDocument/2006/relationships/ctrlProp" Target="../ctrlProps/ctrlProp809.xml"/><Relationship Id="rId92" Type="http://schemas.openxmlformats.org/officeDocument/2006/relationships/ctrlProp" Target="../ctrlProps/ctrlProp830.xml"/><Relationship Id="rId2" Type="http://schemas.openxmlformats.org/officeDocument/2006/relationships/vmlDrawing" Target="../drawings/vmlDrawing7.vml"/><Relationship Id="rId29" Type="http://schemas.openxmlformats.org/officeDocument/2006/relationships/ctrlProp" Target="../ctrlProps/ctrlProp767.xml"/><Relationship Id="rId24" Type="http://schemas.openxmlformats.org/officeDocument/2006/relationships/ctrlProp" Target="../ctrlProps/ctrlProp762.xml"/><Relationship Id="rId40" Type="http://schemas.openxmlformats.org/officeDocument/2006/relationships/ctrlProp" Target="../ctrlProps/ctrlProp778.xml"/><Relationship Id="rId45" Type="http://schemas.openxmlformats.org/officeDocument/2006/relationships/ctrlProp" Target="../ctrlProps/ctrlProp783.xml"/><Relationship Id="rId66" Type="http://schemas.openxmlformats.org/officeDocument/2006/relationships/ctrlProp" Target="../ctrlProps/ctrlProp804.xml"/><Relationship Id="rId87" Type="http://schemas.openxmlformats.org/officeDocument/2006/relationships/ctrlProp" Target="../ctrlProps/ctrlProp825.xml"/><Relationship Id="rId110" Type="http://schemas.openxmlformats.org/officeDocument/2006/relationships/ctrlProp" Target="../ctrlProps/ctrlProp848.xml"/><Relationship Id="rId115" Type="http://schemas.openxmlformats.org/officeDocument/2006/relationships/ctrlProp" Target="../ctrlProps/ctrlProp853.xml"/><Relationship Id="rId131" Type="http://schemas.openxmlformats.org/officeDocument/2006/relationships/ctrlProp" Target="../ctrlProps/ctrlProp869.xml"/><Relationship Id="rId136" Type="http://schemas.openxmlformats.org/officeDocument/2006/relationships/ctrlProp" Target="../ctrlProps/ctrlProp874.xml"/><Relationship Id="rId61" Type="http://schemas.openxmlformats.org/officeDocument/2006/relationships/ctrlProp" Target="../ctrlProps/ctrlProp799.xml"/><Relationship Id="rId82" Type="http://schemas.openxmlformats.org/officeDocument/2006/relationships/ctrlProp" Target="../ctrlProps/ctrlProp820.xml"/><Relationship Id="rId152" Type="http://schemas.openxmlformats.org/officeDocument/2006/relationships/ctrlProp" Target="../ctrlProps/ctrlProp890.xml"/><Relationship Id="rId19" Type="http://schemas.openxmlformats.org/officeDocument/2006/relationships/ctrlProp" Target="../ctrlProps/ctrlProp757.xml"/><Relationship Id="rId14" Type="http://schemas.openxmlformats.org/officeDocument/2006/relationships/ctrlProp" Target="../ctrlProps/ctrlProp752.xml"/><Relationship Id="rId30" Type="http://schemas.openxmlformats.org/officeDocument/2006/relationships/ctrlProp" Target="../ctrlProps/ctrlProp768.xml"/><Relationship Id="rId35" Type="http://schemas.openxmlformats.org/officeDocument/2006/relationships/ctrlProp" Target="../ctrlProps/ctrlProp773.xml"/><Relationship Id="rId56" Type="http://schemas.openxmlformats.org/officeDocument/2006/relationships/ctrlProp" Target="../ctrlProps/ctrlProp794.xml"/><Relationship Id="rId77" Type="http://schemas.openxmlformats.org/officeDocument/2006/relationships/ctrlProp" Target="../ctrlProps/ctrlProp815.xml"/><Relationship Id="rId100" Type="http://schemas.openxmlformats.org/officeDocument/2006/relationships/ctrlProp" Target="../ctrlProps/ctrlProp838.xml"/><Relationship Id="rId105" Type="http://schemas.openxmlformats.org/officeDocument/2006/relationships/ctrlProp" Target="../ctrlProps/ctrlProp843.xml"/><Relationship Id="rId126" Type="http://schemas.openxmlformats.org/officeDocument/2006/relationships/ctrlProp" Target="../ctrlProps/ctrlProp864.xml"/><Relationship Id="rId147" Type="http://schemas.openxmlformats.org/officeDocument/2006/relationships/ctrlProp" Target="../ctrlProps/ctrlProp885.xml"/><Relationship Id="rId8" Type="http://schemas.openxmlformats.org/officeDocument/2006/relationships/ctrlProp" Target="../ctrlProps/ctrlProp746.xml"/><Relationship Id="rId51" Type="http://schemas.openxmlformats.org/officeDocument/2006/relationships/ctrlProp" Target="../ctrlProps/ctrlProp789.xml"/><Relationship Id="rId72" Type="http://schemas.openxmlformats.org/officeDocument/2006/relationships/ctrlProp" Target="../ctrlProps/ctrlProp810.xml"/><Relationship Id="rId93" Type="http://schemas.openxmlformats.org/officeDocument/2006/relationships/ctrlProp" Target="../ctrlProps/ctrlProp831.xml"/><Relationship Id="rId98" Type="http://schemas.openxmlformats.org/officeDocument/2006/relationships/ctrlProp" Target="../ctrlProps/ctrlProp836.xml"/><Relationship Id="rId121" Type="http://schemas.openxmlformats.org/officeDocument/2006/relationships/ctrlProp" Target="../ctrlProps/ctrlProp859.xml"/><Relationship Id="rId142" Type="http://schemas.openxmlformats.org/officeDocument/2006/relationships/ctrlProp" Target="../ctrlProps/ctrlProp880.xml"/><Relationship Id="rId3" Type="http://schemas.openxmlformats.org/officeDocument/2006/relationships/ctrlProp" Target="../ctrlProps/ctrlProp741.xml"/><Relationship Id="rId25" Type="http://schemas.openxmlformats.org/officeDocument/2006/relationships/ctrlProp" Target="../ctrlProps/ctrlProp763.xml"/><Relationship Id="rId46" Type="http://schemas.openxmlformats.org/officeDocument/2006/relationships/ctrlProp" Target="../ctrlProps/ctrlProp784.xml"/><Relationship Id="rId67" Type="http://schemas.openxmlformats.org/officeDocument/2006/relationships/ctrlProp" Target="../ctrlProps/ctrlProp805.xml"/><Relationship Id="rId116" Type="http://schemas.openxmlformats.org/officeDocument/2006/relationships/ctrlProp" Target="../ctrlProps/ctrlProp854.xml"/><Relationship Id="rId137" Type="http://schemas.openxmlformats.org/officeDocument/2006/relationships/ctrlProp" Target="../ctrlProps/ctrlProp875.xml"/><Relationship Id="rId20" Type="http://schemas.openxmlformats.org/officeDocument/2006/relationships/ctrlProp" Target="../ctrlProps/ctrlProp758.xml"/><Relationship Id="rId41" Type="http://schemas.openxmlformats.org/officeDocument/2006/relationships/ctrlProp" Target="../ctrlProps/ctrlProp779.xml"/><Relationship Id="rId62" Type="http://schemas.openxmlformats.org/officeDocument/2006/relationships/ctrlProp" Target="../ctrlProps/ctrlProp800.xml"/><Relationship Id="rId83" Type="http://schemas.openxmlformats.org/officeDocument/2006/relationships/ctrlProp" Target="../ctrlProps/ctrlProp821.xml"/><Relationship Id="rId88" Type="http://schemas.openxmlformats.org/officeDocument/2006/relationships/ctrlProp" Target="../ctrlProps/ctrlProp826.xml"/><Relationship Id="rId111" Type="http://schemas.openxmlformats.org/officeDocument/2006/relationships/ctrlProp" Target="../ctrlProps/ctrlProp849.xml"/><Relationship Id="rId132" Type="http://schemas.openxmlformats.org/officeDocument/2006/relationships/ctrlProp" Target="../ctrlProps/ctrlProp870.xml"/><Relationship Id="rId15" Type="http://schemas.openxmlformats.org/officeDocument/2006/relationships/ctrlProp" Target="../ctrlProps/ctrlProp753.xml"/><Relationship Id="rId36" Type="http://schemas.openxmlformats.org/officeDocument/2006/relationships/ctrlProp" Target="../ctrlProps/ctrlProp774.xml"/><Relationship Id="rId57" Type="http://schemas.openxmlformats.org/officeDocument/2006/relationships/ctrlProp" Target="../ctrlProps/ctrlProp795.xml"/><Relationship Id="rId106" Type="http://schemas.openxmlformats.org/officeDocument/2006/relationships/ctrlProp" Target="../ctrlProps/ctrlProp844.xml"/><Relationship Id="rId127" Type="http://schemas.openxmlformats.org/officeDocument/2006/relationships/ctrlProp" Target="../ctrlProps/ctrlProp865.xml"/><Relationship Id="rId10" Type="http://schemas.openxmlformats.org/officeDocument/2006/relationships/ctrlProp" Target="../ctrlProps/ctrlProp748.xml"/><Relationship Id="rId31" Type="http://schemas.openxmlformats.org/officeDocument/2006/relationships/ctrlProp" Target="../ctrlProps/ctrlProp769.xml"/><Relationship Id="rId52" Type="http://schemas.openxmlformats.org/officeDocument/2006/relationships/ctrlProp" Target="../ctrlProps/ctrlProp790.xml"/><Relationship Id="rId73" Type="http://schemas.openxmlformats.org/officeDocument/2006/relationships/ctrlProp" Target="../ctrlProps/ctrlProp811.xml"/><Relationship Id="rId78" Type="http://schemas.openxmlformats.org/officeDocument/2006/relationships/ctrlProp" Target="../ctrlProps/ctrlProp816.xml"/><Relationship Id="rId94" Type="http://schemas.openxmlformats.org/officeDocument/2006/relationships/ctrlProp" Target="../ctrlProps/ctrlProp832.xml"/><Relationship Id="rId99" Type="http://schemas.openxmlformats.org/officeDocument/2006/relationships/ctrlProp" Target="../ctrlProps/ctrlProp837.xml"/><Relationship Id="rId101" Type="http://schemas.openxmlformats.org/officeDocument/2006/relationships/ctrlProp" Target="../ctrlProps/ctrlProp839.xml"/><Relationship Id="rId122" Type="http://schemas.openxmlformats.org/officeDocument/2006/relationships/ctrlProp" Target="../ctrlProps/ctrlProp860.xml"/><Relationship Id="rId143" Type="http://schemas.openxmlformats.org/officeDocument/2006/relationships/ctrlProp" Target="../ctrlProps/ctrlProp881.xml"/><Relationship Id="rId148" Type="http://schemas.openxmlformats.org/officeDocument/2006/relationships/ctrlProp" Target="../ctrlProps/ctrlProp886.xml"/><Relationship Id="rId4" Type="http://schemas.openxmlformats.org/officeDocument/2006/relationships/ctrlProp" Target="../ctrlProps/ctrlProp742.xml"/><Relationship Id="rId9" Type="http://schemas.openxmlformats.org/officeDocument/2006/relationships/ctrlProp" Target="../ctrlProps/ctrlProp747.xml"/><Relationship Id="rId26" Type="http://schemas.openxmlformats.org/officeDocument/2006/relationships/ctrlProp" Target="../ctrlProps/ctrlProp764.xml"/><Relationship Id="rId47" Type="http://schemas.openxmlformats.org/officeDocument/2006/relationships/ctrlProp" Target="../ctrlProps/ctrlProp785.xml"/><Relationship Id="rId68" Type="http://schemas.openxmlformats.org/officeDocument/2006/relationships/ctrlProp" Target="../ctrlProps/ctrlProp806.xml"/><Relationship Id="rId89" Type="http://schemas.openxmlformats.org/officeDocument/2006/relationships/ctrlProp" Target="../ctrlProps/ctrlProp827.xml"/><Relationship Id="rId112" Type="http://schemas.openxmlformats.org/officeDocument/2006/relationships/ctrlProp" Target="../ctrlProps/ctrlProp850.xml"/><Relationship Id="rId133" Type="http://schemas.openxmlformats.org/officeDocument/2006/relationships/ctrlProp" Target="../ctrlProps/ctrlProp871.xml"/><Relationship Id="rId16" Type="http://schemas.openxmlformats.org/officeDocument/2006/relationships/ctrlProp" Target="../ctrlProps/ctrlProp754.xml"/><Relationship Id="rId37" Type="http://schemas.openxmlformats.org/officeDocument/2006/relationships/ctrlProp" Target="../ctrlProps/ctrlProp775.xml"/><Relationship Id="rId58" Type="http://schemas.openxmlformats.org/officeDocument/2006/relationships/ctrlProp" Target="../ctrlProps/ctrlProp796.xml"/><Relationship Id="rId79" Type="http://schemas.openxmlformats.org/officeDocument/2006/relationships/ctrlProp" Target="../ctrlProps/ctrlProp817.xml"/><Relationship Id="rId102" Type="http://schemas.openxmlformats.org/officeDocument/2006/relationships/ctrlProp" Target="../ctrlProps/ctrlProp840.xml"/><Relationship Id="rId123" Type="http://schemas.openxmlformats.org/officeDocument/2006/relationships/ctrlProp" Target="../ctrlProps/ctrlProp861.xml"/><Relationship Id="rId144" Type="http://schemas.openxmlformats.org/officeDocument/2006/relationships/ctrlProp" Target="../ctrlProps/ctrlProp882.xml"/><Relationship Id="rId90" Type="http://schemas.openxmlformats.org/officeDocument/2006/relationships/ctrlProp" Target="../ctrlProps/ctrlProp82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005.xml"/><Relationship Id="rId21" Type="http://schemas.openxmlformats.org/officeDocument/2006/relationships/ctrlProp" Target="../ctrlProps/ctrlProp909.xml"/><Relationship Id="rId42" Type="http://schemas.openxmlformats.org/officeDocument/2006/relationships/ctrlProp" Target="../ctrlProps/ctrlProp930.xml"/><Relationship Id="rId63" Type="http://schemas.openxmlformats.org/officeDocument/2006/relationships/ctrlProp" Target="../ctrlProps/ctrlProp951.xml"/><Relationship Id="rId84" Type="http://schemas.openxmlformats.org/officeDocument/2006/relationships/ctrlProp" Target="../ctrlProps/ctrlProp972.xml"/><Relationship Id="rId16" Type="http://schemas.openxmlformats.org/officeDocument/2006/relationships/ctrlProp" Target="../ctrlProps/ctrlProp904.xml"/><Relationship Id="rId107" Type="http://schemas.openxmlformats.org/officeDocument/2006/relationships/ctrlProp" Target="../ctrlProps/ctrlProp995.xml"/><Relationship Id="rId11" Type="http://schemas.openxmlformats.org/officeDocument/2006/relationships/ctrlProp" Target="../ctrlProps/ctrlProp899.xml"/><Relationship Id="rId32" Type="http://schemas.openxmlformats.org/officeDocument/2006/relationships/ctrlProp" Target="../ctrlProps/ctrlProp920.xml"/><Relationship Id="rId37" Type="http://schemas.openxmlformats.org/officeDocument/2006/relationships/ctrlProp" Target="../ctrlProps/ctrlProp925.xml"/><Relationship Id="rId53" Type="http://schemas.openxmlformats.org/officeDocument/2006/relationships/ctrlProp" Target="../ctrlProps/ctrlProp941.xml"/><Relationship Id="rId58" Type="http://schemas.openxmlformats.org/officeDocument/2006/relationships/ctrlProp" Target="../ctrlProps/ctrlProp946.xml"/><Relationship Id="rId74" Type="http://schemas.openxmlformats.org/officeDocument/2006/relationships/ctrlProp" Target="../ctrlProps/ctrlProp962.xml"/><Relationship Id="rId79" Type="http://schemas.openxmlformats.org/officeDocument/2006/relationships/ctrlProp" Target="../ctrlProps/ctrlProp967.xml"/><Relationship Id="rId102" Type="http://schemas.openxmlformats.org/officeDocument/2006/relationships/ctrlProp" Target="../ctrlProps/ctrlProp990.xml"/><Relationship Id="rId123" Type="http://schemas.openxmlformats.org/officeDocument/2006/relationships/ctrlProp" Target="../ctrlProps/ctrlProp1011.xml"/><Relationship Id="rId128" Type="http://schemas.openxmlformats.org/officeDocument/2006/relationships/ctrlProp" Target="../ctrlProps/ctrlProp1016.xml"/><Relationship Id="rId5" Type="http://schemas.openxmlformats.org/officeDocument/2006/relationships/ctrlProp" Target="../ctrlProps/ctrlProp893.xml"/><Relationship Id="rId90" Type="http://schemas.openxmlformats.org/officeDocument/2006/relationships/ctrlProp" Target="../ctrlProps/ctrlProp978.xml"/><Relationship Id="rId95" Type="http://schemas.openxmlformats.org/officeDocument/2006/relationships/ctrlProp" Target="../ctrlProps/ctrlProp983.xml"/><Relationship Id="rId22" Type="http://schemas.openxmlformats.org/officeDocument/2006/relationships/ctrlProp" Target="../ctrlProps/ctrlProp910.xml"/><Relationship Id="rId27" Type="http://schemas.openxmlformats.org/officeDocument/2006/relationships/ctrlProp" Target="../ctrlProps/ctrlProp915.xml"/><Relationship Id="rId43" Type="http://schemas.openxmlformats.org/officeDocument/2006/relationships/ctrlProp" Target="../ctrlProps/ctrlProp931.xml"/><Relationship Id="rId48" Type="http://schemas.openxmlformats.org/officeDocument/2006/relationships/ctrlProp" Target="../ctrlProps/ctrlProp936.xml"/><Relationship Id="rId64" Type="http://schemas.openxmlformats.org/officeDocument/2006/relationships/ctrlProp" Target="../ctrlProps/ctrlProp952.xml"/><Relationship Id="rId69" Type="http://schemas.openxmlformats.org/officeDocument/2006/relationships/ctrlProp" Target="../ctrlProps/ctrlProp957.xml"/><Relationship Id="rId113" Type="http://schemas.openxmlformats.org/officeDocument/2006/relationships/ctrlProp" Target="../ctrlProps/ctrlProp1001.xml"/><Relationship Id="rId118" Type="http://schemas.openxmlformats.org/officeDocument/2006/relationships/ctrlProp" Target="../ctrlProps/ctrlProp1006.xml"/><Relationship Id="rId80" Type="http://schemas.openxmlformats.org/officeDocument/2006/relationships/ctrlProp" Target="../ctrlProps/ctrlProp968.xml"/><Relationship Id="rId85" Type="http://schemas.openxmlformats.org/officeDocument/2006/relationships/ctrlProp" Target="../ctrlProps/ctrlProp973.xml"/><Relationship Id="rId12" Type="http://schemas.openxmlformats.org/officeDocument/2006/relationships/ctrlProp" Target="../ctrlProps/ctrlProp900.xml"/><Relationship Id="rId17" Type="http://schemas.openxmlformats.org/officeDocument/2006/relationships/ctrlProp" Target="../ctrlProps/ctrlProp905.xml"/><Relationship Id="rId33" Type="http://schemas.openxmlformats.org/officeDocument/2006/relationships/ctrlProp" Target="../ctrlProps/ctrlProp921.xml"/><Relationship Id="rId38" Type="http://schemas.openxmlformats.org/officeDocument/2006/relationships/ctrlProp" Target="../ctrlProps/ctrlProp926.xml"/><Relationship Id="rId59" Type="http://schemas.openxmlformats.org/officeDocument/2006/relationships/ctrlProp" Target="../ctrlProps/ctrlProp947.xml"/><Relationship Id="rId103" Type="http://schemas.openxmlformats.org/officeDocument/2006/relationships/ctrlProp" Target="../ctrlProps/ctrlProp991.xml"/><Relationship Id="rId108" Type="http://schemas.openxmlformats.org/officeDocument/2006/relationships/ctrlProp" Target="../ctrlProps/ctrlProp996.xml"/><Relationship Id="rId124" Type="http://schemas.openxmlformats.org/officeDocument/2006/relationships/ctrlProp" Target="../ctrlProps/ctrlProp1012.xml"/><Relationship Id="rId129" Type="http://schemas.openxmlformats.org/officeDocument/2006/relationships/ctrlProp" Target="../ctrlProps/ctrlProp1017.xml"/><Relationship Id="rId54" Type="http://schemas.openxmlformats.org/officeDocument/2006/relationships/ctrlProp" Target="../ctrlProps/ctrlProp942.xml"/><Relationship Id="rId70" Type="http://schemas.openxmlformats.org/officeDocument/2006/relationships/ctrlProp" Target="../ctrlProps/ctrlProp958.xml"/><Relationship Id="rId75" Type="http://schemas.openxmlformats.org/officeDocument/2006/relationships/ctrlProp" Target="../ctrlProps/ctrlProp963.xml"/><Relationship Id="rId91" Type="http://schemas.openxmlformats.org/officeDocument/2006/relationships/ctrlProp" Target="../ctrlProps/ctrlProp979.xml"/><Relationship Id="rId96" Type="http://schemas.openxmlformats.org/officeDocument/2006/relationships/ctrlProp" Target="../ctrlProps/ctrlProp984.xml"/><Relationship Id="rId1" Type="http://schemas.openxmlformats.org/officeDocument/2006/relationships/drawing" Target="../drawings/drawing16.xml"/><Relationship Id="rId6" Type="http://schemas.openxmlformats.org/officeDocument/2006/relationships/ctrlProp" Target="../ctrlProps/ctrlProp894.xml"/><Relationship Id="rId23" Type="http://schemas.openxmlformats.org/officeDocument/2006/relationships/ctrlProp" Target="../ctrlProps/ctrlProp911.xml"/><Relationship Id="rId28" Type="http://schemas.openxmlformats.org/officeDocument/2006/relationships/ctrlProp" Target="../ctrlProps/ctrlProp916.xml"/><Relationship Id="rId49" Type="http://schemas.openxmlformats.org/officeDocument/2006/relationships/ctrlProp" Target="../ctrlProps/ctrlProp937.xml"/><Relationship Id="rId114" Type="http://schemas.openxmlformats.org/officeDocument/2006/relationships/ctrlProp" Target="../ctrlProps/ctrlProp1002.xml"/><Relationship Id="rId119" Type="http://schemas.openxmlformats.org/officeDocument/2006/relationships/ctrlProp" Target="../ctrlProps/ctrlProp1007.xml"/><Relationship Id="rId44" Type="http://schemas.openxmlformats.org/officeDocument/2006/relationships/ctrlProp" Target="../ctrlProps/ctrlProp932.xml"/><Relationship Id="rId60" Type="http://schemas.openxmlformats.org/officeDocument/2006/relationships/ctrlProp" Target="../ctrlProps/ctrlProp948.xml"/><Relationship Id="rId65" Type="http://schemas.openxmlformats.org/officeDocument/2006/relationships/ctrlProp" Target="../ctrlProps/ctrlProp953.xml"/><Relationship Id="rId81" Type="http://schemas.openxmlformats.org/officeDocument/2006/relationships/ctrlProp" Target="../ctrlProps/ctrlProp969.xml"/><Relationship Id="rId86" Type="http://schemas.openxmlformats.org/officeDocument/2006/relationships/ctrlProp" Target="../ctrlProps/ctrlProp974.xml"/><Relationship Id="rId130" Type="http://schemas.openxmlformats.org/officeDocument/2006/relationships/ctrlProp" Target="../ctrlProps/ctrlProp1018.xml"/><Relationship Id="rId13" Type="http://schemas.openxmlformats.org/officeDocument/2006/relationships/ctrlProp" Target="../ctrlProps/ctrlProp901.xml"/><Relationship Id="rId18" Type="http://schemas.openxmlformats.org/officeDocument/2006/relationships/ctrlProp" Target="../ctrlProps/ctrlProp906.xml"/><Relationship Id="rId39" Type="http://schemas.openxmlformats.org/officeDocument/2006/relationships/ctrlProp" Target="../ctrlProps/ctrlProp927.xml"/><Relationship Id="rId109" Type="http://schemas.openxmlformats.org/officeDocument/2006/relationships/ctrlProp" Target="../ctrlProps/ctrlProp997.xml"/><Relationship Id="rId34" Type="http://schemas.openxmlformats.org/officeDocument/2006/relationships/ctrlProp" Target="../ctrlProps/ctrlProp922.xml"/><Relationship Id="rId50" Type="http://schemas.openxmlformats.org/officeDocument/2006/relationships/ctrlProp" Target="../ctrlProps/ctrlProp938.xml"/><Relationship Id="rId55" Type="http://schemas.openxmlformats.org/officeDocument/2006/relationships/ctrlProp" Target="../ctrlProps/ctrlProp943.xml"/><Relationship Id="rId76" Type="http://schemas.openxmlformats.org/officeDocument/2006/relationships/ctrlProp" Target="../ctrlProps/ctrlProp964.xml"/><Relationship Id="rId97" Type="http://schemas.openxmlformats.org/officeDocument/2006/relationships/ctrlProp" Target="../ctrlProps/ctrlProp985.xml"/><Relationship Id="rId104" Type="http://schemas.openxmlformats.org/officeDocument/2006/relationships/ctrlProp" Target="../ctrlProps/ctrlProp992.xml"/><Relationship Id="rId120" Type="http://schemas.openxmlformats.org/officeDocument/2006/relationships/ctrlProp" Target="../ctrlProps/ctrlProp1008.xml"/><Relationship Id="rId125" Type="http://schemas.openxmlformats.org/officeDocument/2006/relationships/ctrlProp" Target="../ctrlProps/ctrlProp1013.xml"/><Relationship Id="rId7" Type="http://schemas.openxmlformats.org/officeDocument/2006/relationships/ctrlProp" Target="../ctrlProps/ctrlProp895.xml"/><Relationship Id="rId71" Type="http://schemas.openxmlformats.org/officeDocument/2006/relationships/ctrlProp" Target="../ctrlProps/ctrlProp959.xml"/><Relationship Id="rId92" Type="http://schemas.openxmlformats.org/officeDocument/2006/relationships/ctrlProp" Target="../ctrlProps/ctrlProp980.xml"/><Relationship Id="rId2" Type="http://schemas.openxmlformats.org/officeDocument/2006/relationships/vmlDrawing" Target="../drawings/vmlDrawing8.vml"/><Relationship Id="rId29" Type="http://schemas.openxmlformats.org/officeDocument/2006/relationships/ctrlProp" Target="../ctrlProps/ctrlProp917.xml"/><Relationship Id="rId24" Type="http://schemas.openxmlformats.org/officeDocument/2006/relationships/ctrlProp" Target="../ctrlProps/ctrlProp912.xml"/><Relationship Id="rId40" Type="http://schemas.openxmlformats.org/officeDocument/2006/relationships/ctrlProp" Target="../ctrlProps/ctrlProp928.xml"/><Relationship Id="rId45" Type="http://schemas.openxmlformats.org/officeDocument/2006/relationships/ctrlProp" Target="../ctrlProps/ctrlProp933.xml"/><Relationship Id="rId66" Type="http://schemas.openxmlformats.org/officeDocument/2006/relationships/ctrlProp" Target="../ctrlProps/ctrlProp954.xml"/><Relationship Id="rId87" Type="http://schemas.openxmlformats.org/officeDocument/2006/relationships/ctrlProp" Target="../ctrlProps/ctrlProp975.xml"/><Relationship Id="rId110" Type="http://schemas.openxmlformats.org/officeDocument/2006/relationships/ctrlProp" Target="../ctrlProps/ctrlProp998.xml"/><Relationship Id="rId115" Type="http://schemas.openxmlformats.org/officeDocument/2006/relationships/ctrlProp" Target="../ctrlProps/ctrlProp1003.xml"/><Relationship Id="rId131" Type="http://schemas.openxmlformats.org/officeDocument/2006/relationships/ctrlProp" Target="../ctrlProps/ctrlProp1019.xml"/><Relationship Id="rId61" Type="http://schemas.openxmlformats.org/officeDocument/2006/relationships/ctrlProp" Target="../ctrlProps/ctrlProp949.xml"/><Relationship Id="rId82" Type="http://schemas.openxmlformats.org/officeDocument/2006/relationships/ctrlProp" Target="../ctrlProps/ctrlProp970.xml"/><Relationship Id="rId19" Type="http://schemas.openxmlformats.org/officeDocument/2006/relationships/ctrlProp" Target="../ctrlProps/ctrlProp907.xml"/><Relationship Id="rId14" Type="http://schemas.openxmlformats.org/officeDocument/2006/relationships/ctrlProp" Target="../ctrlProps/ctrlProp902.xml"/><Relationship Id="rId30" Type="http://schemas.openxmlformats.org/officeDocument/2006/relationships/ctrlProp" Target="../ctrlProps/ctrlProp918.xml"/><Relationship Id="rId35" Type="http://schemas.openxmlformats.org/officeDocument/2006/relationships/ctrlProp" Target="../ctrlProps/ctrlProp923.xml"/><Relationship Id="rId56" Type="http://schemas.openxmlformats.org/officeDocument/2006/relationships/ctrlProp" Target="../ctrlProps/ctrlProp944.xml"/><Relationship Id="rId77" Type="http://schemas.openxmlformats.org/officeDocument/2006/relationships/ctrlProp" Target="../ctrlProps/ctrlProp965.xml"/><Relationship Id="rId100" Type="http://schemas.openxmlformats.org/officeDocument/2006/relationships/ctrlProp" Target="../ctrlProps/ctrlProp988.xml"/><Relationship Id="rId105" Type="http://schemas.openxmlformats.org/officeDocument/2006/relationships/ctrlProp" Target="../ctrlProps/ctrlProp993.xml"/><Relationship Id="rId126" Type="http://schemas.openxmlformats.org/officeDocument/2006/relationships/ctrlProp" Target="../ctrlProps/ctrlProp1014.xml"/><Relationship Id="rId8" Type="http://schemas.openxmlformats.org/officeDocument/2006/relationships/ctrlProp" Target="../ctrlProps/ctrlProp896.xml"/><Relationship Id="rId51" Type="http://schemas.openxmlformats.org/officeDocument/2006/relationships/ctrlProp" Target="../ctrlProps/ctrlProp939.xml"/><Relationship Id="rId72" Type="http://schemas.openxmlformats.org/officeDocument/2006/relationships/ctrlProp" Target="../ctrlProps/ctrlProp960.xml"/><Relationship Id="rId93" Type="http://schemas.openxmlformats.org/officeDocument/2006/relationships/ctrlProp" Target="../ctrlProps/ctrlProp981.xml"/><Relationship Id="rId98" Type="http://schemas.openxmlformats.org/officeDocument/2006/relationships/ctrlProp" Target="../ctrlProps/ctrlProp986.xml"/><Relationship Id="rId121" Type="http://schemas.openxmlformats.org/officeDocument/2006/relationships/ctrlProp" Target="../ctrlProps/ctrlProp1009.xml"/><Relationship Id="rId3" Type="http://schemas.openxmlformats.org/officeDocument/2006/relationships/ctrlProp" Target="../ctrlProps/ctrlProp891.xml"/><Relationship Id="rId25" Type="http://schemas.openxmlformats.org/officeDocument/2006/relationships/ctrlProp" Target="../ctrlProps/ctrlProp913.xml"/><Relationship Id="rId46" Type="http://schemas.openxmlformats.org/officeDocument/2006/relationships/ctrlProp" Target="../ctrlProps/ctrlProp934.xml"/><Relationship Id="rId67" Type="http://schemas.openxmlformats.org/officeDocument/2006/relationships/ctrlProp" Target="../ctrlProps/ctrlProp955.xml"/><Relationship Id="rId116" Type="http://schemas.openxmlformats.org/officeDocument/2006/relationships/ctrlProp" Target="../ctrlProps/ctrlProp1004.xml"/><Relationship Id="rId20" Type="http://schemas.openxmlformats.org/officeDocument/2006/relationships/ctrlProp" Target="../ctrlProps/ctrlProp908.xml"/><Relationship Id="rId41" Type="http://schemas.openxmlformats.org/officeDocument/2006/relationships/ctrlProp" Target="../ctrlProps/ctrlProp929.xml"/><Relationship Id="rId62" Type="http://schemas.openxmlformats.org/officeDocument/2006/relationships/ctrlProp" Target="../ctrlProps/ctrlProp950.xml"/><Relationship Id="rId83" Type="http://schemas.openxmlformats.org/officeDocument/2006/relationships/ctrlProp" Target="../ctrlProps/ctrlProp971.xml"/><Relationship Id="rId88" Type="http://schemas.openxmlformats.org/officeDocument/2006/relationships/ctrlProp" Target="../ctrlProps/ctrlProp976.xml"/><Relationship Id="rId111" Type="http://schemas.openxmlformats.org/officeDocument/2006/relationships/ctrlProp" Target="../ctrlProps/ctrlProp999.xml"/><Relationship Id="rId132" Type="http://schemas.openxmlformats.org/officeDocument/2006/relationships/ctrlProp" Target="../ctrlProps/ctrlProp1020.xml"/><Relationship Id="rId15" Type="http://schemas.openxmlformats.org/officeDocument/2006/relationships/ctrlProp" Target="../ctrlProps/ctrlProp903.xml"/><Relationship Id="rId36" Type="http://schemas.openxmlformats.org/officeDocument/2006/relationships/ctrlProp" Target="../ctrlProps/ctrlProp924.xml"/><Relationship Id="rId57" Type="http://schemas.openxmlformats.org/officeDocument/2006/relationships/ctrlProp" Target="../ctrlProps/ctrlProp945.xml"/><Relationship Id="rId106" Type="http://schemas.openxmlformats.org/officeDocument/2006/relationships/ctrlProp" Target="../ctrlProps/ctrlProp994.xml"/><Relationship Id="rId127" Type="http://schemas.openxmlformats.org/officeDocument/2006/relationships/ctrlProp" Target="../ctrlProps/ctrlProp1015.xml"/><Relationship Id="rId10" Type="http://schemas.openxmlformats.org/officeDocument/2006/relationships/ctrlProp" Target="../ctrlProps/ctrlProp898.xml"/><Relationship Id="rId31" Type="http://schemas.openxmlformats.org/officeDocument/2006/relationships/ctrlProp" Target="../ctrlProps/ctrlProp919.xml"/><Relationship Id="rId52" Type="http://schemas.openxmlformats.org/officeDocument/2006/relationships/ctrlProp" Target="../ctrlProps/ctrlProp940.xml"/><Relationship Id="rId73" Type="http://schemas.openxmlformats.org/officeDocument/2006/relationships/ctrlProp" Target="../ctrlProps/ctrlProp961.xml"/><Relationship Id="rId78" Type="http://schemas.openxmlformats.org/officeDocument/2006/relationships/ctrlProp" Target="../ctrlProps/ctrlProp966.xml"/><Relationship Id="rId94" Type="http://schemas.openxmlformats.org/officeDocument/2006/relationships/ctrlProp" Target="../ctrlProps/ctrlProp982.xml"/><Relationship Id="rId99" Type="http://schemas.openxmlformats.org/officeDocument/2006/relationships/ctrlProp" Target="../ctrlProps/ctrlProp987.xml"/><Relationship Id="rId101" Type="http://schemas.openxmlformats.org/officeDocument/2006/relationships/ctrlProp" Target="../ctrlProps/ctrlProp989.xml"/><Relationship Id="rId122" Type="http://schemas.openxmlformats.org/officeDocument/2006/relationships/ctrlProp" Target="../ctrlProps/ctrlProp1010.xml"/><Relationship Id="rId4" Type="http://schemas.openxmlformats.org/officeDocument/2006/relationships/ctrlProp" Target="../ctrlProps/ctrlProp892.xml"/><Relationship Id="rId9" Type="http://schemas.openxmlformats.org/officeDocument/2006/relationships/ctrlProp" Target="../ctrlProps/ctrlProp897.xml"/><Relationship Id="rId26" Type="http://schemas.openxmlformats.org/officeDocument/2006/relationships/ctrlProp" Target="../ctrlProps/ctrlProp914.xml"/><Relationship Id="rId47" Type="http://schemas.openxmlformats.org/officeDocument/2006/relationships/ctrlProp" Target="../ctrlProps/ctrlProp935.xml"/><Relationship Id="rId68" Type="http://schemas.openxmlformats.org/officeDocument/2006/relationships/ctrlProp" Target="../ctrlProps/ctrlProp956.xml"/><Relationship Id="rId89" Type="http://schemas.openxmlformats.org/officeDocument/2006/relationships/ctrlProp" Target="../ctrlProps/ctrlProp977.xml"/><Relationship Id="rId112" Type="http://schemas.openxmlformats.org/officeDocument/2006/relationships/ctrlProp" Target="../ctrlProps/ctrlProp1000.xml"/><Relationship Id="rId133" Type="http://schemas.openxmlformats.org/officeDocument/2006/relationships/ctrlProp" Target="../ctrlProps/ctrlProp10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1136.xml"/><Relationship Id="rId21" Type="http://schemas.openxmlformats.org/officeDocument/2006/relationships/ctrlProp" Target="../ctrlProps/ctrlProp1040.xml"/><Relationship Id="rId42" Type="http://schemas.openxmlformats.org/officeDocument/2006/relationships/ctrlProp" Target="../ctrlProps/ctrlProp1061.xml"/><Relationship Id="rId63" Type="http://schemas.openxmlformats.org/officeDocument/2006/relationships/ctrlProp" Target="../ctrlProps/ctrlProp1082.xml"/><Relationship Id="rId84" Type="http://schemas.openxmlformats.org/officeDocument/2006/relationships/ctrlProp" Target="../ctrlProps/ctrlProp1103.xml"/><Relationship Id="rId138" Type="http://schemas.openxmlformats.org/officeDocument/2006/relationships/ctrlProp" Target="../ctrlProps/ctrlProp1157.xml"/><Relationship Id="rId107" Type="http://schemas.openxmlformats.org/officeDocument/2006/relationships/ctrlProp" Target="../ctrlProps/ctrlProp1126.xml"/><Relationship Id="rId11" Type="http://schemas.openxmlformats.org/officeDocument/2006/relationships/ctrlProp" Target="../ctrlProps/ctrlProp1030.xml"/><Relationship Id="rId32" Type="http://schemas.openxmlformats.org/officeDocument/2006/relationships/ctrlProp" Target="../ctrlProps/ctrlProp1051.xml"/><Relationship Id="rId53" Type="http://schemas.openxmlformats.org/officeDocument/2006/relationships/ctrlProp" Target="../ctrlProps/ctrlProp1072.xml"/><Relationship Id="rId74" Type="http://schemas.openxmlformats.org/officeDocument/2006/relationships/ctrlProp" Target="../ctrlProps/ctrlProp1093.xml"/><Relationship Id="rId128" Type="http://schemas.openxmlformats.org/officeDocument/2006/relationships/ctrlProp" Target="../ctrlProps/ctrlProp1147.xml"/><Relationship Id="rId149" Type="http://schemas.openxmlformats.org/officeDocument/2006/relationships/ctrlProp" Target="../ctrlProps/ctrlProp1168.xml"/><Relationship Id="rId5" Type="http://schemas.openxmlformats.org/officeDocument/2006/relationships/ctrlProp" Target="../ctrlProps/ctrlProp1024.xml"/><Relationship Id="rId95" Type="http://schemas.openxmlformats.org/officeDocument/2006/relationships/ctrlProp" Target="../ctrlProps/ctrlProp1114.xml"/><Relationship Id="rId22" Type="http://schemas.openxmlformats.org/officeDocument/2006/relationships/ctrlProp" Target="../ctrlProps/ctrlProp1041.xml"/><Relationship Id="rId27" Type="http://schemas.openxmlformats.org/officeDocument/2006/relationships/ctrlProp" Target="../ctrlProps/ctrlProp1046.xml"/><Relationship Id="rId43" Type="http://schemas.openxmlformats.org/officeDocument/2006/relationships/ctrlProp" Target="../ctrlProps/ctrlProp1062.xml"/><Relationship Id="rId48" Type="http://schemas.openxmlformats.org/officeDocument/2006/relationships/ctrlProp" Target="../ctrlProps/ctrlProp1067.xml"/><Relationship Id="rId64" Type="http://schemas.openxmlformats.org/officeDocument/2006/relationships/ctrlProp" Target="../ctrlProps/ctrlProp1083.xml"/><Relationship Id="rId69" Type="http://schemas.openxmlformats.org/officeDocument/2006/relationships/ctrlProp" Target="../ctrlProps/ctrlProp1088.xml"/><Relationship Id="rId113" Type="http://schemas.openxmlformats.org/officeDocument/2006/relationships/ctrlProp" Target="../ctrlProps/ctrlProp1132.xml"/><Relationship Id="rId118" Type="http://schemas.openxmlformats.org/officeDocument/2006/relationships/ctrlProp" Target="../ctrlProps/ctrlProp1137.xml"/><Relationship Id="rId134" Type="http://schemas.openxmlformats.org/officeDocument/2006/relationships/ctrlProp" Target="../ctrlProps/ctrlProp1153.xml"/><Relationship Id="rId139" Type="http://schemas.openxmlformats.org/officeDocument/2006/relationships/ctrlProp" Target="../ctrlProps/ctrlProp1158.xml"/><Relationship Id="rId80" Type="http://schemas.openxmlformats.org/officeDocument/2006/relationships/ctrlProp" Target="../ctrlProps/ctrlProp1099.xml"/><Relationship Id="rId85" Type="http://schemas.openxmlformats.org/officeDocument/2006/relationships/ctrlProp" Target="../ctrlProps/ctrlProp1104.xml"/><Relationship Id="rId150" Type="http://schemas.openxmlformats.org/officeDocument/2006/relationships/ctrlProp" Target="../ctrlProps/ctrlProp1169.xml"/><Relationship Id="rId12" Type="http://schemas.openxmlformats.org/officeDocument/2006/relationships/ctrlProp" Target="../ctrlProps/ctrlProp1031.xml"/><Relationship Id="rId17" Type="http://schemas.openxmlformats.org/officeDocument/2006/relationships/ctrlProp" Target="../ctrlProps/ctrlProp1036.xml"/><Relationship Id="rId33" Type="http://schemas.openxmlformats.org/officeDocument/2006/relationships/ctrlProp" Target="../ctrlProps/ctrlProp1052.xml"/><Relationship Id="rId38" Type="http://schemas.openxmlformats.org/officeDocument/2006/relationships/ctrlProp" Target="../ctrlProps/ctrlProp1057.xml"/><Relationship Id="rId59" Type="http://schemas.openxmlformats.org/officeDocument/2006/relationships/ctrlProp" Target="../ctrlProps/ctrlProp1078.xml"/><Relationship Id="rId103" Type="http://schemas.openxmlformats.org/officeDocument/2006/relationships/ctrlProp" Target="../ctrlProps/ctrlProp1122.xml"/><Relationship Id="rId108" Type="http://schemas.openxmlformats.org/officeDocument/2006/relationships/ctrlProp" Target="../ctrlProps/ctrlProp1127.xml"/><Relationship Id="rId124" Type="http://schemas.openxmlformats.org/officeDocument/2006/relationships/ctrlProp" Target="../ctrlProps/ctrlProp1143.xml"/><Relationship Id="rId129" Type="http://schemas.openxmlformats.org/officeDocument/2006/relationships/ctrlProp" Target="../ctrlProps/ctrlProp1148.xml"/><Relationship Id="rId54" Type="http://schemas.openxmlformats.org/officeDocument/2006/relationships/ctrlProp" Target="../ctrlProps/ctrlProp1073.xml"/><Relationship Id="rId70" Type="http://schemas.openxmlformats.org/officeDocument/2006/relationships/ctrlProp" Target="../ctrlProps/ctrlProp1089.xml"/><Relationship Id="rId75" Type="http://schemas.openxmlformats.org/officeDocument/2006/relationships/ctrlProp" Target="../ctrlProps/ctrlProp1094.xml"/><Relationship Id="rId91" Type="http://schemas.openxmlformats.org/officeDocument/2006/relationships/ctrlProp" Target="../ctrlProps/ctrlProp1110.xml"/><Relationship Id="rId96" Type="http://schemas.openxmlformats.org/officeDocument/2006/relationships/ctrlProp" Target="../ctrlProps/ctrlProp1115.xml"/><Relationship Id="rId140" Type="http://schemas.openxmlformats.org/officeDocument/2006/relationships/ctrlProp" Target="../ctrlProps/ctrlProp1159.xml"/><Relationship Id="rId145" Type="http://schemas.openxmlformats.org/officeDocument/2006/relationships/ctrlProp" Target="../ctrlProps/ctrlProp1164.xml"/><Relationship Id="rId1" Type="http://schemas.openxmlformats.org/officeDocument/2006/relationships/drawing" Target="../drawings/drawing18.xml"/><Relationship Id="rId6" Type="http://schemas.openxmlformats.org/officeDocument/2006/relationships/ctrlProp" Target="../ctrlProps/ctrlProp1025.xml"/><Relationship Id="rId23" Type="http://schemas.openxmlformats.org/officeDocument/2006/relationships/ctrlProp" Target="../ctrlProps/ctrlProp1042.xml"/><Relationship Id="rId28" Type="http://schemas.openxmlformats.org/officeDocument/2006/relationships/ctrlProp" Target="../ctrlProps/ctrlProp1047.xml"/><Relationship Id="rId49" Type="http://schemas.openxmlformats.org/officeDocument/2006/relationships/ctrlProp" Target="../ctrlProps/ctrlProp1068.xml"/><Relationship Id="rId114" Type="http://schemas.openxmlformats.org/officeDocument/2006/relationships/ctrlProp" Target="../ctrlProps/ctrlProp1133.xml"/><Relationship Id="rId119" Type="http://schemas.openxmlformats.org/officeDocument/2006/relationships/ctrlProp" Target="../ctrlProps/ctrlProp1138.xml"/><Relationship Id="rId44" Type="http://schemas.openxmlformats.org/officeDocument/2006/relationships/ctrlProp" Target="../ctrlProps/ctrlProp1063.xml"/><Relationship Id="rId60" Type="http://schemas.openxmlformats.org/officeDocument/2006/relationships/ctrlProp" Target="../ctrlProps/ctrlProp1079.xml"/><Relationship Id="rId65" Type="http://schemas.openxmlformats.org/officeDocument/2006/relationships/ctrlProp" Target="../ctrlProps/ctrlProp1084.xml"/><Relationship Id="rId81" Type="http://schemas.openxmlformats.org/officeDocument/2006/relationships/ctrlProp" Target="../ctrlProps/ctrlProp1100.xml"/><Relationship Id="rId86" Type="http://schemas.openxmlformats.org/officeDocument/2006/relationships/ctrlProp" Target="../ctrlProps/ctrlProp1105.xml"/><Relationship Id="rId130" Type="http://schemas.openxmlformats.org/officeDocument/2006/relationships/ctrlProp" Target="../ctrlProps/ctrlProp1149.xml"/><Relationship Id="rId135" Type="http://schemas.openxmlformats.org/officeDocument/2006/relationships/ctrlProp" Target="../ctrlProps/ctrlProp1154.xml"/><Relationship Id="rId151" Type="http://schemas.openxmlformats.org/officeDocument/2006/relationships/ctrlProp" Target="../ctrlProps/ctrlProp1170.xml"/><Relationship Id="rId13" Type="http://schemas.openxmlformats.org/officeDocument/2006/relationships/ctrlProp" Target="../ctrlProps/ctrlProp1032.xml"/><Relationship Id="rId18" Type="http://schemas.openxmlformats.org/officeDocument/2006/relationships/ctrlProp" Target="../ctrlProps/ctrlProp1037.xml"/><Relationship Id="rId39" Type="http://schemas.openxmlformats.org/officeDocument/2006/relationships/ctrlProp" Target="../ctrlProps/ctrlProp1058.xml"/><Relationship Id="rId109" Type="http://schemas.openxmlformats.org/officeDocument/2006/relationships/ctrlProp" Target="../ctrlProps/ctrlProp1128.xml"/><Relationship Id="rId34" Type="http://schemas.openxmlformats.org/officeDocument/2006/relationships/ctrlProp" Target="../ctrlProps/ctrlProp1053.xml"/><Relationship Id="rId50" Type="http://schemas.openxmlformats.org/officeDocument/2006/relationships/ctrlProp" Target="../ctrlProps/ctrlProp1069.xml"/><Relationship Id="rId55" Type="http://schemas.openxmlformats.org/officeDocument/2006/relationships/ctrlProp" Target="../ctrlProps/ctrlProp1074.xml"/><Relationship Id="rId76" Type="http://schemas.openxmlformats.org/officeDocument/2006/relationships/ctrlProp" Target="../ctrlProps/ctrlProp1095.xml"/><Relationship Id="rId97" Type="http://schemas.openxmlformats.org/officeDocument/2006/relationships/ctrlProp" Target="../ctrlProps/ctrlProp1116.xml"/><Relationship Id="rId104" Type="http://schemas.openxmlformats.org/officeDocument/2006/relationships/ctrlProp" Target="../ctrlProps/ctrlProp1123.xml"/><Relationship Id="rId120" Type="http://schemas.openxmlformats.org/officeDocument/2006/relationships/ctrlProp" Target="../ctrlProps/ctrlProp1139.xml"/><Relationship Id="rId125" Type="http://schemas.openxmlformats.org/officeDocument/2006/relationships/ctrlProp" Target="../ctrlProps/ctrlProp1144.xml"/><Relationship Id="rId141" Type="http://schemas.openxmlformats.org/officeDocument/2006/relationships/ctrlProp" Target="../ctrlProps/ctrlProp1160.xml"/><Relationship Id="rId146" Type="http://schemas.openxmlformats.org/officeDocument/2006/relationships/ctrlProp" Target="../ctrlProps/ctrlProp1165.xml"/><Relationship Id="rId7" Type="http://schemas.openxmlformats.org/officeDocument/2006/relationships/ctrlProp" Target="../ctrlProps/ctrlProp1026.xml"/><Relationship Id="rId71" Type="http://schemas.openxmlformats.org/officeDocument/2006/relationships/ctrlProp" Target="../ctrlProps/ctrlProp1090.xml"/><Relationship Id="rId92" Type="http://schemas.openxmlformats.org/officeDocument/2006/relationships/ctrlProp" Target="../ctrlProps/ctrlProp1111.xml"/><Relationship Id="rId2" Type="http://schemas.openxmlformats.org/officeDocument/2006/relationships/vmlDrawing" Target="../drawings/vmlDrawing9.vml"/><Relationship Id="rId29" Type="http://schemas.openxmlformats.org/officeDocument/2006/relationships/ctrlProp" Target="../ctrlProps/ctrlProp1048.xml"/><Relationship Id="rId24" Type="http://schemas.openxmlformats.org/officeDocument/2006/relationships/ctrlProp" Target="../ctrlProps/ctrlProp1043.xml"/><Relationship Id="rId40" Type="http://schemas.openxmlformats.org/officeDocument/2006/relationships/ctrlProp" Target="../ctrlProps/ctrlProp1059.xml"/><Relationship Id="rId45" Type="http://schemas.openxmlformats.org/officeDocument/2006/relationships/ctrlProp" Target="../ctrlProps/ctrlProp1064.xml"/><Relationship Id="rId66" Type="http://schemas.openxmlformats.org/officeDocument/2006/relationships/ctrlProp" Target="../ctrlProps/ctrlProp1085.xml"/><Relationship Id="rId87" Type="http://schemas.openxmlformats.org/officeDocument/2006/relationships/ctrlProp" Target="../ctrlProps/ctrlProp1106.xml"/><Relationship Id="rId110" Type="http://schemas.openxmlformats.org/officeDocument/2006/relationships/ctrlProp" Target="../ctrlProps/ctrlProp1129.xml"/><Relationship Id="rId115" Type="http://schemas.openxmlformats.org/officeDocument/2006/relationships/ctrlProp" Target="../ctrlProps/ctrlProp1134.xml"/><Relationship Id="rId131" Type="http://schemas.openxmlformats.org/officeDocument/2006/relationships/ctrlProp" Target="../ctrlProps/ctrlProp1150.xml"/><Relationship Id="rId136" Type="http://schemas.openxmlformats.org/officeDocument/2006/relationships/ctrlProp" Target="../ctrlProps/ctrlProp1155.xml"/><Relationship Id="rId61" Type="http://schemas.openxmlformats.org/officeDocument/2006/relationships/ctrlProp" Target="../ctrlProps/ctrlProp1080.xml"/><Relationship Id="rId82" Type="http://schemas.openxmlformats.org/officeDocument/2006/relationships/ctrlProp" Target="../ctrlProps/ctrlProp1101.xml"/><Relationship Id="rId152" Type="http://schemas.openxmlformats.org/officeDocument/2006/relationships/ctrlProp" Target="../ctrlProps/ctrlProp1171.xml"/><Relationship Id="rId19" Type="http://schemas.openxmlformats.org/officeDocument/2006/relationships/ctrlProp" Target="../ctrlProps/ctrlProp1038.xml"/><Relationship Id="rId14" Type="http://schemas.openxmlformats.org/officeDocument/2006/relationships/ctrlProp" Target="../ctrlProps/ctrlProp1033.xml"/><Relationship Id="rId30" Type="http://schemas.openxmlformats.org/officeDocument/2006/relationships/ctrlProp" Target="../ctrlProps/ctrlProp1049.xml"/><Relationship Id="rId35" Type="http://schemas.openxmlformats.org/officeDocument/2006/relationships/ctrlProp" Target="../ctrlProps/ctrlProp1054.xml"/><Relationship Id="rId56" Type="http://schemas.openxmlformats.org/officeDocument/2006/relationships/ctrlProp" Target="../ctrlProps/ctrlProp1075.xml"/><Relationship Id="rId77" Type="http://schemas.openxmlformats.org/officeDocument/2006/relationships/ctrlProp" Target="../ctrlProps/ctrlProp1096.xml"/><Relationship Id="rId100" Type="http://schemas.openxmlformats.org/officeDocument/2006/relationships/ctrlProp" Target="../ctrlProps/ctrlProp1119.xml"/><Relationship Id="rId105" Type="http://schemas.openxmlformats.org/officeDocument/2006/relationships/ctrlProp" Target="../ctrlProps/ctrlProp1124.xml"/><Relationship Id="rId126" Type="http://schemas.openxmlformats.org/officeDocument/2006/relationships/ctrlProp" Target="../ctrlProps/ctrlProp1145.xml"/><Relationship Id="rId147" Type="http://schemas.openxmlformats.org/officeDocument/2006/relationships/ctrlProp" Target="../ctrlProps/ctrlProp1166.xml"/><Relationship Id="rId8" Type="http://schemas.openxmlformats.org/officeDocument/2006/relationships/ctrlProp" Target="../ctrlProps/ctrlProp1027.xml"/><Relationship Id="rId51" Type="http://schemas.openxmlformats.org/officeDocument/2006/relationships/ctrlProp" Target="../ctrlProps/ctrlProp1070.xml"/><Relationship Id="rId72" Type="http://schemas.openxmlformats.org/officeDocument/2006/relationships/ctrlProp" Target="../ctrlProps/ctrlProp1091.xml"/><Relationship Id="rId93" Type="http://schemas.openxmlformats.org/officeDocument/2006/relationships/ctrlProp" Target="../ctrlProps/ctrlProp1112.xml"/><Relationship Id="rId98" Type="http://schemas.openxmlformats.org/officeDocument/2006/relationships/ctrlProp" Target="../ctrlProps/ctrlProp1117.xml"/><Relationship Id="rId121" Type="http://schemas.openxmlformats.org/officeDocument/2006/relationships/ctrlProp" Target="../ctrlProps/ctrlProp1140.xml"/><Relationship Id="rId142" Type="http://schemas.openxmlformats.org/officeDocument/2006/relationships/ctrlProp" Target="../ctrlProps/ctrlProp1161.xml"/><Relationship Id="rId3" Type="http://schemas.openxmlformats.org/officeDocument/2006/relationships/ctrlProp" Target="../ctrlProps/ctrlProp1022.xml"/><Relationship Id="rId25" Type="http://schemas.openxmlformats.org/officeDocument/2006/relationships/ctrlProp" Target="../ctrlProps/ctrlProp1044.xml"/><Relationship Id="rId46" Type="http://schemas.openxmlformats.org/officeDocument/2006/relationships/ctrlProp" Target="../ctrlProps/ctrlProp1065.xml"/><Relationship Id="rId67" Type="http://schemas.openxmlformats.org/officeDocument/2006/relationships/ctrlProp" Target="../ctrlProps/ctrlProp1086.xml"/><Relationship Id="rId116" Type="http://schemas.openxmlformats.org/officeDocument/2006/relationships/ctrlProp" Target="../ctrlProps/ctrlProp1135.xml"/><Relationship Id="rId137" Type="http://schemas.openxmlformats.org/officeDocument/2006/relationships/ctrlProp" Target="../ctrlProps/ctrlProp1156.xml"/><Relationship Id="rId20" Type="http://schemas.openxmlformats.org/officeDocument/2006/relationships/ctrlProp" Target="../ctrlProps/ctrlProp1039.xml"/><Relationship Id="rId41" Type="http://schemas.openxmlformats.org/officeDocument/2006/relationships/ctrlProp" Target="../ctrlProps/ctrlProp1060.xml"/><Relationship Id="rId62" Type="http://schemas.openxmlformats.org/officeDocument/2006/relationships/ctrlProp" Target="../ctrlProps/ctrlProp1081.xml"/><Relationship Id="rId83" Type="http://schemas.openxmlformats.org/officeDocument/2006/relationships/ctrlProp" Target="../ctrlProps/ctrlProp1102.xml"/><Relationship Id="rId88" Type="http://schemas.openxmlformats.org/officeDocument/2006/relationships/ctrlProp" Target="../ctrlProps/ctrlProp1107.xml"/><Relationship Id="rId111" Type="http://schemas.openxmlformats.org/officeDocument/2006/relationships/ctrlProp" Target="../ctrlProps/ctrlProp1130.xml"/><Relationship Id="rId132" Type="http://schemas.openxmlformats.org/officeDocument/2006/relationships/ctrlProp" Target="../ctrlProps/ctrlProp1151.xml"/><Relationship Id="rId153" Type="http://schemas.openxmlformats.org/officeDocument/2006/relationships/ctrlProp" Target="../ctrlProps/ctrlProp1172.xml"/><Relationship Id="rId15" Type="http://schemas.openxmlformats.org/officeDocument/2006/relationships/ctrlProp" Target="../ctrlProps/ctrlProp1034.xml"/><Relationship Id="rId36" Type="http://schemas.openxmlformats.org/officeDocument/2006/relationships/ctrlProp" Target="../ctrlProps/ctrlProp1055.xml"/><Relationship Id="rId57" Type="http://schemas.openxmlformats.org/officeDocument/2006/relationships/ctrlProp" Target="../ctrlProps/ctrlProp1076.xml"/><Relationship Id="rId106" Type="http://schemas.openxmlformats.org/officeDocument/2006/relationships/ctrlProp" Target="../ctrlProps/ctrlProp1125.xml"/><Relationship Id="rId127" Type="http://schemas.openxmlformats.org/officeDocument/2006/relationships/ctrlProp" Target="../ctrlProps/ctrlProp1146.xml"/><Relationship Id="rId10" Type="http://schemas.openxmlformats.org/officeDocument/2006/relationships/ctrlProp" Target="../ctrlProps/ctrlProp1029.xml"/><Relationship Id="rId31" Type="http://schemas.openxmlformats.org/officeDocument/2006/relationships/ctrlProp" Target="../ctrlProps/ctrlProp1050.xml"/><Relationship Id="rId52" Type="http://schemas.openxmlformats.org/officeDocument/2006/relationships/ctrlProp" Target="../ctrlProps/ctrlProp1071.xml"/><Relationship Id="rId73" Type="http://schemas.openxmlformats.org/officeDocument/2006/relationships/ctrlProp" Target="../ctrlProps/ctrlProp1092.xml"/><Relationship Id="rId78" Type="http://schemas.openxmlformats.org/officeDocument/2006/relationships/ctrlProp" Target="../ctrlProps/ctrlProp1097.xml"/><Relationship Id="rId94" Type="http://schemas.openxmlformats.org/officeDocument/2006/relationships/ctrlProp" Target="../ctrlProps/ctrlProp1113.xml"/><Relationship Id="rId99" Type="http://schemas.openxmlformats.org/officeDocument/2006/relationships/ctrlProp" Target="../ctrlProps/ctrlProp1118.xml"/><Relationship Id="rId101" Type="http://schemas.openxmlformats.org/officeDocument/2006/relationships/ctrlProp" Target="../ctrlProps/ctrlProp1120.xml"/><Relationship Id="rId122" Type="http://schemas.openxmlformats.org/officeDocument/2006/relationships/ctrlProp" Target="../ctrlProps/ctrlProp1141.xml"/><Relationship Id="rId143" Type="http://schemas.openxmlformats.org/officeDocument/2006/relationships/ctrlProp" Target="../ctrlProps/ctrlProp1162.xml"/><Relationship Id="rId148" Type="http://schemas.openxmlformats.org/officeDocument/2006/relationships/ctrlProp" Target="../ctrlProps/ctrlProp1167.xml"/><Relationship Id="rId4" Type="http://schemas.openxmlformats.org/officeDocument/2006/relationships/ctrlProp" Target="../ctrlProps/ctrlProp1023.xml"/><Relationship Id="rId9" Type="http://schemas.openxmlformats.org/officeDocument/2006/relationships/ctrlProp" Target="../ctrlProps/ctrlProp1028.xml"/><Relationship Id="rId26" Type="http://schemas.openxmlformats.org/officeDocument/2006/relationships/ctrlProp" Target="../ctrlProps/ctrlProp1045.xml"/><Relationship Id="rId47" Type="http://schemas.openxmlformats.org/officeDocument/2006/relationships/ctrlProp" Target="../ctrlProps/ctrlProp1066.xml"/><Relationship Id="rId68" Type="http://schemas.openxmlformats.org/officeDocument/2006/relationships/ctrlProp" Target="../ctrlProps/ctrlProp1087.xml"/><Relationship Id="rId89" Type="http://schemas.openxmlformats.org/officeDocument/2006/relationships/ctrlProp" Target="../ctrlProps/ctrlProp1108.xml"/><Relationship Id="rId112" Type="http://schemas.openxmlformats.org/officeDocument/2006/relationships/ctrlProp" Target="../ctrlProps/ctrlProp1131.xml"/><Relationship Id="rId133" Type="http://schemas.openxmlformats.org/officeDocument/2006/relationships/ctrlProp" Target="../ctrlProps/ctrlProp1152.xml"/><Relationship Id="rId16" Type="http://schemas.openxmlformats.org/officeDocument/2006/relationships/ctrlProp" Target="../ctrlProps/ctrlProp1035.xml"/><Relationship Id="rId37" Type="http://schemas.openxmlformats.org/officeDocument/2006/relationships/ctrlProp" Target="../ctrlProps/ctrlProp1056.xml"/><Relationship Id="rId58" Type="http://schemas.openxmlformats.org/officeDocument/2006/relationships/ctrlProp" Target="../ctrlProps/ctrlProp1077.xml"/><Relationship Id="rId79" Type="http://schemas.openxmlformats.org/officeDocument/2006/relationships/ctrlProp" Target="../ctrlProps/ctrlProp1098.xml"/><Relationship Id="rId102" Type="http://schemas.openxmlformats.org/officeDocument/2006/relationships/ctrlProp" Target="../ctrlProps/ctrlProp1121.xml"/><Relationship Id="rId123" Type="http://schemas.openxmlformats.org/officeDocument/2006/relationships/ctrlProp" Target="../ctrlProps/ctrlProp1142.xml"/><Relationship Id="rId144" Type="http://schemas.openxmlformats.org/officeDocument/2006/relationships/ctrlProp" Target="../ctrlProps/ctrlProp1163.xml"/><Relationship Id="rId90" Type="http://schemas.openxmlformats.org/officeDocument/2006/relationships/ctrlProp" Target="../ctrlProps/ctrlProp110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196.xml"/><Relationship Id="rId117" Type="http://schemas.openxmlformats.org/officeDocument/2006/relationships/ctrlProp" Target="../ctrlProps/ctrlProp1287.xml"/><Relationship Id="rId21" Type="http://schemas.openxmlformats.org/officeDocument/2006/relationships/ctrlProp" Target="../ctrlProps/ctrlProp1191.xml"/><Relationship Id="rId42" Type="http://schemas.openxmlformats.org/officeDocument/2006/relationships/ctrlProp" Target="../ctrlProps/ctrlProp1212.xml"/><Relationship Id="rId47" Type="http://schemas.openxmlformats.org/officeDocument/2006/relationships/ctrlProp" Target="../ctrlProps/ctrlProp1217.xml"/><Relationship Id="rId63" Type="http://schemas.openxmlformats.org/officeDocument/2006/relationships/ctrlProp" Target="../ctrlProps/ctrlProp1233.xml"/><Relationship Id="rId68" Type="http://schemas.openxmlformats.org/officeDocument/2006/relationships/ctrlProp" Target="../ctrlProps/ctrlProp1238.xml"/><Relationship Id="rId84" Type="http://schemas.openxmlformats.org/officeDocument/2006/relationships/ctrlProp" Target="../ctrlProps/ctrlProp1254.xml"/><Relationship Id="rId89" Type="http://schemas.openxmlformats.org/officeDocument/2006/relationships/ctrlProp" Target="../ctrlProps/ctrlProp1259.xml"/><Relationship Id="rId112" Type="http://schemas.openxmlformats.org/officeDocument/2006/relationships/ctrlProp" Target="../ctrlProps/ctrlProp1282.xml"/><Relationship Id="rId16" Type="http://schemas.openxmlformats.org/officeDocument/2006/relationships/ctrlProp" Target="../ctrlProps/ctrlProp1186.xml"/><Relationship Id="rId107" Type="http://schemas.openxmlformats.org/officeDocument/2006/relationships/ctrlProp" Target="../ctrlProps/ctrlProp1277.xml"/><Relationship Id="rId11" Type="http://schemas.openxmlformats.org/officeDocument/2006/relationships/ctrlProp" Target="../ctrlProps/ctrlProp1181.xml"/><Relationship Id="rId32" Type="http://schemas.openxmlformats.org/officeDocument/2006/relationships/ctrlProp" Target="../ctrlProps/ctrlProp1202.xml"/><Relationship Id="rId37" Type="http://schemas.openxmlformats.org/officeDocument/2006/relationships/ctrlProp" Target="../ctrlProps/ctrlProp1207.xml"/><Relationship Id="rId53" Type="http://schemas.openxmlformats.org/officeDocument/2006/relationships/ctrlProp" Target="../ctrlProps/ctrlProp1223.xml"/><Relationship Id="rId58" Type="http://schemas.openxmlformats.org/officeDocument/2006/relationships/ctrlProp" Target="../ctrlProps/ctrlProp1228.xml"/><Relationship Id="rId74" Type="http://schemas.openxmlformats.org/officeDocument/2006/relationships/ctrlProp" Target="../ctrlProps/ctrlProp1244.xml"/><Relationship Id="rId79" Type="http://schemas.openxmlformats.org/officeDocument/2006/relationships/ctrlProp" Target="../ctrlProps/ctrlProp1249.xml"/><Relationship Id="rId102" Type="http://schemas.openxmlformats.org/officeDocument/2006/relationships/ctrlProp" Target="../ctrlProps/ctrlProp1272.xml"/><Relationship Id="rId123" Type="http://schemas.openxmlformats.org/officeDocument/2006/relationships/ctrlProp" Target="../ctrlProps/ctrlProp1293.xml"/><Relationship Id="rId128" Type="http://schemas.openxmlformats.org/officeDocument/2006/relationships/ctrlProp" Target="../ctrlProps/ctrlProp1298.xml"/><Relationship Id="rId5" Type="http://schemas.openxmlformats.org/officeDocument/2006/relationships/ctrlProp" Target="../ctrlProps/ctrlProp1175.xml"/><Relationship Id="rId90" Type="http://schemas.openxmlformats.org/officeDocument/2006/relationships/ctrlProp" Target="../ctrlProps/ctrlProp1260.xml"/><Relationship Id="rId95" Type="http://schemas.openxmlformats.org/officeDocument/2006/relationships/ctrlProp" Target="../ctrlProps/ctrlProp1265.xml"/><Relationship Id="rId22" Type="http://schemas.openxmlformats.org/officeDocument/2006/relationships/ctrlProp" Target="../ctrlProps/ctrlProp1192.xml"/><Relationship Id="rId27" Type="http://schemas.openxmlformats.org/officeDocument/2006/relationships/ctrlProp" Target="../ctrlProps/ctrlProp1197.xml"/><Relationship Id="rId43" Type="http://schemas.openxmlformats.org/officeDocument/2006/relationships/ctrlProp" Target="../ctrlProps/ctrlProp1213.xml"/><Relationship Id="rId48" Type="http://schemas.openxmlformats.org/officeDocument/2006/relationships/ctrlProp" Target="../ctrlProps/ctrlProp1218.xml"/><Relationship Id="rId64" Type="http://schemas.openxmlformats.org/officeDocument/2006/relationships/ctrlProp" Target="../ctrlProps/ctrlProp1234.xml"/><Relationship Id="rId69" Type="http://schemas.openxmlformats.org/officeDocument/2006/relationships/ctrlProp" Target="../ctrlProps/ctrlProp1239.xml"/><Relationship Id="rId113" Type="http://schemas.openxmlformats.org/officeDocument/2006/relationships/ctrlProp" Target="../ctrlProps/ctrlProp1283.xml"/><Relationship Id="rId118" Type="http://schemas.openxmlformats.org/officeDocument/2006/relationships/ctrlProp" Target="../ctrlProps/ctrlProp1288.xml"/><Relationship Id="rId80" Type="http://schemas.openxmlformats.org/officeDocument/2006/relationships/ctrlProp" Target="../ctrlProps/ctrlProp1250.xml"/><Relationship Id="rId85" Type="http://schemas.openxmlformats.org/officeDocument/2006/relationships/ctrlProp" Target="../ctrlProps/ctrlProp1255.xml"/><Relationship Id="rId12" Type="http://schemas.openxmlformats.org/officeDocument/2006/relationships/ctrlProp" Target="../ctrlProps/ctrlProp1182.xml"/><Relationship Id="rId17" Type="http://schemas.openxmlformats.org/officeDocument/2006/relationships/ctrlProp" Target="../ctrlProps/ctrlProp1187.xml"/><Relationship Id="rId33" Type="http://schemas.openxmlformats.org/officeDocument/2006/relationships/ctrlProp" Target="../ctrlProps/ctrlProp1203.xml"/><Relationship Id="rId38" Type="http://schemas.openxmlformats.org/officeDocument/2006/relationships/ctrlProp" Target="../ctrlProps/ctrlProp1208.xml"/><Relationship Id="rId59" Type="http://schemas.openxmlformats.org/officeDocument/2006/relationships/ctrlProp" Target="../ctrlProps/ctrlProp1229.xml"/><Relationship Id="rId103" Type="http://schemas.openxmlformats.org/officeDocument/2006/relationships/ctrlProp" Target="../ctrlProps/ctrlProp1273.xml"/><Relationship Id="rId108" Type="http://schemas.openxmlformats.org/officeDocument/2006/relationships/ctrlProp" Target="../ctrlProps/ctrlProp1278.xml"/><Relationship Id="rId124" Type="http://schemas.openxmlformats.org/officeDocument/2006/relationships/ctrlProp" Target="../ctrlProps/ctrlProp1294.xml"/><Relationship Id="rId54" Type="http://schemas.openxmlformats.org/officeDocument/2006/relationships/ctrlProp" Target="../ctrlProps/ctrlProp1224.xml"/><Relationship Id="rId70" Type="http://schemas.openxmlformats.org/officeDocument/2006/relationships/ctrlProp" Target="../ctrlProps/ctrlProp1240.xml"/><Relationship Id="rId75" Type="http://schemas.openxmlformats.org/officeDocument/2006/relationships/ctrlProp" Target="../ctrlProps/ctrlProp1245.xml"/><Relationship Id="rId91" Type="http://schemas.openxmlformats.org/officeDocument/2006/relationships/ctrlProp" Target="../ctrlProps/ctrlProp1261.xml"/><Relationship Id="rId96" Type="http://schemas.openxmlformats.org/officeDocument/2006/relationships/ctrlProp" Target="../ctrlProps/ctrlProp1266.xml"/><Relationship Id="rId1" Type="http://schemas.openxmlformats.org/officeDocument/2006/relationships/drawing" Target="../drawings/drawing20.xml"/><Relationship Id="rId6" Type="http://schemas.openxmlformats.org/officeDocument/2006/relationships/ctrlProp" Target="../ctrlProps/ctrlProp1176.xml"/><Relationship Id="rId23" Type="http://schemas.openxmlformats.org/officeDocument/2006/relationships/ctrlProp" Target="../ctrlProps/ctrlProp1193.xml"/><Relationship Id="rId28" Type="http://schemas.openxmlformats.org/officeDocument/2006/relationships/ctrlProp" Target="../ctrlProps/ctrlProp1198.xml"/><Relationship Id="rId49" Type="http://schemas.openxmlformats.org/officeDocument/2006/relationships/ctrlProp" Target="../ctrlProps/ctrlProp1219.xml"/><Relationship Id="rId114" Type="http://schemas.openxmlformats.org/officeDocument/2006/relationships/ctrlProp" Target="../ctrlProps/ctrlProp1284.xml"/><Relationship Id="rId119" Type="http://schemas.openxmlformats.org/officeDocument/2006/relationships/ctrlProp" Target="../ctrlProps/ctrlProp1289.xml"/><Relationship Id="rId44" Type="http://schemas.openxmlformats.org/officeDocument/2006/relationships/ctrlProp" Target="../ctrlProps/ctrlProp1214.xml"/><Relationship Id="rId60" Type="http://schemas.openxmlformats.org/officeDocument/2006/relationships/ctrlProp" Target="../ctrlProps/ctrlProp1230.xml"/><Relationship Id="rId65" Type="http://schemas.openxmlformats.org/officeDocument/2006/relationships/ctrlProp" Target="../ctrlProps/ctrlProp1235.xml"/><Relationship Id="rId81" Type="http://schemas.openxmlformats.org/officeDocument/2006/relationships/ctrlProp" Target="../ctrlProps/ctrlProp1251.xml"/><Relationship Id="rId86" Type="http://schemas.openxmlformats.org/officeDocument/2006/relationships/ctrlProp" Target="../ctrlProps/ctrlProp1256.xml"/><Relationship Id="rId13" Type="http://schemas.openxmlformats.org/officeDocument/2006/relationships/ctrlProp" Target="../ctrlProps/ctrlProp1183.xml"/><Relationship Id="rId18" Type="http://schemas.openxmlformats.org/officeDocument/2006/relationships/ctrlProp" Target="../ctrlProps/ctrlProp1188.xml"/><Relationship Id="rId39" Type="http://schemas.openxmlformats.org/officeDocument/2006/relationships/ctrlProp" Target="../ctrlProps/ctrlProp1209.xml"/><Relationship Id="rId109" Type="http://schemas.openxmlformats.org/officeDocument/2006/relationships/ctrlProp" Target="../ctrlProps/ctrlProp1279.xml"/><Relationship Id="rId34" Type="http://schemas.openxmlformats.org/officeDocument/2006/relationships/ctrlProp" Target="../ctrlProps/ctrlProp1204.xml"/><Relationship Id="rId50" Type="http://schemas.openxmlformats.org/officeDocument/2006/relationships/ctrlProp" Target="../ctrlProps/ctrlProp1220.xml"/><Relationship Id="rId55" Type="http://schemas.openxmlformats.org/officeDocument/2006/relationships/ctrlProp" Target="../ctrlProps/ctrlProp1225.xml"/><Relationship Id="rId76" Type="http://schemas.openxmlformats.org/officeDocument/2006/relationships/ctrlProp" Target="../ctrlProps/ctrlProp1246.xml"/><Relationship Id="rId97" Type="http://schemas.openxmlformats.org/officeDocument/2006/relationships/ctrlProp" Target="../ctrlProps/ctrlProp1267.xml"/><Relationship Id="rId104" Type="http://schemas.openxmlformats.org/officeDocument/2006/relationships/ctrlProp" Target="../ctrlProps/ctrlProp1274.xml"/><Relationship Id="rId120" Type="http://schemas.openxmlformats.org/officeDocument/2006/relationships/ctrlProp" Target="../ctrlProps/ctrlProp1290.xml"/><Relationship Id="rId125" Type="http://schemas.openxmlformats.org/officeDocument/2006/relationships/ctrlProp" Target="../ctrlProps/ctrlProp1295.xml"/><Relationship Id="rId7" Type="http://schemas.openxmlformats.org/officeDocument/2006/relationships/ctrlProp" Target="../ctrlProps/ctrlProp1177.xml"/><Relationship Id="rId71" Type="http://schemas.openxmlformats.org/officeDocument/2006/relationships/ctrlProp" Target="../ctrlProps/ctrlProp1241.xml"/><Relationship Id="rId92" Type="http://schemas.openxmlformats.org/officeDocument/2006/relationships/ctrlProp" Target="../ctrlProps/ctrlProp1262.xml"/><Relationship Id="rId2" Type="http://schemas.openxmlformats.org/officeDocument/2006/relationships/vmlDrawing" Target="../drawings/vmlDrawing10.vml"/><Relationship Id="rId29" Type="http://schemas.openxmlformats.org/officeDocument/2006/relationships/ctrlProp" Target="../ctrlProps/ctrlProp1199.xml"/><Relationship Id="rId24" Type="http://schemas.openxmlformats.org/officeDocument/2006/relationships/ctrlProp" Target="../ctrlProps/ctrlProp1194.xml"/><Relationship Id="rId40" Type="http://schemas.openxmlformats.org/officeDocument/2006/relationships/ctrlProp" Target="../ctrlProps/ctrlProp1210.xml"/><Relationship Id="rId45" Type="http://schemas.openxmlformats.org/officeDocument/2006/relationships/ctrlProp" Target="../ctrlProps/ctrlProp1215.xml"/><Relationship Id="rId66" Type="http://schemas.openxmlformats.org/officeDocument/2006/relationships/ctrlProp" Target="../ctrlProps/ctrlProp1236.xml"/><Relationship Id="rId87" Type="http://schemas.openxmlformats.org/officeDocument/2006/relationships/ctrlProp" Target="../ctrlProps/ctrlProp1257.xml"/><Relationship Id="rId110" Type="http://schemas.openxmlformats.org/officeDocument/2006/relationships/ctrlProp" Target="../ctrlProps/ctrlProp1280.xml"/><Relationship Id="rId115" Type="http://schemas.openxmlformats.org/officeDocument/2006/relationships/ctrlProp" Target="../ctrlProps/ctrlProp1285.xml"/><Relationship Id="rId61" Type="http://schemas.openxmlformats.org/officeDocument/2006/relationships/ctrlProp" Target="../ctrlProps/ctrlProp1231.xml"/><Relationship Id="rId82" Type="http://schemas.openxmlformats.org/officeDocument/2006/relationships/ctrlProp" Target="../ctrlProps/ctrlProp1252.xml"/><Relationship Id="rId19" Type="http://schemas.openxmlformats.org/officeDocument/2006/relationships/ctrlProp" Target="../ctrlProps/ctrlProp1189.xml"/><Relationship Id="rId14" Type="http://schemas.openxmlformats.org/officeDocument/2006/relationships/ctrlProp" Target="../ctrlProps/ctrlProp1184.xml"/><Relationship Id="rId30" Type="http://schemas.openxmlformats.org/officeDocument/2006/relationships/ctrlProp" Target="../ctrlProps/ctrlProp1200.xml"/><Relationship Id="rId35" Type="http://schemas.openxmlformats.org/officeDocument/2006/relationships/ctrlProp" Target="../ctrlProps/ctrlProp1205.xml"/><Relationship Id="rId56" Type="http://schemas.openxmlformats.org/officeDocument/2006/relationships/ctrlProp" Target="../ctrlProps/ctrlProp1226.xml"/><Relationship Id="rId77" Type="http://schemas.openxmlformats.org/officeDocument/2006/relationships/ctrlProp" Target="../ctrlProps/ctrlProp1247.xml"/><Relationship Id="rId100" Type="http://schemas.openxmlformats.org/officeDocument/2006/relationships/ctrlProp" Target="../ctrlProps/ctrlProp1270.xml"/><Relationship Id="rId105" Type="http://schemas.openxmlformats.org/officeDocument/2006/relationships/ctrlProp" Target="../ctrlProps/ctrlProp1275.xml"/><Relationship Id="rId126" Type="http://schemas.openxmlformats.org/officeDocument/2006/relationships/ctrlProp" Target="../ctrlProps/ctrlProp1296.xml"/><Relationship Id="rId8" Type="http://schemas.openxmlformats.org/officeDocument/2006/relationships/ctrlProp" Target="../ctrlProps/ctrlProp1178.xml"/><Relationship Id="rId51" Type="http://schemas.openxmlformats.org/officeDocument/2006/relationships/ctrlProp" Target="../ctrlProps/ctrlProp1221.xml"/><Relationship Id="rId72" Type="http://schemas.openxmlformats.org/officeDocument/2006/relationships/ctrlProp" Target="../ctrlProps/ctrlProp1242.xml"/><Relationship Id="rId93" Type="http://schemas.openxmlformats.org/officeDocument/2006/relationships/ctrlProp" Target="../ctrlProps/ctrlProp1263.xml"/><Relationship Id="rId98" Type="http://schemas.openxmlformats.org/officeDocument/2006/relationships/ctrlProp" Target="../ctrlProps/ctrlProp1268.xml"/><Relationship Id="rId121" Type="http://schemas.openxmlformats.org/officeDocument/2006/relationships/ctrlProp" Target="../ctrlProps/ctrlProp1291.xml"/><Relationship Id="rId3" Type="http://schemas.openxmlformats.org/officeDocument/2006/relationships/ctrlProp" Target="../ctrlProps/ctrlProp1173.xml"/><Relationship Id="rId25" Type="http://schemas.openxmlformats.org/officeDocument/2006/relationships/ctrlProp" Target="../ctrlProps/ctrlProp1195.xml"/><Relationship Id="rId46" Type="http://schemas.openxmlformats.org/officeDocument/2006/relationships/ctrlProp" Target="../ctrlProps/ctrlProp1216.xml"/><Relationship Id="rId67" Type="http://schemas.openxmlformats.org/officeDocument/2006/relationships/ctrlProp" Target="../ctrlProps/ctrlProp1237.xml"/><Relationship Id="rId116" Type="http://schemas.openxmlformats.org/officeDocument/2006/relationships/ctrlProp" Target="../ctrlProps/ctrlProp1286.xml"/><Relationship Id="rId20" Type="http://schemas.openxmlformats.org/officeDocument/2006/relationships/ctrlProp" Target="../ctrlProps/ctrlProp1190.xml"/><Relationship Id="rId41" Type="http://schemas.openxmlformats.org/officeDocument/2006/relationships/ctrlProp" Target="../ctrlProps/ctrlProp1211.xml"/><Relationship Id="rId62" Type="http://schemas.openxmlformats.org/officeDocument/2006/relationships/ctrlProp" Target="../ctrlProps/ctrlProp1232.xml"/><Relationship Id="rId83" Type="http://schemas.openxmlformats.org/officeDocument/2006/relationships/ctrlProp" Target="../ctrlProps/ctrlProp1253.xml"/><Relationship Id="rId88" Type="http://schemas.openxmlformats.org/officeDocument/2006/relationships/ctrlProp" Target="../ctrlProps/ctrlProp1258.xml"/><Relationship Id="rId111" Type="http://schemas.openxmlformats.org/officeDocument/2006/relationships/ctrlProp" Target="../ctrlProps/ctrlProp1281.xml"/><Relationship Id="rId15" Type="http://schemas.openxmlformats.org/officeDocument/2006/relationships/ctrlProp" Target="../ctrlProps/ctrlProp1185.xml"/><Relationship Id="rId36" Type="http://schemas.openxmlformats.org/officeDocument/2006/relationships/ctrlProp" Target="../ctrlProps/ctrlProp1206.xml"/><Relationship Id="rId57" Type="http://schemas.openxmlformats.org/officeDocument/2006/relationships/ctrlProp" Target="../ctrlProps/ctrlProp1227.xml"/><Relationship Id="rId106" Type="http://schemas.openxmlformats.org/officeDocument/2006/relationships/ctrlProp" Target="../ctrlProps/ctrlProp1276.xml"/><Relationship Id="rId127" Type="http://schemas.openxmlformats.org/officeDocument/2006/relationships/ctrlProp" Target="../ctrlProps/ctrlProp1297.xml"/><Relationship Id="rId10" Type="http://schemas.openxmlformats.org/officeDocument/2006/relationships/ctrlProp" Target="../ctrlProps/ctrlProp1180.xml"/><Relationship Id="rId31" Type="http://schemas.openxmlformats.org/officeDocument/2006/relationships/ctrlProp" Target="../ctrlProps/ctrlProp1201.xml"/><Relationship Id="rId52" Type="http://schemas.openxmlformats.org/officeDocument/2006/relationships/ctrlProp" Target="../ctrlProps/ctrlProp1222.xml"/><Relationship Id="rId73" Type="http://schemas.openxmlformats.org/officeDocument/2006/relationships/ctrlProp" Target="../ctrlProps/ctrlProp1243.xml"/><Relationship Id="rId78" Type="http://schemas.openxmlformats.org/officeDocument/2006/relationships/ctrlProp" Target="../ctrlProps/ctrlProp1248.xml"/><Relationship Id="rId94" Type="http://schemas.openxmlformats.org/officeDocument/2006/relationships/ctrlProp" Target="../ctrlProps/ctrlProp1264.xml"/><Relationship Id="rId99" Type="http://schemas.openxmlformats.org/officeDocument/2006/relationships/ctrlProp" Target="../ctrlProps/ctrlProp1269.xml"/><Relationship Id="rId101" Type="http://schemas.openxmlformats.org/officeDocument/2006/relationships/ctrlProp" Target="../ctrlProps/ctrlProp1271.xml"/><Relationship Id="rId122" Type="http://schemas.openxmlformats.org/officeDocument/2006/relationships/ctrlProp" Target="../ctrlProps/ctrlProp1292.xml"/><Relationship Id="rId4" Type="http://schemas.openxmlformats.org/officeDocument/2006/relationships/ctrlProp" Target="../ctrlProps/ctrlProp1174.xml"/><Relationship Id="rId9" Type="http://schemas.openxmlformats.org/officeDocument/2006/relationships/ctrlProp" Target="../ctrlProps/ctrlProp117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413.xml"/><Relationship Id="rId21" Type="http://schemas.openxmlformats.org/officeDocument/2006/relationships/ctrlProp" Target="../ctrlProps/ctrlProp1317.xml"/><Relationship Id="rId42" Type="http://schemas.openxmlformats.org/officeDocument/2006/relationships/ctrlProp" Target="../ctrlProps/ctrlProp1338.xml"/><Relationship Id="rId63" Type="http://schemas.openxmlformats.org/officeDocument/2006/relationships/ctrlProp" Target="../ctrlProps/ctrlProp1359.xml"/><Relationship Id="rId84" Type="http://schemas.openxmlformats.org/officeDocument/2006/relationships/ctrlProp" Target="../ctrlProps/ctrlProp1380.xml"/><Relationship Id="rId138" Type="http://schemas.openxmlformats.org/officeDocument/2006/relationships/ctrlProp" Target="../ctrlProps/ctrlProp1434.xml"/><Relationship Id="rId16" Type="http://schemas.openxmlformats.org/officeDocument/2006/relationships/ctrlProp" Target="../ctrlProps/ctrlProp1312.xml"/><Relationship Id="rId107" Type="http://schemas.openxmlformats.org/officeDocument/2006/relationships/ctrlProp" Target="../ctrlProps/ctrlProp1403.xml"/><Relationship Id="rId11" Type="http://schemas.openxmlformats.org/officeDocument/2006/relationships/ctrlProp" Target="../ctrlProps/ctrlProp1307.xml"/><Relationship Id="rId32" Type="http://schemas.openxmlformats.org/officeDocument/2006/relationships/ctrlProp" Target="../ctrlProps/ctrlProp1328.xml"/><Relationship Id="rId37" Type="http://schemas.openxmlformats.org/officeDocument/2006/relationships/ctrlProp" Target="../ctrlProps/ctrlProp1333.xml"/><Relationship Id="rId53" Type="http://schemas.openxmlformats.org/officeDocument/2006/relationships/ctrlProp" Target="../ctrlProps/ctrlProp1349.xml"/><Relationship Id="rId58" Type="http://schemas.openxmlformats.org/officeDocument/2006/relationships/ctrlProp" Target="../ctrlProps/ctrlProp1354.xml"/><Relationship Id="rId74" Type="http://schemas.openxmlformats.org/officeDocument/2006/relationships/ctrlProp" Target="../ctrlProps/ctrlProp1370.xml"/><Relationship Id="rId79" Type="http://schemas.openxmlformats.org/officeDocument/2006/relationships/ctrlProp" Target="../ctrlProps/ctrlProp1375.xml"/><Relationship Id="rId102" Type="http://schemas.openxmlformats.org/officeDocument/2006/relationships/ctrlProp" Target="../ctrlProps/ctrlProp1398.xml"/><Relationship Id="rId123" Type="http://schemas.openxmlformats.org/officeDocument/2006/relationships/ctrlProp" Target="../ctrlProps/ctrlProp1419.xml"/><Relationship Id="rId128" Type="http://schemas.openxmlformats.org/officeDocument/2006/relationships/ctrlProp" Target="../ctrlProps/ctrlProp1424.xml"/><Relationship Id="rId5" Type="http://schemas.openxmlformats.org/officeDocument/2006/relationships/ctrlProp" Target="../ctrlProps/ctrlProp1301.xml"/><Relationship Id="rId90" Type="http://schemas.openxmlformats.org/officeDocument/2006/relationships/ctrlProp" Target="../ctrlProps/ctrlProp1386.xml"/><Relationship Id="rId95" Type="http://schemas.openxmlformats.org/officeDocument/2006/relationships/ctrlProp" Target="../ctrlProps/ctrlProp1391.xml"/><Relationship Id="rId22" Type="http://schemas.openxmlformats.org/officeDocument/2006/relationships/ctrlProp" Target="../ctrlProps/ctrlProp1318.xml"/><Relationship Id="rId27" Type="http://schemas.openxmlformats.org/officeDocument/2006/relationships/ctrlProp" Target="../ctrlProps/ctrlProp1323.xml"/><Relationship Id="rId43" Type="http://schemas.openxmlformats.org/officeDocument/2006/relationships/ctrlProp" Target="../ctrlProps/ctrlProp1339.xml"/><Relationship Id="rId48" Type="http://schemas.openxmlformats.org/officeDocument/2006/relationships/ctrlProp" Target="../ctrlProps/ctrlProp1344.xml"/><Relationship Id="rId64" Type="http://schemas.openxmlformats.org/officeDocument/2006/relationships/ctrlProp" Target="../ctrlProps/ctrlProp1360.xml"/><Relationship Id="rId69" Type="http://schemas.openxmlformats.org/officeDocument/2006/relationships/ctrlProp" Target="../ctrlProps/ctrlProp1365.xml"/><Relationship Id="rId113" Type="http://schemas.openxmlformats.org/officeDocument/2006/relationships/ctrlProp" Target="../ctrlProps/ctrlProp1409.xml"/><Relationship Id="rId118" Type="http://schemas.openxmlformats.org/officeDocument/2006/relationships/ctrlProp" Target="../ctrlProps/ctrlProp1414.xml"/><Relationship Id="rId134" Type="http://schemas.openxmlformats.org/officeDocument/2006/relationships/ctrlProp" Target="../ctrlProps/ctrlProp1430.xml"/><Relationship Id="rId139" Type="http://schemas.openxmlformats.org/officeDocument/2006/relationships/ctrlProp" Target="../ctrlProps/ctrlProp1435.xml"/><Relationship Id="rId80" Type="http://schemas.openxmlformats.org/officeDocument/2006/relationships/ctrlProp" Target="../ctrlProps/ctrlProp1376.xml"/><Relationship Id="rId85" Type="http://schemas.openxmlformats.org/officeDocument/2006/relationships/ctrlProp" Target="../ctrlProps/ctrlProp1381.xml"/><Relationship Id="rId12" Type="http://schemas.openxmlformats.org/officeDocument/2006/relationships/ctrlProp" Target="../ctrlProps/ctrlProp1308.xml"/><Relationship Id="rId17" Type="http://schemas.openxmlformats.org/officeDocument/2006/relationships/ctrlProp" Target="../ctrlProps/ctrlProp1313.xml"/><Relationship Id="rId33" Type="http://schemas.openxmlformats.org/officeDocument/2006/relationships/ctrlProp" Target="../ctrlProps/ctrlProp1329.xml"/><Relationship Id="rId38" Type="http://schemas.openxmlformats.org/officeDocument/2006/relationships/ctrlProp" Target="../ctrlProps/ctrlProp1334.xml"/><Relationship Id="rId59" Type="http://schemas.openxmlformats.org/officeDocument/2006/relationships/ctrlProp" Target="../ctrlProps/ctrlProp1355.xml"/><Relationship Id="rId103" Type="http://schemas.openxmlformats.org/officeDocument/2006/relationships/ctrlProp" Target="../ctrlProps/ctrlProp1399.xml"/><Relationship Id="rId108" Type="http://schemas.openxmlformats.org/officeDocument/2006/relationships/ctrlProp" Target="../ctrlProps/ctrlProp1404.xml"/><Relationship Id="rId124" Type="http://schemas.openxmlformats.org/officeDocument/2006/relationships/ctrlProp" Target="../ctrlProps/ctrlProp1420.xml"/><Relationship Id="rId129" Type="http://schemas.openxmlformats.org/officeDocument/2006/relationships/ctrlProp" Target="../ctrlProps/ctrlProp1425.xml"/><Relationship Id="rId54" Type="http://schemas.openxmlformats.org/officeDocument/2006/relationships/ctrlProp" Target="../ctrlProps/ctrlProp1350.xml"/><Relationship Id="rId70" Type="http://schemas.openxmlformats.org/officeDocument/2006/relationships/ctrlProp" Target="../ctrlProps/ctrlProp1366.xml"/><Relationship Id="rId75" Type="http://schemas.openxmlformats.org/officeDocument/2006/relationships/ctrlProp" Target="../ctrlProps/ctrlProp1371.xml"/><Relationship Id="rId91" Type="http://schemas.openxmlformats.org/officeDocument/2006/relationships/ctrlProp" Target="../ctrlProps/ctrlProp1387.xml"/><Relationship Id="rId96" Type="http://schemas.openxmlformats.org/officeDocument/2006/relationships/ctrlProp" Target="../ctrlProps/ctrlProp1392.xml"/><Relationship Id="rId1" Type="http://schemas.openxmlformats.org/officeDocument/2006/relationships/drawing" Target="../drawings/drawing22.xml"/><Relationship Id="rId6" Type="http://schemas.openxmlformats.org/officeDocument/2006/relationships/ctrlProp" Target="../ctrlProps/ctrlProp1302.xml"/><Relationship Id="rId23" Type="http://schemas.openxmlformats.org/officeDocument/2006/relationships/ctrlProp" Target="../ctrlProps/ctrlProp1319.xml"/><Relationship Id="rId28" Type="http://schemas.openxmlformats.org/officeDocument/2006/relationships/ctrlProp" Target="../ctrlProps/ctrlProp1324.xml"/><Relationship Id="rId49" Type="http://schemas.openxmlformats.org/officeDocument/2006/relationships/ctrlProp" Target="../ctrlProps/ctrlProp1345.xml"/><Relationship Id="rId114" Type="http://schemas.openxmlformats.org/officeDocument/2006/relationships/ctrlProp" Target="../ctrlProps/ctrlProp1410.xml"/><Relationship Id="rId119" Type="http://schemas.openxmlformats.org/officeDocument/2006/relationships/ctrlProp" Target="../ctrlProps/ctrlProp1415.xml"/><Relationship Id="rId44" Type="http://schemas.openxmlformats.org/officeDocument/2006/relationships/ctrlProp" Target="../ctrlProps/ctrlProp1340.xml"/><Relationship Id="rId60" Type="http://schemas.openxmlformats.org/officeDocument/2006/relationships/ctrlProp" Target="../ctrlProps/ctrlProp1356.xml"/><Relationship Id="rId65" Type="http://schemas.openxmlformats.org/officeDocument/2006/relationships/ctrlProp" Target="../ctrlProps/ctrlProp1361.xml"/><Relationship Id="rId81" Type="http://schemas.openxmlformats.org/officeDocument/2006/relationships/ctrlProp" Target="../ctrlProps/ctrlProp1377.xml"/><Relationship Id="rId86" Type="http://schemas.openxmlformats.org/officeDocument/2006/relationships/ctrlProp" Target="../ctrlProps/ctrlProp1382.xml"/><Relationship Id="rId130" Type="http://schemas.openxmlformats.org/officeDocument/2006/relationships/ctrlProp" Target="../ctrlProps/ctrlProp1426.xml"/><Relationship Id="rId135" Type="http://schemas.openxmlformats.org/officeDocument/2006/relationships/ctrlProp" Target="../ctrlProps/ctrlProp1431.xml"/><Relationship Id="rId13" Type="http://schemas.openxmlformats.org/officeDocument/2006/relationships/ctrlProp" Target="../ctrlProps/ctrlProp1309.xml"/><Relationship Id="rId18" Type="http://schemas.openxmlformats.org/officeDocument/2006/relationships/ctrlProp" Target="../ctrlProps/ctrlProp1314.xml"/><Relationship Id="rId39" Type="http://schemas.openxmlformats.org/officeDocument/2006/relationships/ctrlProp" Target="../ctrlProps/ctrlProp1335.xml"/><Relationship Id="rId109" Type="http://schemas.openxmlformats.org/officeDocument/2006/relationships/ctrlProp" Target="../ctrlProps/ctrlProp1405.xml"/><Relationship Id="rId34" Type="http://schemas.openxmlformats.org/officeDocument/2006/relationships/ctrlProp" Target="../ctrlProps/ctrlProp1330.xml"/><Relationship Id="rId50" Type="http://schemas.openxmlformats.org/officeDocument/2006/relationships/ctrlProp" Target="../ctrlProps/ctrlProp1346.xml"/><Relationship Id="rId55" Type="http://schemas.openxmlformats.org/officeDocument/2006/relationships/ctrlProp" Target="../ctrlProps/ctrlProp1351.xml"/><Relationship Id="rId76" Type="http://schemas.openxmlformats.org/officeDocument/2006/relationships/ctrlProp" Target="../ctrlProps/ctrlProp1372.xml"/><Relationship Id="rId97" Type="http://schemas.openxmlformats.org/officeDocument/2006/relationships/ctrlProp" Target="../ctrlProps/ctrlProp1393.xml"/><Relationship Id="rId104" Type="http://schemas.openxmlformats.org/officeDocument/2006/relationships/ctrlProp" Target="../ctrlProps/ctrlProp1400.xml"/><Relationship Id="rId120" Type="http://schemas.openxmlformats.org/officeDocument/2006/relationships/ctrlProp" Target="../ctrlProps/ctrlProp1416.xml"/><Relationship Id="rId125" Type="http://schemas.openxmlformats.org/officeDocument/2006/relationships/ctrlProp" Target="../ctrlProps/ctrlProp1421.xml"/><Relationship Id="rId7" Type="http://schemas.openxmlformats.org/officeDocument/2006/relationships/ctrlProp" Target="../ctrlProps/ctrlProp1303.xml"/><Relationship Id="rId71" Type="http://schemas.openxmlformats.org/officeDocument/2006/relationships/ctrlProp" Target="../ctrlProps/ctrlProp1367.xml"/><Relationship Id="rId92" Type="http://schemas.openxmlformats.org/officeDocument/2006/relationships/ctrlProp" Target="../ctrlProps/ctrlProp1388.xml"/><Relationship Id="rId2" Type="http://schemas.openxmlformats.org/officeDocument/2006/relationships/vmlDrawing" Target="../drawings/vmlDrawing11.vml"/><Relationship Id="rId29" Type="http://schemas.openxmlformats.org/officeDocument/2006/relationships/ctrlProp" Target="../ctrlProps/ctrlProp1325.xml"/><Relationship Id="rId24" Type="http://schemas.openxmlformats.org/officeDocument/2006/relationships/ctrlProp" Target="../ctrlProps/ctrlProp1320.xml"/><Relationship Id="rId40" Type="http://schemas.openxmlformats.org/officeDocument/2006/relationships/ctrlProp" Target="../ctrlProps/ctrlProp1336.xml"/><Relationship Id="rId45" Type="http://schemas.openxmlformats.org/officeDocument/2006/relationships/ctrlProp" Target="../ctrlProps/ctrlProp1341.xml"/><Relationship Id="rId66" Type="http://schemas.openxmlformats.org/officeDocument/2006/relationships/ctrlProp" Target="../ctrlProps/ctrlProp1362.xml"/><Relationship Id="rId87" Type="http://schemas.openxmlformats.org/officeDocument/2006/relationships/ctrlProp" Target="../ctrlProps/ctrlProp1383.xml"/><Relationship Id="rId110" Type="http://schemas.openxmlformats.org/officeDocument/2006/relationships/ctrlProp" Target="../ctrlProps/ctrlProp1406.xml"/><Relationship Id="rId115" Type="http://schemas.openxmlformats.org/officeDocument/2006/relationships/ctrlProp" Target="../ctrlProps/ctrlProp1411.xml"/><Relationship Id="rId131" Type="http://schemas.openxmlformats.org/officeDocument/2006/relationships/ctrlProp" Target="../ctrlProps/ctrlProp1427.xml"/><Relationship Id="rId136" Type="http://schemas.openxmlformats.org/officeDocument/2006/relationships/ctrlProp" Target="../ctrlProps/ctrlProp1432.xml"/><Relationship Id="rId61" Type="http://schemas.openxmlformats.org/officeDocument/2006/relationships/ctrlProp" Target="../ctrlProps/ctrlProp1357.xml"/><Relationship Id="rId82" Type="http://schemas.openxmlformats.org/officeDocument/2006/relationships/ctrlProp" Target="../ctrlProps/ctrlProp1378.xml"/><Relationship Id="rId19" Type="http://schemas.openxmlformats.org/officeDocument/2006/relationships/ctrlProp" Target="../ctrlProps/ctrlProp1315.xml"/><Relationship Id="rId14" Type="http://schemas.openxmlformats.org/officeDocument/2006/relationships/ctrlProp" Target="../ctrlProps/ctrlProp1310.xml"/><Relationship Id="rId30" Type="http://schemas.openxmlformats.org/officeDocument/2006/relationships/ctrlProp" Target="../ctrlProps/ctrlProp1326.xml"/><Relationship Id="rId35" Type="http://schemas.openxmlformats.org/officeDocument/2006/relationships/ctrlProp" Target="../ctrlProps/ctrlProp1331.xml"/><Relationship Id="rId56" Type="http://schemas.openxmlformats.org/officeDocument/2006/relationships/ctrlProp" Target="../ctrlProps/ctrlProp1352.xml"/><Relationship Id="rId77" Type="http://schemas.openxmlformats.org/officeDocument/2006/relationships/ctrlProp" Target="../ctrlProps/ctrlProp1373.xml"/><Relationship Id="rId100" Type="http://schemas.openxmlformats.org/officeDocument/2006/relationships/ctrlProp" Target="../ctrlProps/ctrlProp1396.xml"/><Relationship Id="rId105" Type="http://schemas.openxmlformats.org/officeDocument/2006/relationships/ctrlProp" Target="../ctrlProps/ctrlProp1401.xml"/><Relationship Id="rId126" Type="http://schemas.openxmlformats.org/officeDocument/2006/relationships/ctrlProp" Target="../ctrlProps/ctrlProp1422.xml"/><Relationship Id="rId8" Type="http://schemas.openxmlformats.org/officeDocument/2006/relationships/ctrlProp" Target="../ctrlProps/ctrlProp1304.xml"/><Relationship Id="rId51" Type="http://schemas.openxmlformats.org/officeDocument/2006/relationships/ctrlProp" Target="../ctrlProps/ctrlProp1347.xml"/><Relationship Id="rId72" Type="http://schemas.openxmlformats.org/officeDocument/2006/relationships/ctrlProp" Target="../ctrlProps/ctrlProp1368.xml"/><Relationship Id="rId93" Type="http://schemas.openxmlformats.org/officeDocument/2006/relationships/ctrlProp" Target="../ctrlProps/ctrlProp1389.xml"/><Relationship Id="rId98" Type="http://schemas.openxmlformats.org/officeDocument/2006/relationships/ctrlProp" Target="../ctrlProps/ctrlProp1394.xml"/><Relationship Id="rId121" Type="http://schemas.openxmlformats.org/officeDocument/2006/relationships/ctrlProp" Target="../ctrlProps/ctrlProp1417.xml"/><Relationship Id="rId3" Type="http://schemas.openxmlformats.org/officeDocument/2006/relationships/ctrlProp" Target="../ctrlProps/ctrlProp1299.xml"/><Relationship Id="rId25" Type="http://schemas.openxmlformats.org/officeDocument/2006/relationships/ctrlProp" Target="../ctrlProps/ctrlProp1321.xml"/><Relationship Id="rId46" Type="http://schemas.openxmlformats.org/officeDocument/2006/relationships/ctrlProp" Target="../ctrlProps/ctrlProp1342.xml"/><Relationship Id="rId67" Type="http://schemas.openxmlformats.org/officeDocument/2006/relationships/ctrlProp" Target="../ctrlProps/ctrlProp1363.xml"/><Relationship Id="rId116" Type="http://schemas.openxmlformats.org/officeDocument/2006/relationships/ctrlProp" Target="../ctrlProps/ctrlProp1412.xml"/><Relationship Id="rId137" Type="http://schemas.openxmlformats.org/officeDocument/2006/relationships/ctrlProp" Target="../ctrlProps/ctrlProp1433.xml"/><Relationship Id="rId20" Type="http://schemas.openxmlformats.org/officeDocument/2006/relationships/ctrlProp" Target="../ctrlProps/ctrlProp1316.xml"/><Relationship Id="rId41" Type="http://schemas.openxmlformats.org/officeDocument/2006/relationships/ctrlProp" Target="../ctrlProps/ctrlProp1337.xml"/><Relationship Id="rId62" Type="http://schemas.openxmlformats.org/officeDocument/2006/relationships/ctrlProp" Target="../ctrlProps/ctrlProp1358.xml"/><Relationship Id="rId83" Type="http://schemas.openxmlformats.org/officeDocument/2006/relationships/ctrlProp" Target="../ctrlProps/ctrlProp1379.xml"/><Relationship Id="rId88" Type="http://schemas.openxmlformats.org/officeDocument/2006/relationships/ctrlProp" Target="../ctrlProps/ctrlProp1384.xml"/><Relationship Id="rId111" Type="http://schemas.openxmlformats.org/officeDocument/2006/relationships/ctrlProp" Target="../ctrlProps/ctrlProp1407.xml"/><Relationship Id="rId132" Type="http://schemas.openxmlformats.org/officeDocument/2006/relationships/ctrlProp" Target="../ctrlProps/ctrlProp1428.xml"/><Relationship Id="rId15" Type="http://schemas.openxmlformats.org/officeDocument/2006/relationships/ctrlProp" Target="../ctrlProps/ctrlProp1311.xml"/><Relationship Id="rId36" Type="http://schemas.openxmlformats.org/officeDocument/2006/relationships/ctrlProp" Target="../ctrlProps/ctrlProp1332.xml"/><Relationship Id="rId57" Type="http://schemas.openxmlformats.org/officeDocument/2006/relationships/ctrlProp" Target="../ctrlProps/ctrlProp1353.xml"/><Relationship Id="rId106" Type="http://schemas.openxmlformats.org/officeDocument/2006/relationships/ctrlProp" Target="../ctrlProps/ctrlProp1402.xml"/><Relationship Id="rId127" Type="http://schemas.openxmlformats.org/officeDocument/2006/relationships/ctrlProp" Target="../ctrlProps/ctrlProp1423.xml"/><Relationship Id="rId10" Type="http://schemas.openxmlformats.org/officeDocument/2006/relationships/ctrlProp" Target="../ctrlProps/ctrlProp1306.xml"/><Relationship Id="rId31" Type="http://schemas.openxmlformats.org/officeDocument/2006/relationships/ctrlProp" Target="../ctrlProps/ctrlProp1327.xml"/><Relationship Id="rId52" Type="http://schemas.openxmlformats.org/officeDocument/2006/relationships/ctrlProp" Target="../ctrlProps/ctrlProp1348.xml"/><Relationship Id="rId73" Type="http://schemas.openxmlformats.org/officeDocument/2006/relationships/ctrlProp" Target="../ctrlProps/ctrlProp1369.xml"/><Relationship Id="rId78" Type="http://schemas.openxmlformats.org/officeDocument/2006/relationships/ctrlProp" Target="../ctrlProps/ctrlProp1374.xml"/><Relationship Id="rId94" Type="http://schemas.openxmlformats.org/officeDocument/2006/relationships/ctrlProp" Target="../ctrlProps/ctrlProp1390.xml"/><Relationship Id="rId99" Type="http://schemas.openxmlformats.org/officeDocument/2006/relationships/ctrlProp" Target="../ctrlProps/ctrlProp1395.xml"/><Relationship Id="rId101" Type="http://schemas.openxmlformats.org/officeDocument/2006/relationships/ctrlProp" Target="../ctrlProps/ctrlProp1397.xml"/><Relationship Id="rId122" Type="http://schemas.openxmlformats.org/officeDocument/2006/relationships/ctrlProp" Target="../ctrlProps/ctrlProp1418.xml"/><Relationship Id="rId4" Type="http://schemas.openxmlformats.org/officeDocument/2006/relationships/ctrlProp" Target="../ctrlProps/ctrlProp1300.xml"/><Relationship Id="rId9" Type="http://schemas.openxmlformats.org/officeDocument/2006/relationships/ctrlProp" Target="../ctrlProps/ctrlProp1305.xml"/><Relationship Id="rId26" Type="http://schemas.openxmlformats.org/officeDocument/2006/relationships/ctrlProp" Target="../ctrlProps/ctrlProp1322.xml"/><Relationship Id="rId47" Type="http://schemas.openxmlformats.org/officeDocument/2006/relationships/ctrlProp" Target="../ctrlProps/ctrlProp1343.xml"/><Relationship Id="rId68" Type="http://schemas.openxmlformats.org/officeDocument/2006/relationships/ctrlProp" Target="../ctrlProps/ctrlProp1364.xml"/><Relationship Id="rId89" Type="http://schemas.openxmlformats.org/officeDocument/2006/relationships/ctrlProp" Target="../ctrlProps/ctrlProp1385.xml"/><Relationship Id="rId112" Type="http://schemas.openxmlformats.org/officeDocument/2006/relationships/ctrlProp" Target="../ctrlProps/ctrlProp1408.xml"/><Relationship Id="rId133" Type="http://schemas.openxmlformats.org/officeDocument/2006/relationships/ctrlProp" Target="../ctrlProps/ctrlProp14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17" Type="http://schemas.openxmlformats.org/officeDocument/2006/relationships/ctrlProp" Target="../ctrlProps/ctrlProp1550.xml"/><Relationship Id="rId21" Type="http://schemas.openxmlformats.org/officeDocument/2006/relationships/ctrlProp" Target="../ctrlProps/ctrlProp1454.xml"/><Relationship Id="rId42" Type="http://schemas.openxmlformats.org/officeDocument/2006/relationships/ctrlProp" Target="../ctrlProps/ctrlProp1475.xml"/><Relationship Id="rId63" Type="http://schemas.openxmlformats.org/officeDocument/2006/relationships/ctrlProp" Target="../ctrlProps/ctrlProp1496.xml"/><Relationship Id="rId84" Type="http://schemas.openxmlformats.org/officeDocument/2006/relationships/ctrlProp" Target="../ctrlProps/ctrlProp1517.xml"/><Relationship Id="rId138" Type="http://schemas.openxmlformats.org/officeDocument/2006/relationships/ctrlProp" Target="../ctrlProps/ctrlProp1571.xml"/><Relationship Id="rId159" Type="http://schemas.openxmlformats.org/officeDocument/2006/relationships/ctrlProp" Target="../ctrlProps/ctrlProp1592.xml"/><Relationship Id="rId170" Type="http://schemas.openxmlformats.org/officeDocument/2006/relationships/ctrlProp" Target="../ctrlProps/ctrlProp1603.xml"/><Relationship Id="rId107" Type="http://schemas.openxmlformats.org/officeDocument/2006/relationships/ctrlProp" Target="../ctrlProps/ctrlProp1540.xml"/><Relationship Id="rId11" Type="http://schemas.openxmlformats.org/officeDocument/2006/relationships/ctrlProp" Target="../ctrlProps/ctrlProp1444.xml"/><Relationship Id="rId32" Type="http://schemas.openxmlformats.org/officeDocument/2006/relationships/ctrlProp" Target="../ctrlProps/ctrlProp1465.xml"/><Relationship Id="rId53" Type="http://schemas.openxmlformats.org/officeDocument/2006/relationships/ctrlProp" Target="../ctrlProps/ctrlProp1486.xml"/><Relationship Id="rId74" Type="http://schemas.openxmlformats.org/officeDocument/2006/relationships/ctrlProp" Target="../ctrlProps/ctrlProp1507.xml"/><Relationship Id="rId128" Type="http://schemas.openxmlformats.org/officeDocument/2006/relationships/ctrlProp" Target="../ctrlProps/ctrlProp1561.xml"/><Relationship Id="rId149" Type="http://schemas.openxmlformats.org/officeDocument/2006/relationships/ctrlProp" Target="../ctrlProps/ctrlProp1582.xml"/><Relationship Id="rId5" Type="http://schemas.openxmlformats.org/officeDocument/2006/relationships/ctrlProp" Target="../ctrlProps/ctrlProp1438.xml"/><Relationship Id="rId95" Type="http://schemas.openxmlformats.org/officeDocument/2006/relationships/ctrlProp" Target="../ctrlProps/ctrlProp1528.xml"/><Relationship Id="rId160" Type="http://schemas.openxmlformats.org/officeDocument/2006/relationships/ctrlProp" Target="../ctrlProps/ctrlProp1593.xml"/><Relationship Id="rId22" Type="http://schemas.openxmlformats.org/officeDocument/2006/relationships/ctrlProp" Target="../ctrlProps/ctrlProp1455.xml"/><Relationship Id="rId43" Type="http://schemas.openxmlformats.org/officeDocument/2006/relationships/ctrlProp" Target="../ctrlProps/ctrlProp1476.xml"/><Relationship Id="rId64" Type="http://schemas.openxmlformats.org/officeDocument/2006/relationships/ctrlProp" Target="../ctrlProps/ctrlProp1497.xml"/><Relationship Id="rId118" Type="http://schemas.openxmlformats.org/officeDocument/2006/relationships/ctrlProp" Target="../ctrlProps/ctrlProp1551.xml"/><Relationship Id="rId139" Type="http://schemas.openxmlformats.org/officeDocument/2006/relationships/ctrlProp" Target="../ctrlProps/ctrlProp1572.xml"/><Relationship Id="rId85" Type="http://schemas.openxmlformats.org/officeDocument/2006/relationships/ctrlProp" Target="../ctrlProps/ctrlProp1518.xml"/><Relationship Id="rId150" Type="http://schemas.openxmlformats.org/officeDocument/2006/relationships/ctrlProp" Target="../ctrlProps/ctrlProp1583.xml"/><Relationship Id="rId171" Type="http://schemas.openxmlformats.org/officeDocument/2006/relationships/ctrlProp" Target="../ctrlProps/ctrlProp1604.xml"/><Relationship Id="rId12" Type="http://schemas.openxmlformats.org/officeDocument/2006/relationships/ctrlProp" Target="../ctrlProps/ctrlProp1445.xml"/><Relationship Id="rId33" Type="http://schemas.openxmlformats.org/officeDocument/2006/relationships/ctrlProp" Target="../ctrlProps/ctrlProp1466.xml"/><Relationship Id="rId108" Type="http://schemas.openxmlformats.org/officeDocument/2006/relationships/ctrlProp" Target="../ctrlProps/ctrlProp1541.xml"/><Relationship Id="rId129" Type="http://schemas.openxmlformats.org/officeDocument/2006/relationships/ctrlProp" Target="../ctrlProps/ctrlProp1562.xml"/><Relationship Id="rId54" Type="http://schemas.openxmlformats.org/officeDocument/2006/relationships/ctrlProp" Target="../ctrlProps/ctrlProp1487.xml"/><Relationship Id="rId75" Type="http://schemas.openxmlformats.org/officeDocument/2006/relationships/ctrlProp" Target="../ctrlProps/ctrlProp1508.xml"/><Relationship Id="rId96" Type="http://schemas.openxmlformats.org/officeDocument/2006/relationships/ctrlProp" Target="../ctrlProps/ctrlProp1529.xml"/><Relationship Id="rId140" Type="http://schemas.openxmlformats.org/officeDocument/2006/relationships/ctrlProp" Target="../ctrlProps/ctrlProp1573.xml"/><Relationship Id="rId161" Type="http://schemas.openxmlformats.org/officeDocument/2006/relationships/ctrlProp" Target="../ctrlProps/ctrlProp1594.xml"/><Relationship Id="rId1" Type="http://schemas.openxmlformats.org/officeDocument/2006/relationships/drawing" Target="../drawings/drawing24.xml"/><Relationship Id="rId6" Type="http://schemas.openxmlformats.org/officeDocument/2006/relationships/ctrlProp" Target="../ctrlProps/ctrlProp1439.xml"/><Relationship Id="rId23" Type="http://schemas.openxmlformats.org/officeDocument/2006/relationships/ctrlProp" Target="../ctrlProps/ctrlProp1456.xml"/><Relationship Id="rId28" Type="http://schemas.openxmlformats.org/officeDocument/2006/relationships/ctrlProp" Target="../ctrlProps/ctrlProp1461.xml"/><Relationship Id="rId49" Type="http://schemas.openxmlformats.org/officeDocument/2006/relationships/ctrlProp" Target="../ctrlProps/ctrlProp1482.xml"/><Relationship Id="rId114" Type="http://schemas.openxmlformats.org/officeDocument/2006/relationships/ctrlProp" Target="../ctrlProps/ctrlProp1547.xml"/><Relationship Id="rId119" Type="http://schemas.openxmlformats.org/officeDocument/2006/relationships/ctrlProp" Target="../ctrlProps/ctrlProp1552.xml"/><Relationship Id="rId44" Type="http://schemas.openxmlformats.org/officeDocument/2006/relationships/ctrlProp" Target="../ctrlProps/ctrlProp1477.xml"/><Relationship Id="rId60" Type="http://schemas.openxmlformats.org/officeDocument/2006/relationships/ctrlProp" Target="../ctrlProps/ctrlProp1493.xml"/><Relationship Id="rId65" Type="http://schemas.openxmlformats.org/officeDocument/2006/relationships/ctrlProp" Target="../ctrlProps/ctrlProp1498.xml"/><Relationship Id="rId81" Type="http://schemas.openxmlformats.org/officeDocument/2006/relationships/ctrlProp" Target="../ctrlProps/ctrlProp1514.xml"/><Relationship Id="rId86" Type="http://schemas.openxmlformats.org/officeDocument/2006/relationships/ctrlProp" Target="../ctrlProps/ctrlProp1519.xml"/><Relationship Id="rId130" Type="http://schemas.openxmlformats.org/officeDocument/2006/relationships/ctrlProp" Target="../ctrlProps/ctrlProp1563.xml"/><Relationship Id="rId135" Type="http://schemas.openxmlformats.org/officeDocument/2006/relationships/ctrlProp" Target="../ctrlProps/ctrlProp1568.xml"/><Relationship Id="rId151" Type="http://schemas.openxmlformats.org/officeDocument/2006/relationships/ctrlProp" Target="../ctrlProps/ctrlProp1584.xml"/><Relationship Id="rId156" Type="http://schemas.openxmlformats.org/officeDocument/2006/relationships/ctrlProp" Target="../ctrlProps/ctrlProp1589.xml"/><Relationship Id="rId172" Type="http://schemas.openxmlformats.org/officeDocument/2006/relationships/ctrlProp" Target="../ctrlProps/ctrlProp1605.xml"/><Relationship Id="rId13" Type="http://schemas.openxmlformats.org/officeDocument/2006/relationships/ctrlProp" Target="../ctrlProps/ctrlProp1446.xml"/><Relationship Id="rId18" Type="http://schemas.openxmlformats.org/officeDocument/2006/relationships/ctrlProp" Target="../ctrlProps/ctrlProp1451.xml"/><Relationship Id="rId39" Type="http://schemas.openxmlformats.org/officeDocument/2006/relationships/ctrlProp" Target="../ctrlProps/ctrlProp1472.xml"/><Relationship Id="rId109" Type="http://schemas.openxmlformats.org/officeDocument/2006/relationships/ctrlProp" Target="../ctrlProps/ctrlProp1542.xml"/><Relationship Id="rId34" Type="http://schemas.openxmlformats.org/officeDocument/2006/relationships/ctrlProp" Target="../ctrlProps/ctrlProp1467.xml"/><Relationship Id="rId50" Type="http://schemas.openxmlformats.org/officeDocument/2006/relationships/ctrlProp" Target="../ctrlProps/ctrlProp1483.xml"/><Relationship Id="rId55" Type="http://schemas.openxmlformats.org/officeDocument/2006/relationships/ctrlProp" Target="../ctrlProps/ctrlProp1488.xml"/><Relationship Id="rId76" Type="http://schemas.openxmlformats.org/officeDocument/2006/relationships/ctrlProp" Target="../ctrlProps/ctrlProp1509.xml"/><Relationship Id="rId97" Type="http://schemas.openxmlformats.org/officeDocument/2006/relationships/ctrlProp" Target="../ctrlProps/ctrlProp1530.xml"/><Relationship Id="rId104" Type="http://schemas.openxmlformats.org/officeDocument/2006/relationships/ctrlProp" Target="../ctrlProps/ctrlProp1537.xml"/><Relationship Id="rId120" Type="http://schemas.openxmlformats.org/officeDocument/2006/relationships/ctrlProp" Target="../ctrlProps/ctrlProp1553.xml"/><Relationship Id="rId125" Type="http://schemas.openxmlformats.org/officeDocument/2006/relationships/ctrlProp" Target="../ctrlProps/ctrlProp1558.xml"/><Relationship Id="rId141" Type="http://schemas.openxmlformats.org/officeDocument/2006/relationships/ctrlProp" Target="../ctrlProps/ctrlProp1574.xml"/><Relationship Id="rId146" Type="http://schemas.openxmlformats.org/officeDocument/2006/relationships/ctrlProp" Target="../ctrlProps/ctrlProp1579.xml"/><Relationship Id="rId167" Type="http://schemas.openxmlformats.org/officeDocument/2006/relationships/ctrlProp" Target="../ctrlProps/ctrlProp1600.xml"/><Relationship Id="rId7" Type="http://schemas.openxmlformats.org/officeDocument/2006/relationships/ctrlProp" Target="../ctrlProps/ctrlProp1440.xml"/><Relationship Id="rId71" Type="http://schemas.openxmlformats.org/officeDocument/2006/relationships/ctrlProp" Target="../ctrlProps/ctrlProp1504.xml"/><Relationship Id="rId92" Type="http://schemas.openxmlformats.org/officeDocument/2006/relationships/ctrlProp" Target="../ctrlProps/ctrlProp1525.xml"/><Relationship Id="rId162" Type="http://schemas.openxmlformats.org/officeDocument/2006/relationships/ctrlProp" Target="../ctrlProps/ctrlProp1595.xml"/><Relationship Id="rId2" Type="http://schemas.openxmlformats.org/officeDocument/2006/relationships/vmlDrawing" Target="../drawings/vmlDrawing12.vml"/><Relationship Id="rId29" Type="http://schemas.openxmlformats.org/officeDocument/2006/relationships/ctrlProp" Target="../ctrlProps/ctrlProp1462.xml"/><Relationship Id="rId24" Type="http://schemas.openxmlformats.org/officeDocument/2006/relationships/ctrlProp" Target="../ctrlProps/ctrlProp1457.xml"/><Relationship Id="rId40" Type="http://schemas.openxmlformats.org/officeDocument/2006/relationships/ctrlProp" Target="../ctrlProps/ctrlProp1473.xml"/><Relationship Id="rId45" Type="http://schemas.openxmlformats.org/officeDocument/2006/relationships/ctrlProp" Target="../ctrlProps/ctrlProp1478.xml"/><Relationship Id="rId66" Type="http://schemas.openxmlformats.org/officeDocument/2006/relationships/ctrlProp" Target="../ctrlProps/ctrlProp1499.xml"/><Relationship Id="rId87" Type="http://schemas.openxmlformats.org/officeDocument/2006/relationships/ctrlProp" Target="../ctrlProps/ctrlProp1520.xml"/><Relationship Id="rId110" Type="http://schemas.openxmlformats.org/officeDocument/2006/relationships/ctrlProp" Target="../ctrlProps/ctrlProp1543.xml"/><Relationship Id="rId115" Type="http://schemas.openxmlformats.org/officeDocument/2006/relationships/ctrlProp" Target="../ctrlProps/ctrlProp1548.xml"/><Relationship Id="rId131" Type="http://schemas.openxmlformats.org/officeDocument/2006/relationships/ctrlProp" Target="../ctrlProps/ctrlProp1564.xml"/><Relationship Id="rId136" Type="http://schemas.openxmlformats.org/officeDocument/2006/relationships/ctrlProp" Target="../ctrlProps/ctrlProp1569.xml"/><Relationship Id="rId157" Type="http://schemas.openxmlformats.org/officeDocument/2006/relationships/ctrlProp" Target="../ctrlProps/ctrlProp1590.xml"/><Relationship Id="rId61" Type="http://schemas.openxmlformats.org/officeDocument/2006/relationships/ctrlProp" Target="../ctrlProps/ctrlProp1494.xml"/><Relationship Id="rId82" Type="http://schemas.openxmlformats.org/officeDocument/2006/relationships/ctrlProp" Target="../ctrlProps/ctrlProp1515.xml"/><Relationship Id="rId152" Type="http://schemas.openxmlformats.org/officeDocument/2006/relationships/ctrlProp" Target="../ctrlProps/ctrlProp1585.xml"/><Relationship Id="rId173" Type="http://schemas.openxmlformats.org/officeDocument/2006/relationships/ctrlProp" Target="../ctrlProps/ctrlProp1606.xml"/><Relationship Id="rId19" Type="http://schemas.openxmlformats.org/officeDocument/2006/relationships/ctrlProp" Target="../ctrlProps/ctrlProp1452.xml"/><Relationship Id="rId14" Type="http://schemas.openxmlformats.org/officeDocument/2006/relationships/ctrlProp" Target="../ctrlProps/ctrlProp1447.xml"/><Relationship Id="rId30" Type="http://schemas.openxmlformats.org/officeDocument/2006/relationships/ctrlProp" Target="../ctrlProps/ctrlProp1463.xml"/><Relationship Id="rId35" Type="http://schemas.openxmlformats.org/officeDocument/2006/relationships/ctrlProp" Target="../ctrlProps/ctrlProp1468.xml"/><Relationship Id="rId56" Type="http://schemas.openxmlformats.org/officeDocument/2006/relationships/ctrlProp" Target="../ctrlProps/ctrlProp1489.xml"/><Relationship Id="rId77" Type="http://schemas.openxmlformats.org/officeDocument/2006/relationships/ctrlProp" Target="../ctrlProps/ctrlProp1510.xml"/><Relationship Id="rId100" Type="http://schemas.openxmlformats.org/officeDocument/2006/relationships/ctrlProp" Target="../ctrlProps/ctrlProp1533.xml"/><Relationship Id="rId105" Type="http://schemas.openxmlformats.org/officeDocument/2006/relationships/ctrlProp" Target="../ctrlProps/ctrlProp1538.xml"/><Relationship Id="rId126" Type="http://schemas.openxmlformats.org/officeDocument/2006/relationships/ctrlProp" Target="../ctrlProps/ctrlProp1559.xml"/><Relationship Id="rId147" Type="http://schemas.openxmlformats.org/officeDocument/2006/relationships/ctrlProp" Target="../ctrlProps/ctrlProp1580.xml"/><Relationship Id="rId168" Type="http://schemas.openxmlformats.org/officeDocument/2006/relationships/ctrlProp" Target="../ctrlProps/ctrlProp1601.xml"/><Relationship Id="rId8" Type="http://schemas.openxmlformats.org/officeDocument/2006/relationships/ctrlProp" Target="../ctrlProps/ctrlProp1441.xml"/><Relationship Id="rId51" Type="http://schemas.openxmlformats.org/officeDocument/2006/relationships/ctrlProp" Target="../ctrlProps/ctrlProp1484.xml"/><Relationship Id="rId72" Type="http://schemas.openxmlformats.org/officeDocument/2006/relationships/ctrlProp" Target="../ctrlProps/ctrlProp1505.xml"/><Relationship Id="rId93" Type="http://schemas.openxmlformats.org/officeDocument/2006/relationships/ctrlProp" Target="../ctrlProps/ctrlProp1526.xml"/><Relationship Id="rId98" Type="http://schemas.openxmlformats.org/officeDocument/2006/relationships/ctrlProp" Target="../ctrlProps/ctrlProp1531.xml"/><Relationship Id="rId121" Type="http://schemas.openxmlformats.org/officeDocument/2006/relationships/ctrlProp" Target="../ctrlProps/ctrlProp1554.xml"/><Relationship Id="rId142" Type="http://schemas.openxmlformats.org/officeDocument/2006/relationships/ctrlProp" Target="../ctrlProps/ctrlProp1575.xml"/><Relationship Id="rId163" Type="http://schemas.openxmlformats.org/officeDocument/2006/relationships/ctrlProp" Target="../ctrlProps/ctrlProp1596.xml"/><Relationship Id="rId3" Type="http://schemas.openxmlformats.org/officeDocument/2006/relationships/ctrlProp" Target="../ctrlProps/ctrlProp1436.xml"/><Relationship Id="rId25" Type="http://schemas.openxmlformats.org/officeDocument/2006/relationships/ctrlProp" Target="../ctrlProps/ctrlProp1458.xml"/><Relationship Id="rId46" Type="http://schemas.openxmlformats.org/officeDocument/2006/relationships/ctrlProp" Target="../ctrlProps/ctrlProp1479.xml"/><Relationship Id="rId67" Type="http://schemas.openxmlformats.org/officeDocument/2006/relationships/ctrlProp" Target="../ctrlProps/ctrlProp1500.xml"/><Relationship Id="rId116" Type="http://schemas.openxmlformats.org/officeDocument/2006/relationships/ctrlProp" Target="../ctrlProps/ctrlProp1549.xml"/><Relationship Id="rId137" Type="http://schemas.openxmlformats.org/officeDocument/2006/relationships/ctrlProp" Target="../ctrlProps/ctrlProp1570.xml"/><Relationship Id="rId158" Type="http://schemas.openxmlformats.org/officeDocument/2006/relationships/ctrlProp" Target="../ctrlProps/ctrlProp1591.xml"/><Relationship Id="rId20" Type="http://schemas.openxmlformats.org/officeDocument/2006/relationships/ctrlProp" Target="../ctrlProps/ctrlProp1453.xml"/><Relationship Id="rId41" Type="http://schemas.openxmlformats.org/officeDocument/2006/relationships/ctrlProp" Target="../ctrlProps/ctrlProp1474.xml"/><Relationship Id="rId62" Type="http://schemas.openxmlformats.org/officeDocument/2006/relationships/ctrlProp" Target="../ctrlProps/ctrlProp1495.xml"/><Relationship Id="rId83" Type="http://schemas.openxmlformats.org/officeDocument/2006/relationships/ctrlProp" Target="../ctrlProps/ctrlProp1516.xml"/><Relationship Id="rId88" Type="http://schemas.openxmlformats.org/officeDocument/2006/relationships/ctrlProp" Target="../ctrlProps/ctrlProp1521.xml"/><Relationship Id="rId111" Type="http://schemas.openxmlformats.org/officeDocument/2006/relationships/ctrlProp" Target="../ctrlProps/ctrlProp1544.xml"/><Relationship Id="rId132" Type="http://schemas.openxmlformats.org/officeDocument/2006/relationships/ctrlProp" Target="../ctrlProps/ctrlProp1565.xml"/><Relationship Id="rId153" Type="http://schemas.openxmlformats.org/officeDocument/2006/relationships/ctrlProp" Target="../ctrlProps/ctrlProp1586.xml"/><Relationship Id="rId15" Type="http://schemas.openxmlformats.org/officeDocument/2006/relationships/ctrlProp" Target="../ctrlProps/ctrlProp1448.xml"/><Relationship Id="rId36" Type="http://schemas.openxmlformats.org/officeDocument/2006/relationships/ctrlProp" Target="../ctrlProps/ctrlProp1469.xml"/><Relationship Id="rId57" Type="http://schemas.openxmlformats.org/officeDocument/2006/relationships/ctrlProp" Target="../ctrlProps/ctrlProp1490.xml"/><Relationship Id="rId106" Type="http://schemas.openxmlformats.org/officeDocument/2006/relationships/ctrlProp" Target="../ctrlProps/ctrlProp1539.xml"/><Relationship Id="rId127" Type="http://schemas.openxmlformats.org/officeDocument/2006/relationships/ctrlProp" Target="../ctrlProps/ctrlProp1560.xml"/><Relationship Id="rId10" Type="http://schemas.openxmlformats.org/officeDocument/2006/relationships/ctrlProp" Target="../ctrlProps/ctrlProp1443.xml"/><Relationship Id="rId31" Type="http://schemas.openxmlformats.org/officeDocument/2006/relationships/ctrlProp" Target="../ctrlProps/ctrlProp1464.xml"/><Relationship Id="rId52" Type="http://schemas.openxmlformats.org/officeDocument/2006/relationships/ctrlProp" Target="../ctrlProps/ctrlProp1485.xml"/><Relationship Id="rId73" Type="http://schemas.openxmlformats.org/officeDocument/2006/relationships/ctrlProp" Target="../ctrlProps/ctrlProp1506.xml"/><Relationship Id="rId78" Type="http://schemas.openxmlformats.org/officeDocument/2006/relationships/ctrlProp" Target="../ctrlProps/ctrlProp1511.xml"/><Relationship Id="rId94" Type="http://schemas.openxmlformats.org/officeDocument/2006/relationships/ctrlProp" Target="../ctrlProps/ctrlProp1527.xml"/><Relationship Id="rId99" Type="http://schemas.openxmlformats.org/officeDocument/2006/relationships/ctrlProp" Target="../ctrlProps/ctrlProp1532.xml"/><Relationship Id="rId101" Type="http://schemas.openxmlformats.org/officeDocument/2006/relationships/ctrlProp" Target="../ctrlProps/ctrlProp1534.xml"/><Relationship Id="rId122" Type="http://schemas.openxmlformats.org/officeDocument/2006/relationships/ctrlProp" Target="../ctrlProps/ctrlProp1555.xml"/><Relationship Id="rId143" Type="http://schemas.openxmlformats.org/officeDocument/2006/relationships/ctrlProp" Target="../ctrlProps/ctrlProp1576.xml"/><Relationship Id="rId148" Type="http://schemas.openxmlformats.org/officeDocument/2006/relationships/ctrlProp" Target="../ctrlProps/ctrlProp1581.xml"/><Relationship Id="rId164" Type="http://schemas.openxmlformats.org/officeDocument/2006/relationships/ctrlProp" Target="../ctrlProps/ctrlProp1597.xml"/><Relationship Id="rId169" Type="http://schemas.openxmlformats.org/officeDocument/2006/relationships/ctrlProp" Target="../ctrlProps/ctrlProp1602.xml"/><Relationship Id="rId4" Type="http://schemas.openxmlformats.org/officeDocument/2006/relationships/ctrlProp" Target="../ctrlProps/ctrlProp1437.xml"/><Relationship Id="rId9" Type="http://schemas.openxmlformats.org/officeDocument/2006/relationships/ctrlProp" Target="../ctrlProps/ctrlProp1442.xml"/><Relationship Id="rId26" Type="http://schemas.openxmlformats.org/officeDocument/2006/relationships/ctrlProp" Target="../ctrlProps/ctrlProp1459.xml"/><Relationship Id="rId47" Type="http://schemas.openxmlformats.org/officeDocument/2006/relationships/ctrlProp" Target="../ctrlProps/ctrlProp1480.xml"/><Relationship Id="rId68" Type="http://schemas.openxmlformats.org/officeDocument/2006/relationships/ctrlProp" Target="../ctrlProps/ctrlProp1501.xml"/><Relationship Id="rId89" Type="http://schemas.openxmlformats.org/officeDocument/2006/relationships/ctrlProp" Target="../ctrlProps/ctrlProp1522.xml"/><Relationship Id="rId112" Type="http://schemas.openxmlformats.org/officeDocument/2006/relationships/ctrlProp" Target="../ctrlProps/ctrlProp1545.xml"/><Relationship Id="rId133" Type="http://schemas.openxmlformats.org/officeDocument/2006/relationships/ctrlProp" Target="../ctrlProps/ctrlProp1566.xml"/><Relationship Id="rId154" Type="http://schemas.openxmlformats.org/officeDocument/2006/relationships/ctrlProp" Target="../ctrlProps/ctrlProp1587.xml"/><Relationship Id="rId16" Type="http://schemas.openxmlformats.org/officeDocument/2006/relationships/ctrlProp" Target="../ctrlProps/ctrlProp1449.xml"/><Relationship Id="rId37" Type="http://schemas.openxmlformats.org/officeDocument/2006/relationships/ctrlProp" Target="../ctrlProps/ctrlProp1470.xml"/><Relationship Id="rId58" Type="http://schemas.openxmlformats.org/officeDocument/2006/relationships/ctrlProp" Target="../ctrlProps/ctrlProp1491.xml"/><Relationship Id="rId79" Type="http://schemas.openxmlformats.org/officeDocument/2006/relationships/ctrlProp" Target="../ctrlProps/ctrlProp1512.xml"/><Relationship Id="rId102" Type="http://schemas.openxmlformats.org/officeDocument/2006/relationships/ctrlProp" Target="../ctrlProps/ctrlProp1535.xml"/><Relationship Id="rId123" Type="http://schemas.openxmlformats.org/officeDocument/2006/relationships/ctrlProp" Target="../ctrlProps/ctrlProp1556.xml"/><Relationship Id="rId144" Type="http://schemas.openxmlformats.org/officeDocument/2006/relationships/ctrlProp" Target="../ctrlProps/ctrlProp1577.xml"/><Relationship Id="rId90" Type="http://schemas.openxmlformats.org/officeDocument/2006/relationships/ctrlProp" Target="../ctrlProps/ctrlProp1523.xml"/><Relationship Id="rId165" Type="http://schemas.openxmlformats.org/officeDocument/2006/relationships/ctrlProp" Target="../ctrlProps/ctrlProp1598.xml"/><Relationship Id="rId27" Type="http://schemas.openxmlformats.org/officeDocument/2006/relationships/ctrlProp" Target="../ctrlProps/ctrlProp1460.xml"/><Relationship Id="rId48" Type="http://schemas.openxmlformats.org/officeDocument/2006/relationships/ctrlProp" Target="../ctrlProps/ctrlProp1481.xml"/><Relationship Id="rId69" Type="http://schemas.openxmlformats.org/officeDocument/2006/relationships/ctrlProp" Target="../ctrlProps/ctrlProp1502.xml"/><Relationship Id="rId113" Type="http://schemas.openxmlformats.org/officeDocument/2006/relationships/ctrlProp" Target="../ctrlProps/ctrlProp1546.xml"/><Relationship Id="rId134" Type="http://schemas.openxmlformats.org/officeDocument/2006/relationships/ctrlProp" Target="../ctrlProps/ctrlProp1567.xml"/><Relationship Id="rId80" Type="http://schemas.openxmlformats.org/officeDocument/2006/relationships/ctrlProp" Target="../ctrlProps/ctrlProp1513.xml"/><Relationship Id="rId155" Type="http://schemas.openxmlformats.org/officeDocument/2006/relationships/ctrlProp" Target="../ctrlProps/ctrlProp1588.xml"/><Relationship Id="rId17" Type="http://schemas.openxmlformats.org/officeDocument/2006/relationships/ctrlProp" Target="../ctrlProps/ctrlProp1450.xml"/><Relationship Id="rId38" Type="http://schemas.openxmlformats.org/officeDocument/2006/relationships/ctrlProp" Target="../ctrlProps/ctrlProp1471.xml"/><Relationship Id="rId59" Type="http://schemas.openxmlformats.org/officeDocument/2006/relationships/ctrlProp" Target="../ctrlProps/ctrlProp1492.xml"/><Relationship Id="rId103" Type="http://schemas.openxmlformats.org/officeDocument/2006/relationships/ctrlProp" Target="../ctrlProps/ctrlProp1536.xml"/><Relationship Id="rId124" Type="http://schemas.openxmlformats.org/officeDocument/2006/relationships/ctrlProp" Target="../ctrlProps/ctrlProp1557.xml"/><Relationship Id="rId70" Type="http://schemas.openxmlformats.org/officeDocument/2006/relationships/ctrlProp" Target="../ctrlProps/ctrlProp1503.xml"/><Relationship Id="rId91" Type="http://schemas.openxmlformats.org/officeDocument/2006/relationships/ctrlProp" Target="../ctrlProps/ctrlProp1524.xml"/><Relationship Id="rId145" Type="http://schemas.openxmlformats.org/officeDocument/2006/relationships/ctrlProp" Target="../ctrlProps/ctrlProp1578.xml"/><Relationship Id="rId166" Type="http://schemas.openxmlformats.org/officeDocument/2006/relationships/ctrlProp" Target="../ctrlProps/ctrlProp159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117" Type="http://schemas.openxmlformats.org/officeDocument/2006/relationships/ctrlProp" Target="../ctrlProps/ctrlProp1721.xml"/><Relationship Id="rId21" Type="http://schemas.openxmlformats.org/officeDocument/2006/relationships/ctrlProp" Target="../ctrlProps/ctrlProp1625.xml"/><Relationship Id="rId42" Type="http://schemas.openxmlformats.org/officeDocument/2006/relationships/ctrlProp" Target="../ctrlProps/ctrlProp1646.xml"/><Relationship Id="rId63" Type="http://schemas.openxmlformats.org/officeDocument/2006/relationships/ctrlProp" Target="../ctrlProps/ctrlProp1667.xml"/><Relationship Id="rId84" Type="http://schemas.openxmlformats.org/officeDocument/2006/relationships/ctrlProp" Target="../ctrlProps/ctrlProp1688.xml"/><Relationship Id="rId138" Type="http://schemas.openxmlformats.org/officeDocument/2006/relationships/ctrlProp" Target="../ctrlProps/ctrlProp1742.xml"/><Relationship Id="rId159" Type="http://schemas.openxmlformats.org/officeDocument/2006/relationships/ctrlProp" Target="../ctrlProps/ctrlProp1763.xml"/><Relationship Id="rId170" Type="http://schemas.openxmlformats.org/officeDocument/2006/relationships/ctrlProp" Target="../ctrlProps/ctrlProp1774.xml"/><Relationship Id="rId107" Type="http://schemas.openxmlformats.org/officeDocument/2006/relationships/ctrlProp" Target="../ctrlProps/ctrlProp1711.xml"/><Relationship Id="rId11" Type="http://schemas.openxmlformats.org/officeDocument/2006/relationships/ctrlProp" Target="../ctrlProps/ctrlProp1615.xml"/><Relationship Id="rId32" Type="http://schemas.openxmlformats.org/officeDocument/2006/relationships/ctrlProp" Target="../ctrlProps/ctrlProp1636.xml"/><Relationship Id="rId53" Type="http://schemas.openxmlformats.org/officeDocument/2006/relationships/ctrlProp" Target="../ctrlProps/ctrlProp1657.xml"/><Relationship Id="rId74" Type="http://schemas.openxmlformats.org/officeDocument/2006/relationships/ctrlProp" Target="../ctrlProps/ctrlProp1678.xml"/><Relationship Id="rId128" Type="http://schemas.openxmlformats.org/officeDocument/2006/relationships/ctrlProp" Target="../ctrlProps/ctrlProp1732.xml"/><Relationship Id="rId149" Type="http://schemas.openxmlformats.org/officeDocument/2006/relationships/ctrlProp" Target="../ctrlProps/ctrlProp1753.xml"/><Relationship Id="rId5" Type="http://schemas.openxmlformats.org/officeDocument/2006/relationships/ctrlProp" Target="../ctrlProps/ctrlProp1609.xml"/><Relationship Id="rId95" Type="http://schemas.openxmlformats.org/officeDocument/2006/relationships/ctrlProp" Target="../ctrlProps/ctrlProp1699.xml"/><Relationship Id="rId160" Type="http://schemas.openxmlformats.org/officeDocument/2006/relationships/ctrlProp" Target="../ctrlProps/ctrlProp1764.xml"/><Relationship Id="rId22" Type="http://schemas.openxmlformats.org/officeDocument/2006/relationships/ctrlProp" Target="../ctrlProps/ctrlProp1626.xml"/><Relationship Id="rId43" Type="http://schemas.openxmlformats.org/officeDocument/2006/relationships/ctrlProp" Target="../ctrlProps/ctrlProp1647.xml"/><Relationship Id="rId64" Type="http://schemas.openxmlformats.org/officeDocument/2006/relationships/ctrlProp" Target="../ctrlProps/ctrlProp1668.xml"/><Relationship Id="rId118" Type="http://schemas.openxmlformats.org/officeDocument/2006/relationships/ctrlProp" Target="../ctrlProps/ctrlProp1722.xml"/><Relationship Id="rId139" Type="http://schemas.openxmlformats.org/officeDocument/2006/relationships/ctrlProp" Target="../ctrlProps/ctrlProp1743.xml"/><Relationship Id="rId85" Type="http://schemas.openxmlformats.org/officeDocument/2006/relationships/ctrlProp" Target="../ctrlProps/ctrlProp1689.xml"/><Relationship Id="rId150" Type="http://schemas.openxmlformats.org/officeDocument/2006/relationships/ctrlProp" Target="../ctrlProps/ctrlProp1754.xml"/><Relationship Id="rId171" Type="http://schemas.openxmlformats.org/officeDocument/2006/relationships/ctrlProp" Target="../ctrlProps/ctrlProp1775.xml"/><Relationship Id="rId12" Type="http://schemas.openxmlformats.org/officeDocument/2006/relationships/ctrlProp" Target="../ctrlProps/ctrlProp1616.xml"/><Relationship Id="rId33" Type="http://schemas.openxmlformats.org/officeDocument/2006/relationships/ctrlProp" Target="../ctrlProps/ctrlProp1637.xml"/><Relationship Id="rId108" Type="http://schemas.openxmlformats.org/officeDocument/2006/relationships/ctrlProp" Target="../ctrlProps/ctrlProp1712.xml"/><Relationship Id="rId129" Type="http://schemas.openxmlformats.org/officeDocument/2006/relationships/ctrlProp" Target="../ctrlProps/ctrlProp1733.xml"/><Relationship Id="rId54" Type="http://schemas.openxmlformats.org/officeDocument/2006/relationships/ctrlProp" Target="../ctrlProps/ctrlProp1658.xml"/><Relationship Id="rId75" Type="http://schemas.openxmlformats.org/officeDocument/2006/relationships/ctrlProp" Target="../ctrlProps/ctrlProp1679.xml"/><Relationship Id="rId96" Type="http://schemas.openxmlformats.org/officeDocument/2006/relationships/ctrlProp" Target="../ctrlProps/ctrlProp1700.xml"/><Relationship Id="rId140" Type="http://schemas.openxmlformats.org/officeDocument/2006/relationships/ctrlProp" Target="../ctrlProps/ctrlProp1744.xml"/><Relationship Id="rId161" Type="http://schemas.openxmlformats.org/officeDocument/2006/relationships/ctrlProp" Target="../ctrlProps/ctrlProp1765.xml"/><Relationship Id="rId6" Type="http://schemas.openxmlformats.org/officeDocument/2006/relationships/ctrlProp" Target="../ctrlProps/ctrlProp1610.xml"/><Relationship Id="rId23" Type="http://schemas.openxmlformats.org/officeDocument/2006/relationships/ctrlProp" Target="../ctrlProps/ctrlProp1627.xml"/><Relationship Id="rId28" Type="http://schemas.openxmlformats.org/officeDocument/2006/relationships/ctrlProp" Target="../ctrlProps/ctrlProp1632.xml"/><Relationship Id="rId49" Type="http://schemas.openxmlformats.org/officeDocument/2006/relationships/ctrlProp" Target="../ctrlProps/ctrlProp1653.xml"/><Relationship Id="rId114" Type="http://schemas.openxmlformats.org/officeDocument/2006/relationships/ctrlProp" Target="../ctrlProps/ctrlProp1718.xml"/><Relationship Id="rId119" Type="http://schemas.openxmlformats.org/officeDocument/2006/relationships/ctrlProp" Target="../ctrlProps/ctrlProp1723.xml"/><Relationship Id="rId44" Type="http://schemas.openxmlformats.org/officeDocument/2006/relationships/ctrlProp" Target="../ctrlProps/ctrlProp1648.xml"/><Relationship Id="rId60" Type="http://schemas.openxmlformats.org/officeDocument/2006/relationships/ctrlProp" Target="../ctrlProps/ctrlProp1664.xml"/><Relationship Id="rId65" Type="http://schemas.openxmlformats.org/officeDocument/2006/relationships/ctrlProp" Target="../ctrlProps/ctrlProp1669.xml"/><Relationship Id="rId81" Type="http://schemas.openxmlformats.org/officeDocument/2006/relationships/ctrlProp" Target="../ctrlProps/ctrlProp1685.xml"/><Relationship Id="rId86" Type="http://schemas.openxmlformats.org/officeDocument/2006/relationships/ctrlProp" Target="../ctrlProps/ctrlProp1690.xml"/><Relationship Id="rId130" Type="http://schemas.openxmlformats.org/officeDocument/2006/relationships/ctrlProp" Target="../ctrlProps/ctrlProp1734.xml"/><Relationship Id="rId135" Type="http://schemas.openxmlformats.org/officeDocument/2006/relationships/ctrlProp" Target="../ctrlProps/ctrlProp1739.xml"/><Relationship Id="rId151" Type="http://schemas.openxmlformats.org/officeDocument/2006/relationships/ctrlProp" Target="../ctrlProps/ctrlProp1755.xml"/><Relationship Id="rId156" Type="http://schemas.openxmlformats.org/officeDocument/2006/relationships/ctrlProp" Target="../ctrlProps/ctrlProp1760.xml"/><Relationship Id="rId177" Type="http://schemas.openxmlformats.org/officeDocument/2006/relationships/ctrlProp" Target="../ctrlProps/ctrlProp1781.xml"/><Relationship Id="rId172" Type="http://schemas.openxmlformats.org/officeDocument/2006/relationships/ctrlProp" Target="../ctrlProps/ctrlProp1776.xml"/><Relationship Id="rId13" Type="http://schemas.openxmlformats.org/officeDocument/2006/relationships/ctrlProp" Target="../ctrlProps/ctrlProp1617.xml"/><Relationship Id="rId18" Type="http://schemas.openxmlformats.org/officeDocument/2006/relationships/ctrlProp" Target="../ctrlProps/ctrlProp1622.xml"/><Relationship Id="rId39" Type="http://schemas.openxmlformats.org/officeDocument/2006/relationships/ctrlProp" Target="../ctrlProps/ctrlProp1643.xml"/><Relationship Id="rId109" Type="http://schemas.openxmlformats.org/officeDocument/2006/relationships/ctrlProp" Target="../ctrlProps/ctrlProp1713.xml"/><Relationship Id="rId34" Type="http://schemas.openxmlformats.org/officeDocument/2006/relationships/ctrlProp" Target="../ctrlProps/ctrlProp1638.xml"/><Relationship Id="rId50" Type="http://schemas.openxmlformats.org/officeDocument/2006/relationships/ctrlProp" Target="../ctrlProps/ctrlProp1654.xml"/><Relationship Id="rId55" Type="http://schemas.openxmlformats.org/officeDocument/2006/relationships/ctrlProp" Target="../ctrlProps/ctrlProp1659.xml"/><Relationship Id="rId76" Type="http://schemas.openxmlformats.org/officeDocument/2006/relationships/ctrlProp" Target="../ctrlProps/ctrlProp1680.xml"/><Relationship Id="rId97" Type="http://schemas.openxmlformats.org/officeDocument/2006/relationships/ctrlProp" Target="../ctrlProps/ctrlProp1701.xml"/><Relationship Id="rId104" Type="http://schemas.openxmlformats.org/officeDocument/2006/relationships/ctrlProp" Target="../ctrlProps/ctrlProp1708.xml"/><Relationship Id="rId120" Type="http://schemas.openxmlformats.org/officeDocument/2006/relationships/ctrlProp" Target="../ctrlProps/ctrlProp1724.xml"/><Relationship Id="rId125" Type="http://schemas.openxmlformats.org/officeDocument/2006/relationships/ctrlProp" Target="../ctrlProps/ctrlProp1729.xml"/><Relationship Id="rId141" Type="http://schemas.openxmlformats.org/officeDocument/2006/relationships/ctrlProp" Target="../ctrlProps/ctrlProp1745.xml"/><Relationship Id="rId146" Type="http://schemas.openxmlformats.org/officeDocument/2006/relationships/ctrlProp" Target="../ctrlProps/ctrlProp1750.xml"/><Relationship Id="rId167" Type="http://schemas.openxmlformats.org/officeDocument/2006/relationships/ctrlProp" Target="../ctrlProps/ctrlProp1771.xml"/><Relationship Id="rId7" Type="http://schemas.openxmlformats.org/officeDocument/2006/relationships/ctrlProp" Target="../ctrlProps/ctrlProp1611.xml"/><Relationship Id="rId71" Type="http://schemas.openxmlformats.org/officeDocument/2006/relationships/ctrlProp" Target="../ctrlProps/ctrlProp1675.xml"/><Relationship Id="rId92" Type="http://schemas.openxmlformats.org/officeDocument/2006/relationships/ctrlProp" Target="../ctrlProps/ctrlProp1696.xml"/><Relationship Id="rId162" Type="http://schemas.openxmlformats.org/officeDocument/2006/relationships/ctrlProp" Target="../ctrlProps/ctrlProp1766.xml"/><Relationship Id="rId2" Type="http://schemas.openxmlformats.org/officeDocument/2006/relationships/vmlDrawing" Target="../drawings/vmlDrawing13.vml"/><Relationship Id="rId29" Type="http://schemas.openxmlformats.org/officeDocument/2006/relationships/ctrlProp" Target="../ctrlProps/ctrlProp1633.xml"/><Relationship Id="rId24" Type="http://schemas.openxmlformats.org/officeDocument/2006/relationships/ctrlProp" Target="../ctrlProps/ctrlProp1628.xml"/><Relationship Id="rId40" Type="http://schemas.openxmlformats.org/officeDocument/2006/relationships/ctrlProp" Target="../ctrlProps/ctrlProp1644.xml"/><Relationship Id="rId45" Type="http://schemas.openxmlformats.org/officeDocument/2006/relationships/ctrlProp" Target="../ctrlProps/ctrlProp1649.xml"/><Relationship Id="rId66" Type="http://schemas.openxmlformats.org/officeDocument/2006/relationships/ctrlProp" Target="../ctrlProps/ctrlProp1670.xml"/><Relationship Id="rId87" Type="http://schemas.openxmlformats.org/officeDocument/2006/relationships/ctrlProp" Target="../ctrlProps/ctrlProp1691.xml"/><Relationship Id="rId110" Type="http://schemas.openxmlformats.org/officeDocument/2006/relationships/ctrlProp" Target="../ctrlProps/ctrlProp1714.xml"/><Relationship Id="rId115" Type="http://schemas.openxmlformats.org/officeDocument/2006/relationships/ctrlProp" Target="../ctrlProps/ctrlProp1719.xml"/><Relationship Id="rId131" Type="http://schemas.openxmlformats.org/officeDocument/2006/relationships/ctrlProp" Target="../ctrlProps/ctrlProp1735.xml"/><Relationship Id="rId136" Type="http://schemas.openxmlformats.org/officeDocument/2006/relationships/ctrlProp" Target="../ctrlProps/ctrlProp1740.xml"/><Relationship Id="rId157" Type="http://schemas.openxmlformats.org/officeDocument/2006/relationships/ctrlProp" Target="../ctrlProps/ctrlProp1761.xml"/><Relationship Id="rId178" Type="http://schemas.openxmlformats.org/officeDocument/2006/relationships/ctrlProp" Target="../ctrlProps/ctrlProp1782.xml"/><Relationship Id="rId61" Type="http://schemas.openxmlformats.org/officeDocument/2006/relationships/ctrlProp" Target="../ctrlProps/ctrlProp1665.xml"/><Relationship Id="rId82" Type="http://schemas.openxmlformats.org/officeDocument/2006/relationships/ctrlProp" Target="../ctrlProps/ctrlProp1686.xml"/><Relationship Id="rId152" Type="http://schemas.openxmlformats.org/officeDocument/2006/relationships/ctrlProp" Target="../ctrlProps/ctrlProp1756.xml"/><Relationship Id="rId173" Type="http://schemas.openxmlformats.org/officeDocument/2006/relationships/ctrlProp" Target="../ctrlProps/ctrlProp1777.xml"/><Relationship Id="rId19" Type="http://schemas.openxmlformats.org/officeDocument/2006/relationships/ctrlProp" Target="../ctrlProps/ctrlProp1623.xml"/><Relationship Id="rId14" Type="http://schemas.openxmlformats.org/officeDocument/2006/relationships/ctrlProp" Target="../ctrlProps/ctrlProp1618.xml"/><Relationship Id="rId30" Type="http://schemas.openxmlformats.org/officeDocument/2006/relationships/ctrlProp" Target="../ctrlProps/ctrlProp1634.xml"/><Relationship Id="rId35" Type="http://schemas.openxmlformats.org/officeDocument/2006/relationships/ctrlProp" Target="../ctrlProps/ctrlProp1639.xml"/><Relationship Id="rId56" Type="http://schemas.openxmlformats.org/officeDocument/2006/relationships/ctrlProp" Target="../ctrlProps/ctrlProp1660.xml"/><Relationship Id="rId77" Type="http://schemas.openxmlformats.org/officeDocument/2006/relationships/ctrlProp" Target="../ctrlProps/ctrlProp1681.xml"/><Relationship Id="rId100" Type="http://schemas.openxmlformats.org/officeDocument/2006/relationships/ctrlProp" Target="../ctrlProps/ctrlProp1704.xml"/><Relationship Id="rId105" Type="http://schemas.openxmlformats.org/officeDocument/2006/relationships/ctrlProp" Target="../ctrlProps/ctrlProp1709.xml"/><Relationship Id="rId126" Type="http://schemas.openxmlformats.org/officeDocument/2006/relationships/ctrlProp" Target="../ctrlProps/ctrlProp1730.xml"/><Relationship Id="rId147" Type="http://schemas.openxmlformats.org/officeDocument/2006/relationships/ctrlProp" Target="../ctrlProps/ctrlProp1751.xml"/><Relationship Id="rId168" Type="http://schemas.openxmlformats.org/officeDocument/2006/relationships/ctrlProp" Target="../ctrlProps/ctrlProp1772.xml"/><Relationship Id="rId8" Type="http://schemas.openxmlformats.org/officeDocument/2006/relationships/ctrlProp" Target="../ctrlProps/ctrlProp1612.xml"/><Relationship Id="rId51" Type="http://schemas.openxmlformats.org/officeDocument/2006/relationships/ctrlProp" Target="../ctrlProps/ctrlProp1655.xml"/><Relationship Id="rId72" Type="http://schemas.openxmlformats.org/officeDocument/2006/relationships/ctrlProp" Target="../ctrlProps/ctrlProp1676.xml"/><Relationship Id="rId93" Type="http://schemas.openxmlformats.org/officeDocument/2006/relationships/ctrlProp" Target="../ctrlProps/ctrlProp1697.xml"/><Relationship Id="rId98" Type="http://schemas.openxmlformats.org/officeDocument/2006/relationships/ctrlProp" Target="../ctrlProps/ctrlProp1702.xml"/><Relationship Id="rId121" Type="http://schemas.openxmlformats.org/officeDocument/2006/relationships/ctrlProp" Target="../ctrlProps/ctrlProp1725.xml"/><Relationship Id="rId142" Type="http://schemas.openxmlformats.org/officeDocument/2006/relationships/ctrlProp" Target="../ctrlProps/ctrlProp1746.xml"/><Relationship Id="rId163" Type="http://schemas.openxmlformats.org/officeDocument/2006/relationships/ctrlProp" Target="../ctrlProps/ctrlProp1767.xml"/><Relationship Id="rId3" Type="http://schemas.openxmlformats.org/officeDocument/2006/relationships/ctrlProp" Target="../ctrlProps/ctrlProp1607.xml"/><Relationship Id="rId25" Type="http://schemas.openxmlformats.org/officeDocument/2006/relationships/ctrlProp" Target="../ctrlProps/ctrlProp1629.xml"/><Relationship Id="rId46" Type="http://schemas.openxmlformats.org/officeDocument/2006/relationships/ctrlProp" Target="../ctrlProps/ctrlProp1650.xml"/><Relationship Id="rId67" Type="http://schemas.openxmlformats.org/officeDocument/2006/relationships/ctrlProp" Target="../ctrlProps/ctrlProp1671.xml"/><Relationship Id="rId116" Type="http://schemas.openxmlformats.org/officeDocument/2006/relationships/ctrlProp" Target="../ctrlProps/ctrlProp1720.xml"/><Relationship Id="rId137" Type="http://schemas.openxmlformats.org/officeDocument/2006/relationships/ctrlProp" Target="../ctrlProps/ctrlProp1741.xml"/><Relationship Id="rId158" Type="http://schemas.openxmlformats.org/officeDocument/2006/relationships/ctrlProp" Target="../ctrlProps/ctrlProp1762.xml"/><Relationship Id="rId20" Type="http://schemas.openxmlformats.org/officeDocument/2006/relationships/ctrlProp" Target="../ctrlProps/ctrlProp1624.xml"/><Relationship Id="rId41" Type="http://schemas.openxmlformats.org/officeDocument/2006/relationships/ctrlProp" Target="../ctrlProps/ctrlProp1645.xml"/><Relationship Id="rId62" Type="http://schemas.openxmlformats.org/officeDocument/2006/relationships/ctrlProp" Target="../ctrlProps/ctrlProp1666.xml"/><Relationship Id="rId83" Type="http://schemas.openxmlformats.org/officeDocument/2006/relationships/ctrlProp" Target="../ctrlProps/ctrlProp1687.xml"/><Relationship Id="rId88" Type="http://schemas.openxmlformats.org/officeDocument/2006/relationships/ctrlProp" Target="../ctrlProps/ctrlProp1692.xml"/><Relationship Id="rId111" Type="http://schemas.openxmlformats.org/officeDocument/2006/relationships/ctrlProp" Target="../ctrlProps/ctrlProp1715.xml"/><Relationship Id="rId132" Type="http://schemas.openxmlformats.org/officeDocument/2006/relationships/ctrlProp" Target="../ctrlProps/ctrlProp1736.xml"/><Relationship Id="rId153" Type="http://schemas.openxmlformats.org/officeDocument/2006/relationships/ctrlProp" Target="../ctrlProps/ctrlProp1757.xml"/><Relationship Id="rId174" Type="http://schemas.openxmlformats.org/officeDocument/2006/relationships/ctrlProp" Target="../ctrlProps/ctrlProp1778.xml"/><Relationship Id="rId179" Type="http://schemas.openxmlformats.org/officeDocument/2006/relationships/ctrlProp" Target="../ctrlProps/ctrlProp1783.xml"/><Relationship Id="rId15" Type="http://schemas.openxmlformats.org/officeDocument/2006/relationships/ctrlProp" Target="../ctrlProps/ctrlProp1619.xml"/><Relationship Id="rId36" Type="http://schemas.openxmlformats.org/officeDocument/2006/relationships/ctrlProp" Target="../ctrlProps/ctrlProp1640.xml"/><Relationship Id="rId57" Type="http://schemas.openxmlformats.org/officeDocument/2006/relationships/ctrlProp" Target="../ctrlProps/ctrlProp1661.xml"/><Relationship Id="rId106" Type="http://schemas.openxmlformats.org/officeDocument/2006/relationships/ctrlProp" Target="../ctrlProps/ctrlProp1710.xml"/><Relationship Id="rId127" Type="http://schemas.openxmlformats.org/officeDocument/2006/relationships/ctrlProp" Target="../ctrlProps/ctrlProp1731.xml"/><Relationship Id="rId10" Type="http://schemas.openxmlformats.org/officeDocument/2006/relationships/ctrlProp" Target="../ctrlProps/ctrlProp1614.xml"/><Relationship Id="rId31" Type="http://schemas.openxmlformats.org/officeDocument/2006/relationships/ctrlProp" Target="../ctrlProps/ctrlProp1635.xml"/><Relationship Id="rId52" Type="http://schemas.openxmlformats.org/officeDocument/2006/relationships/ctrlProp" Target="../ctrlProps/ctrlProp1656.xml"/><Relationship Id="rId73" Type="http://schemas.openxmlformats.org/officeDocument/2006/relationships/ctrlProp" Target="../ctrlProps/ctrlProp1677.xml"/><Relationship Id="rId78" Type="http://schemas.openxmlformats.org/officeDocument/2006/relationships/ctrlProp" Target="../ctrlProps/ctrlProp1682.xml"/><Relationship Id="rId94" Type="http://schemas.openxmlformats.org/officeDocument/2006/relationships/ctrlProp" Target="../ctrlProps/ctrlProp1698.xml"/><Relationship Id="rId99" Type="http://schemas.openxmlformats.org/officeDocument/2006/relationships/ctrlProp" Target="../ctrlProps/ctrlProp1703.xml"/><Relationship Id="rId101" Type="http://schemas.openxmlformats.org/officeDocument/2006/relationships/ctrlProp" Target="../ctrlProps/ctrlProp1705.xml"/><Relationship Id="rId122" Type="http://schemas.openxmlformats.org/officeDocument/2006/relationships/ctrlProp" Target="../ctrlProps/ctrlProp1726.xml"/><Relationship Id="rId143" Type="http://schemas.openxmlformats.org/officeDocument/2006/relationships/ctrlProp" Target="../ctrlProps/ctrlProp1747.xml"/><Relationship Id="rId148" Type="http://schemas.openxmlformats.org/officeDocument/2006/relationships/ctrlProp" Target="../ctrlProps/ctrlProp1752.xml"/><Relationship Id="rId164" Type="http://schemas.openxmlformats.org/officeDocument/2006/relationships/ctrlProp" Target="../ctrlProps/ctrlProp1768.xml"/><Relationship Id="rId169" Type="http://schemas.openxmlformats.org/officeDocument/2006/relationships/ctrlProp" Target="../ctrlProps/ctrlProp1773.xml"/><Relationship Id="rId4" Type="http://schemas.openxmlformats.org/officeDocument/2006/relationships/ctrlProp" Target="../ctrlProps/ctrlProp1608.xml"/><Relationship Id="rId9" Type="http://schemas.openxmlformats.org/officeDocument/2006/relationships/ctrlProp" Target="../ctrlProps/ctrlProp1613.xml"/><Relationship Id="rId26" Type="http://schemas.openxmlformats.org/officeDocument/2006/relationships/ctrlProp" Target="../ctrlProps/ctrlProp1630.xml"/><Relationship Id="rId47" Type="http://schemas.openxmlformats.org/officeDocument/2006/relationships/ctrlProp" Target="../ctrlProps/ctrlProp1651.xml"/><Relationship Id="rId68" Type="http://schemas.openxmlformats.org/officeDocument/2006/relationships/ctrlProp" Target="../ctrlProps/ctrlProp1672.xml"/><Relationship Id="rId89" Type="http://schemas.openxmlformats.org/officeDocument/2006/relationships/ctrlProp" Target="../ctrlProps/ctrlProp1693.xml"/><Relationship Id="rId112" Type="http://schemas.openxmlformats.org/officeDocument/2006/relationships/ctrlProp" Target="../ctrlProps/ctrlProp1716.xml"/><Relationship Id="rId133" Type="http://schemas.openxmlformats.org/officeDocument/2006/relationships/ctrlProp" Target="../ctrlProps/ctrlProp1737.xml"/><Relationship Id="rId154" Type="http://schemas.openxmlformats.org/officeDocument/2006/relationships/ctrlProp" Target="../ctrlProps/ctrlProp1758.xml"/><Relationship Id="rId175" Type="http://schemas.openxmlformats.org/officeDocument/2006/relationships/ctrlProp" Target="../ctrlProps/ctrlProp1779.xml"/><Relationship Id="rId16" Type="http://schemas.openxmlformats.org/officeDocument/2006/relationships/ctrlProp" Target="../ctrlProps/ctrlProp1620.xml"/><Relationship Id="rId37" Type="http://schemas.openxmlformats.org/officeDocument/2006/relationships/ctrlProp" Target="../ctrlProps/ctrlProp1641.xml"/><Relationship Id="rId58" Type="http://schemas.openxmlformats.org/officeDocument/2006/relationships/ctrlProp" Target="../ctrlProps/ctrlProp1662.xml"/><Relationship Id="rId79" Type="http://schemas.openxmlformats.org/officeDocument/2006/relationships/ctrlProp" Target="../ctrlProps/ctrlProp1683.xml"/><Relationship Id="rId102" Type="http://schemas.openxmlformats.org/officeDocument/2006/relationships/ctrlProp" Target="../ctrlProps/ctrlProp1706.xml"/><Relationship Id="rId123" Type="http://schemas.openxmlformats.org/officeDocument/2006/relationships/ctrlProp" Target="../ctrlProps/ctrlProp1727.xml"/><Relationship Id="rId144" Type="http://schemas.openxmlformats.org/officeDocument/2006/relationships/ctrlProp" Target="../ctrlProps/ctrlProp1748.xml"/><Relationship Id="rId90" Type="http://schemas.openxmlformats.org/officeDocument/2006/relationships/ctrlProp" Target="../ctrlProps/ctrlProp1694.xml"/><Relationship Id="rId165" Type="http://schemas.openxmlformats.org/officeDocument/2006/relationships/ctrlProp" Target="../ctrlProps/ctrlProp1769.xml"/><Relationship Id="rId27" Type="http://schemas.openxmlformats.org/officeDocument/2006/relationships/ctrlProp" Target="../ctrlProps/ctrlProp1631.xml"/><Relationship Id="rId48" Type="http://schemas.openxmlformats.org/officeDocument/2006/relationships/ctrlProp" Target="../ctrlProps/ctrlProp1652.xml"/><Relationship Id="rId69" Type="http://schemas.openxmlformats.org/officeDocument/2006/relationships/ctrlProp" Target="../ctrlProps/ctrlProp1673.xml"/><Relationship Id="rId113" Type="http://schemas.openxmlformats.org/officeDocument/2006/relationships/ctrlProp" Target="../ctrlProps/ctrlProp1717.xml"/><Relationship Id="rId134" Type="http://schemas.openxmlformats.org/officeDocument/2006/relationships/ctrlProp" Target="../ctrlProps/ctrlProp1738.xml"/><Relationship Id="rId80" Type="http://schemas.openxmlformats.org/officeDocument/2006/relationships/ctrlProp" Target="../ctrlProps/ctrlProp1684.xml"/><Relationship Id="rId155" Type="http://schemas.openxmlformats.org/officeDocument/2006/relationships/ctrlProp" Target="../ctrlProps/ctrlProp1759.xml"/><Relationship Id="rId176" Type="http://schemas.openxmlformats.org/officeDocument/2006/relationships/ctrlProp" Target="../ctrlProps/ctrlProp1780.xml"/><Relationship Id="rId17" Type="http://schemas.openxmlformats.org/officeDocument/2006/relationships/ctrlProp" Target="../ctrlProps/ctrlProp1621.xml"/><Relationship Id="rId38" Type="http://schemas.openxmlformats.org/officeDocument/2006/relationships/ctrlProp" Target="../ctrlProps/ctrlProp1642.xml"/><Relationship Id="rId59" Type="http://schemas.openxmlformats.org/officeDocument/2006/relationships/ctrlProp" Target="../ctrlProps/ctrlProp1663.xml"/><Relationship Id="rId103" Type="http://schemas.openxmlformats.org/officeDocument/2006/relationships/ctrlProp" Target="../ctrlProps/ctrlProp1707.xml"/><Relationship Id="rId124" Type="http://schemas.openxmlformats.org/officeDocument/2006/relationships/ctrlProp" Target="../ctrlProps/ctrlProp1728.xml"/><Relationship Id="rId70" Type="http://schemas.openxmlformats.org/officeDocument/2006/relationships/ctrlProp" Target="../ctrlProps/ctrlProp1674.xml"/><Relationship Id="rId91" Type="http://schemas.openxmlformats.org/officeDocument/2006/relationships/ctrlProp" Target="../ctrlProps/ctrlProp1695.xml"/><Relationship Id="rId145" Type="http://schemas.openxmlformats.org/officeDocument/2006/relationships/ctrlProp" Target="../ctrlProps/ctrlProp1749.xml"/><Relationship Id="rId166" Type="http://schemas.openxmlformats.org/officeDocument/2006/relationships/ctrlProp" Target="../ctrlProps/ctrlProp1770.xml"/><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26" Type="http://schemas.openxmlformats.org/officeDocument/2006/relationships/ctrlProp" Target="../ctrlProps/ctrlProp1807.xml"/><Relationship Id="rId117" Type="http://schemas.openxmlformats.org/officeDocument/2006/relationships/ctrlProp" Target="../ctrlProps/ctrlProp1898.xml"/><Relationship Id="rId21" Type="http://schemas.openxmlformats.org/officeDocument/2006/relationships/ctrlProp" Target="../ctrlProps/ctrlProp1802.xml"/><Relationship Id="rId42" Type="http://schemas.openxmlformats.org/officeDocument/2006/relationships/ctrlProp" Target="../ctrlProps/ctrlProp1823.xml"/><Relationship Id="rId47" Type="http://schemas.openxmlformats.org/officeDocument/2006/relationships/ctrlProp" Target="../ctrlProps/ctrlProp1828.xml"/><Relationship Id="rId63" Type="http://schemas.openxmlformats.org/officeDocument/2006/relationships/ctrlProp" Target="../ctrlProps/ctrlProp1844.xml"/><Relationship Id="rId68" Type="http://schemas.openxmlformats.org/officeDocument/2006/relationships/ctrlProp" Target="../ctrlProps/ctrlProp1849.xml"/><Relationship Id="rId84" Type="http://schemas.openxmlformats.org/officeDocument/2006/relationships/ctrlProp" Target="../ctrlProps/ctrlProp1865.xml"/><Relationship Id="rId89" Type="http://schemas.openxmlformats.org/officeDocument/2006/relationships/ctrlProp" Target="../ctrlProps/ctrlProp1870.xml"/><Relationship Id="rId112" Type="http://schemas.openxmlformats.org/officeDocument/2006/relationships/ctrlProp" Target="../ctrlProps/ctrlProp1893.xml"/><Relationship Id="rId16" Type="http://schemas.openxmlformats.org/officeDocument/2006/relationships/ctrlProp" Target="../ctrlProps/ctrlProp1797.xml"/><Relationship Id="rId107" Type="http://schemas.openxmlformats.org/officeDocument/2006/relationships/ctrlProp" Target="../ctrlProps/ctrlProp1888.xml"/><Relationship Id="rId11" Type="http://schemas.openxmlformats.org/officeDocument/2006/relationships/ctrlProp" Target="../ctrlProps/ctrlProp1792.xml"/><Relationship Id="rId32" Type="http://schemas.openxmlformats.org/officeDocument/2006/relationships/ctrlProp" Target="../ctrlProps/ctrlProp1813.xml"/><Relationship Id="rId37" Type="http://schemas.openxmlformats.org/officeDocument/2006/relationships/ctrlProp" Target="../ctrlProps/ctrlProp1818.xml"/><Relationship Id="rId53" Type="http://schemas.openxmlformats.org/officeDocument/2006/relationships/ctrlProp" Target="../ctrlProps/ctrlProp1834.xml"/><Relationship Id="rId58" Type="http://schemas.openxmlformats.org/officeDocument/2006/relationships/ctrlProp" Target="../ctrlProps/ctrlProp1839.xml"/><Relationship Id="rId74" Type="http://schemas.openxmlformats.org/officeDocument/2006/relationships/ctrlProp" Target="../ctrlProps/ctrlProp1855.xml"/><Relationship Id="rId79" Type="http://schemas.openxmlformats.org/officeDocument/2006/relationships/ctrlProp" Target="../ctrlProps/ctrlProp1860.xml"/><Relationship Id="rId102" Type="http://schemas.openxmlformats.org/officeDocument/2006/relationships/ctrlProp" Target="../ctrlProps/ctrlProp1883.xml"/><Relationship Id="rId123" Type="http://schemas.openxmlformats.org/officeDocument/2006/relationships/ctrlProp" Target="../ctrlProps/ctrlProp1904.xml"/><Relationship Id="rId5" Type="http://schemas.openxmlformats.org/officeDocument/2006/relationships/ctrlProp" Target="../ctrlProps/ctrlProp1786.xml"/><Relationship Id="rId90" Type="http://schemas.openxmlformats.org/officeDocument/2006/relationships/ctrlProp" Target="../ctrlProps/ctrlProp1871.xml"/><Relationship Id="rId95" Type="http://schemas.openxmlformats.org/officeDocument/2006/relationships/ctrlProp" Target="../ctrlProps/ctrlProp1876.xml"/><Relationship Id="rId22" Type="http://schemas.openxmlformats.org/officeDocument/2006/relationships/ctrlProp" Target="../ctrlProps/ctrlProp1803.xml"/><Relationship Id="rId27" Type="http://schemas.openxmlformats.org/officeDocument/2006/relationships/ctrlProp" Target="../ctrlProps/ctrlProp1808.xml"/><Relationship Id="rId43" Type="http://schemas.openxmlformats.org/officeDocument/2006/relationships/ctrlProp" Target="../ctrlProps/ctrlProp1824.xml"/><Relationship Id="rId48" Type="http://schemas.openxmlformats.org/officeDocument/2006/relationships/ctrlProp" Target="../ctrlProps/ctrlProp1829.xml"/><Relationship Id="rId64" Type="http://schemas.openxmlformats.org/officeDocument/2006/relationships/ctrlProp" Target="../ctrlProps/ctrlProp1845.xml"/><Relationship Id="rId69" Type="http://schemas.openxmlformats.org/officeDocument/2006/relationships/ctrlProp" Target="../ctrlProps/ctrlProp1850.xml"/><Relationship Id="rId113" Type="http://schemas.openxmlformats.org/officeDocument/2006/relationships/ctrlProp" Target="../ctrlProps/ctrlProp1894.xml"/><Relationship Id="rId118" Type="http://schemas.openxmlformats.org/officeDocument/2006/relationships/ctrlProp" Target="../ctrlProps/ctrlProp1899.xml"/><Relationship Id="rId80" Type="http://schemas.openxmlformats.org/officeDocument/2006/relationships/ctrlProp" Target="../ctrlProps/ctrlProp1861.xml"/><Relationship Id="rId85" Type="http://schemas.openxmlformats.org/officeDocument/2006/relationships/ctrlProp" Target="../ctrlProps/ctrlProp1866.xml"/><Relationship Id="rId12" Type="http://schemas.openxmlformats.org/officeDocument/2006/relationships/ctrlProp" Target="../ctrlProps/ctrlProp1793.xml"/><Relationship Id="rId17" Type="http://schemas.openxmlformats.org/officeDocument/2006/relationships/ctrlProp" Target="../ctrlProps/ctrlProp1798.xml"/><Relationship Id="rId33" Type="http://schemas.openxmlformats.org/officeDocument/2006/relationships/ctrlProp" Target="../ctrlProps/ctrlProp1814.xml"/><Relationship Id="rId38" Type="http://schemas.openxmlformats.org/officeDocument/2006/relationships/ctrlProp" Target="../ctrlProps/ctrlProp1819.xml"/><Relationship Id="rId59" Type="http://schemas.openxmlformats.org/officeDocument/2006/relationships/ctrlProp" Target="../ctrlProps/ctrlProp1840.xml"/><Relationship Id="rId103" Type="http://schemas.openxmlformats.org/officeDocument/2006/relationships/ctrlProp" Target="../ctrlProps/ctrlProp1884.xml"/><Relationship Id="rId108" Type="http://schemas.openxmlformats.org/officeDocument/2006/relationships/ctrlProp" Target="../ctrlProps/ctrlProp1889.xml"/><Relationship Id="rId54" Type="http://schemas.openxmlformats.org/officeDocument/2006/relationships/ctrlProp" Target="../ctrlProps/ctrlProp1835.xml"/><Relationship Id="rId70" Type="http://schemas.openxmlformats.org/officeDocument/2006/relationships/ctrlProp" Target="../ctrlProps/ctrlProp1851.xml"/><Relationship Id="rId75" Type="http://schemas.openxmlformats.org/officeDocument/2006/relationships/ctrlProp" Target="../ctrlProps/ctrlProp1856.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drawing" Target="../drawings/drawing28.xml"/><Relationship Id="rId6" Type="http://schemas.openxmlformats.org/officeDocument/2006/relationships/ctrlProp" Target="../ctrlProps/ctrlProp1787.xml"/><Relationship Id="rId23" Type="http://schemas.openxmlformats.org/officeDocument/2006/relationships/ctrlProp" Target="../ctrlProps/ctrlProp1804.xml"/><Relationship Id="rId28" Type="http://schemas.openxmlformats.org/officeDocument/2006/relationships/ctrlProp" Target="../ctrlProps/ctrlProp1809.xml"/><Relationship Id="rId49" Type="http://schemas.openxmlformats.org/officeDocument/2006/relationships/ctrlProp" Target="../ctrlProps/ctrlProp1830.xml"/><Relationship Id="rId114" Type="http://schemas.openxmlformats.org/officeDocument/2006/relationships/ctrlProp" Target="../ctrlProps/ctrlProp1895.xml"/><Relationship Id="rId119" Type="http://schemas.openxmlformats.org/officeDocument/2006/relationships/ctrlProp" Target="../ctrlProps/ctrlProp1900.xml"/><Relationship Id="rId44" Type="http://schemas.openxmlformats.org/officeDocument/2006/relationships/ctrlProp" Target="../ctrlProps/ctrlProp1825.xml"/><Relationship Id="rId60" Type="http://schemas.openxmlformats.org/officeDocument/2006/relationships/ctrlProp" Target="../ctrlProps/ctrlProp1841.xml"/><Relationship Id="rId65" Type="http://schemas.openxmlformats.org/officeDocument/2006/relationships/ctrlProp" Target="../ctrlProps/ctrlProp1846.xml"/><Relationship Id="rId81" Type="http://schemas.openxmlformats.org/officeDocument/2006/relationships/ctrlProp" Target="../ctrlProps/ctrlProp1862.xml"/><Relationship Id="rId86" Type="http://schemas.openxmlformats.org/officeDocument/2006/relationships/ctrlProp" Target="../ctrlProps/ctrlProp1867.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 Id="rId109" Type="http://schemas.openxmlformats.org/officeDocument/2006/relationships/ctrlProp" Target="../ctrlProps/ctrlProp1890.xml"/><Relationship Id="rId34" Type="http://schemas.openxmlformats.org/officeDocument/2006/relationships/ctrlProp" Target="../ctrlProps/ctrlProp1815.xml"/><Relationship Id="rId50" Type="http://schemas.openxmlformats.org/officeDocument/2006/relationships/ctrlProp" Target="../ctrlProps/ctrlProp1831.xml"/><Relationship Id="rId55" Type="http://schemas.openxmlformats.org/officeDocument/2006/relationships/ctrlProp" Target="../ctrlProps/ctrlProp1836.xml"/><Relationship Id="rId76" Type="http://schemas.openxmlformats.org/officeDocument/2006/relationships/ctrlProp" Target="../ctrlProps/ctrlProp1857.xml"/><Relationship Id="rId97" Type="http://schemas.openxmlformats.org/officeDocument/2006/relationships/ctrlProp" Target="../ctrlProps/ctrlProp1878.xml"/><Relationship Id="rId104" Type="http://schemas.openxmlformats.org/officeDocument/2006/relationships/ctrlProp" Target="../ctrlProps/ctrlProp1885.xml"/><Relationship Id="rId120" Type="http://schemas.openxmlformats.org/officeDocument/2006/relationships/ctrlProp" Target="../ctrlProps/ctrlProp1901.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vmlDrawing" Target="../drawings/vmlDrawing14.vml"/><Relationship Id="rId29" Type="http://schemas.openxmlformats.org/officeDocument/2006/relationships/ctrlProp" Target="../ctrlProps/ctrlProp1810.xml"/><Relationship Id="rId24" Type="http://schemas.openxmlformats.org/officeDocument/2006/relationships/ctrlProp" Target="../ctrlProps/ctrlProp1805.xml"/><Relationship Id="rId40" Type="http://schemas.openxmlformats.org/officeDocument/2006/relationships/ctrlProp" Target="../ctrlProps/ctrlProp1821.xml"/><Relationship Id="rId45" Type="http://schemas.openxmlformats.org/officeDocument/2006/relationships/ctrlProp" Target="../ctrlProps/ctrlProp1826.xml"/><Relationship Id="rId66" Type="http://schemas.openxmlformats.org/officeDocument/2006/relationships/ctrlProp" Target="../ctrlProps/ctrlProp1847.xml"/><Relationship Id="rId87" Type="http://schemas.openxmlformats.org/officeDocument/2006/relationships/ctrlProp" Target="../ctrlProps/ctrlProp1868.xml"/><Relationship Id="rId110" Type="http://schemas.openxmlformats.org/officeDocument/2006/relationships/ctrlProp" Target="../ctrlProps/ctrlProp1891.xml"/><Relationship Id="rId115" Type="http://schemas.openxmlformats.org/officeDocument/2006/relationships/ctrlProp" Target="../ctrlProps/ctrlProp1896.xml"/><Relationship Id="rId61" Type="http://schemas.openxmlformats.org/officeDocument/2006/relationships/ctrlProp" Target="../ctrlProps/ctrlProp1842.xml"/><Relationship Id="rId82" Type="http://schemas.openxmlformats.org/officeDocument/2006/relationships/ctrlProp" Target="../ctrlProps/ctrlProp1863.xml"/><Relationship Id="rId19" Type="http://schemas.openxmlformats.org/officeDocument/2006/relationships/ctrlProp" Target="../ctrlProps/ctrlProp1800.xml"/><Relationship Id="rId14" Type="http://schemas.openxmlformats.org/officeDocument/2006/relationships/ctrlProp" Target="../ctrlProps/ctrlProp1795.xml"/><Relationship Id="rId30" Type="http://schemas.openxmlformats.org/officeDocument/2006/relationships/ctrlProp" Target="../ctrlProps/ctrlProp1811.xml"/><Relationship Id="rId35" Type="http://schemas.openxmlformats.org/officeDocument/2006/relationships/ctrlProp" Target="../ctrlProps/ctrlProp1816.xml"/><Relationship Id="rId56" Type="http://schemas.openxmlformats.org/officeDocument/2006/relationships/ctrlProp" Target="../ctrlProps/ctrlProp1837.xml"/><Relationship Id="rId77" Type="http://schemas.openxmlformats.org/officeDocument/2006/relationships/ctrlProp" Target="../ctrlProps/ctrlProp1858.xml"/><Relationship Id="rId100" Type="http://schemas.openxmlformats.org/officeDocument/2006/relationships/ctrlProp" Target="../ctrlProps/ctrlProp1881.xml"/><Relationship Id="rId105" Type="http://schemas.openxmlformats.org/officeDocument/2006/relationships/ctrlProp" Target="../ctrlProps/ctrlProp1886.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93" Type="http://schemas.openxmlformats.org/officeDocument/2006/relationships/ctrlProp" Target="../ctrlProps/ctrlProp1874.xml"/><Relationship Id="rId98" Type="http://schemas.openxmlformats.org/officeDocument/2006/relationships/ctrlProp" Target="../ctrlProps/ctrlProp1879.xml"/><Relationship Id="rId121" Type="http://schemas.openxmlformats.org/officeDocument/2006/relationships/ctrlProp" Target="../ctrlProps/ctrlProp1902.xml"/><Relationship Id="rId3" Type="http://schemas.openxmlformats.org/officeDocument/2006/relationships/ctrlProp" Target="../ctrlProps/ctrlProp1784.xml"/><Relationship Id="rId25" Type="http://schemas.openxmlformats.org/officeDocument/2006/relationships/ctrlProp" Target="../ctrlProps/ctrlProp1806.xml"/><Relationship Id="rId46" Type="http://schemas.openxmlformats.org/officeDocument/2006/relationships/ctrlProp" Target="../ctrlProps/ctrlProp1827.xml"/><Relationship Id="rId67" Type="http://schemas.openxmlformats.org/officeDocument/2006/relationships/ctrlProp" Target="../ctrlProps/ctrlProp1848.xml"/><Relationship Id="rId116" Type="http://schemas.openxmlformats.org/officeDocument/2006/relationships/ctrlProp" Target="../ctrlProps/ctrlProp1897.xml"/><Relationship Id="rId20" Type="http://schemas.openxmlformats.org/officeDocument/2006/relationships/ctrlProp" Target="../ctrlProps/ctrlProp1801.xml"/><Relationship Id="rId41" Type="http://schemas.openxmlformats.org/officeDocument/2006/relationships/ctrlProp" Target="../ctrlProps/ctrlProp1822.xml"/><Relationship Id="rId62" Type="http://schemas.openxmlformats.org/officeDocument/2006/relationships/ctrlProp" Target="../ctrlProps/ctrlProp1843.xml"/><Relationship Id="rId83" Type="http://schemas.openxmlformats.org/officeDocument/2006/relationships/ctrlProp" Target="../ctrlProps/ctrlProp1864.xml"/><Relationship Id="rId88" Type="http://schemas.openxmlformats.org/officeDocument/2006/relationships/ctrlProp" Target="../ctrlProps/ctrlProp1869.xml"/><Relationship Id="rId111" Type="http://schemas.openxmlformats.org/officeDocument/2006/relationships/ctrlProp" Target="../ctrlProps/ctrlProp1892.xml"/><Relationship Id="rId15" Type="http://schemas.openxmlformats.org/officeDocument/2006/relationships/ctrlProp" Target="../ctrlProps/ctrlProp1796.xml"/><Relationship Id="rId36" Type="http://schemas.openxmlformats.org/officeDocument/2006/relationships/ctrlProp" Target="../ctrlProps/ctrlProp1817.xml"/><Relationship Id="rId57" Type="http://schemas.openxmlformats.org/officeDocument/2006/relationships/ctrlProp" Target="../ctrlProps/ctrlProp1838.xml"/><Relationship Id="rId106" Type="http://schemas.openxmlformats.org/officeDocument/2006/relationships/ctrlProp" Target="../ctrlProps/ctrlProp1887.xml"/><Relationship Id="rId10" Type="http://schemas.openxmlformats.org/officeDocument/2006/relationships/ctrlProp" Target="../ctrlProps/ctrlProp1791.xml"/><Relationship Id="rId31" Type="http://schemas.openxmlformats.org/officeDocument/2006/relationships/ctrlProp" Target="../ctrlProps/ctrlProp1812.xml"/><Relationship Id="rId52" Type="http://schemas.openxmlformats.org/officeDocument/2006/relationships/ctrlProp" Target="../ctrlProps/ctrlProp1833.xml"/><Relationship Id="rId73" Type="http://schemas.openxmlformats.org/officeDocument/2006/relationships/ctrlProp" Target="../ctrlProps/ctrlProp1854.xml"/><Relationship Id="rId78" Type="http://schemas.openxmlformats.org/officeDocument/2006/relationships/ctrlProp" Target="../ctrlProps/ctrlProp1859.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122" Type="http://schemas.openxmlformats.org/officeDocument/2006/relationships/ctrlProp" Target="../ctrlProps/ctrlProp190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019.xml"/><Relationship Id="rId21" Type="http://schemas.openxmlformats.org/officeDocument/2006/relationships/ctrlProp" Target="../ctrlProps/ctrlProp1923.xml"/><Relationship Id="rId42" Type="http://schemas.openxmlformats.org/officeDocument/2006/relationships/ctrlProp" Target="../ctrlProps/ctrlProp1944.xml"/><Relationship Id="rId63" Type="http://schemas.openxmlformats.org/officeDocument/2006/relationships/ctrlProp" Target="../ctrlProps/ctrlProp1965.xml"/><Relationship Id="rId84" Type="http://schemas.openxmlformats.org/officeDocument/2006/relationships/ctrlProp" Target="../ctrlProps/ctrlProp1986.xml"/><Relationship Id="rId138" Type="http://schemas.openxmlformats.org/officeDocument/2006/relationships/ctrlProp" Target="../ctrlProps/ctrlProp2040.xml"/><Relationship Id="rId159" Type="http://schemas.openxmlformats.org/officeDocument/2006/relationships/ctrlProp" Target="../ctrlProps/ctrlProp2061.xml"/><Relationship Id="rId170" Type="http://schemas.openxmlformats.org/officeDocument/2006/relationships/ctrlProp" Target="../ctrlProps/ctrlProp2072.xml"/><Relationship Id="rId191" Type="http://schemas.openxmlformats.org/officeDocument/2006/relationships/ctrlProp" Target="../ctrlProps/ctrlProp2093.xml"/><Relationship Id="rId205" Type="http://schemas.openxmlformats.org/officeDocument/2006/relationships/ctrlProp" Target="../ctrlProps/ctrlProp2107.xml"/><Relationship Id="rId226" Type="http://schemas.openxmlformats.org/officeDocument/2006/relationships/ctrlProp" Target="../ctrlProps/ctrlProp2128.xml"/><Relationship Id="rId247" Type="http://schemas.openxmlformats.org/officeDocument/2006/relationships/ctrlProp" Target="../ctrlProps/ctrlProp2149.xml"/><Relationship Id="rId107" Type="http://schemas.openxmlformats.org/officeDocument/2006/relationships/ctrlProp" Target="../ctrlProps/ctrlProp2009.xml"/><Relationship Id="rId11" Type="http://schemas.openxmlformats.org/officeDocument/2006/relationships/ctrlProp" Target="../ctrlProps/ctrlProp1913.xml"/><Relationship Id="rId32" Type="http://schemas.openxmlformats.org/officeDocument/2006/relationships/ctrlProp" Target="../ctrlProps/ctrlProp1934.xml"/><Relationship Id="rId53" Type="http://schemas.openxmlformats.org/officeDocument/2006/relationships/ctrlProp" Target="../ctrlProps/ctrlProp1955.xml"/><Relationship Id="rId74" Type="http://schemas.openxmlformats.org/officeDocument/2006/relationships/ctrlProp" Target="../ctrlProps/ctrlProp1976.xml"/><Relationship Id="rId128" Type="http://schemas.openxmlformats.org/officeDocument/2006/relationships/ctrlProp" Target="../ctrlProps/ctrlProp2030.xml"/><Relationship Id="rId149" Type="http://schemas.openxmlformats.org/officeDocument/2006/relationships/ctrlProp" Target="../ctrlProps/ctrlProp2051.xml"/><Relationship Id="rId5" Type="http://schemas.openxmlformats.org/officeDocument/2006/relationships/ctrlProp" Target="../ctrlProps/ctrlProp1907.xml"/><Relationship Id="rId95" Type="http://schemas.openxmlformats.org/officeDocument/2006/relationships/ctrlProp" Target="../ctrlProps/ctrlProp1997.xml"/><Relationship Id="rId160" Type="http://schemas.openxmlformats.org/officeDocument/2006/relationships/ctrlProp" Target="../ctrlProps/ctrlProp2062.xml"/><Relationship Id="rId181" Type="http://schemas.openxmlformats.org/officeDocument/2006/relationships/ctrlProp" Target="../ctrlProps/ctrlProp2083.xml"/><Relationship Id="rId216" Type="http://schemas.openxmlformats.org/officeDocument/2006/relationships/ctrlProp" Target="../ctrlProps/ctrlProp2118.xml"/><Relationship Id="rId237" Type="http://schemas.openxmlformats.org/officeDocument/2006/relationships/ctrlProp" Target="../ctrlProps/ctrlProp2139.xml"/><Relationship Id="rId22" Type="http://schemas.openxmlformats.org/officeDocument/2006/relationships/ctrlProp" Target="../ctrlProps/ctrlProp1924.xml"/><Relationship Id="rId43" Type="http://schemas.openxmlformats.org/officeDocument/2006/relationships/ctrlProp" Target="../ctrlProps/ctrlProp1945.xml"/><Relationship Id="rId64" Type="http://schemas.openxmlformats.org/officeDocument/2006/relationships/ctrlProp" Target="../ctrlProps/ctrlProp1966.xml"/><Relationship Id="rId118" Type="http://schemas.openxmlformats.org/officeDocument/2006/relationships/ctrlProp" Target="../ctrlProps/ctrlProp2020.xml"/><Relationship Id="rId139" Type="http://schemas.openxmlformats.org/officeDocument/2006/relationships/ctrlProp" Target="../ctrlProps/ctrlProp2041.xml"/><Relationship Id="rId85" Type="http://schemas.openxmlformats.org/officeDocument/2006/relationships/ctrlProp" Target="../ctrlProps/ctrlProp1987.xml"/><Relationship Id="rId150" Type="http://schemas.openxmlformats.org/officeDocument/2006/relationships/ctrlProp" Target="../ctrlProps/ctrlProp2052.xml"/><Relationship Id="rId171" Type="http://schemas.openxmlformats.org/officeDocument/2006/relationships/ctrlProp" Target="../ctrlProps/ctrlProp2073.xml"/><Relationship Id="rId192" Type="http://schemas.openxmlformats.org/officeDocument/2006/relationships/ctrlProp" Target="../ctrlProps/ctrlProp2094.xml"/><Relationship Id="rId206" Type="http://schemas.openxmlformats.org/officeDocument/2006/relationships/ctrlProp" Target="../ctrlProps/ctrlProp2108.xml"/><Relationship Id="rId227" Type="http://schemas.openxmlformats.org/officeDocument/2006/relationships/ctrlProp" Target="../ctrlProps/ctrlProp2129.xml"/><Relationship Id="rId248" Type="http://schemas.openxmlformats.org/officeDocument/2006/relationships/ctrlProp" Target="../ctrlProps/ctrlProp2150.xml"/><Relationship Id="rId12" Type="http://schemas.openxmlformats.org/officeDocument/2006/relationships/ctrlProp" Target="../ctrlProps/ctrlProp1914.xml"/><Relationship Id="rId33" Type="http://schemas.openxmlformats.org/officeDocument/2006/relationships/ctrlProp" Target="../ctrlProps/ctrlProp1935.xml"/><Relationship Id="rId108" Type="http://schemas.openxmlformats.org/officeDocument/2006/relationships/ctrlProp" Target="../ctrlProps/ctrlProp2010.xml"/><Relationship Id="rId129" Type="http://schemas.openxmlformats.org/officeDocument/2006/relationships/ctrlProp" Target="../ctrlProps/ctrlProp2031.xml"/><Relationship Id="rId54" Type="http://schemas.openxmlformats.org/officeDocument/2006/relationships/ctrlProp" Target="../ctrlProps/ctrlProp1956.xml"/><Relationship Id="rId75" Type="http://schemas.openxmlformats.org/officeDocument/2006/relationships/ctrlProp" Target="../ctrlProps/ctrlProp1977.xml"/><Relationship Id="rId96" Type="http://schemas.openxmlformats.org/officeDocument/2006/relationships/ctrlProp" Target="../ctrlProps/ctrlProp1998.xml"/><Relationship Id="rId140" Type="http://schemas.openxmlformats.org/officeDocument/2006/relationships/ctrlProp" Target="../ctrlProps/ctrlProp2042.xml"/><Relationship Id="rId161" Type="http://schemas.openxmlformats.org/officeDocument/2006/relationships/ctrlProp" Target="../ctrlProps/ctrlProp2063.xml"/><Relationship Id="rId182" Type="http://schemas.openxmlformats.org/officeDocument/2006/relationships/ctrlProp" Target="../ctrlProps/ctrlProp2084.xml"/><Relationship Id="rId217" Type="http://schemas.openxmlformats.org/officeDocument/2006/relationships/ctrlProp" Target="../ctrlProps/ctrlProp2119.xml"/><Relationship Id="rId6" Type="http://schemas.openxmlformats.org/officeDocument/2006/relationships/ctrlProp" Target="../ctrlProps/ctrlProp1908.xml"/><Relationship Id="rId238" Type="http://schemas.openxmlformats.org/officeDocument/2006/relationships/ctrlProp" Target="../ctrlProps/ctrlProp2140.xml"/><Relationship Id="rId23" Type="http://schemas.openxmlformats.org/officeDocument/2006/relationships/ctrlProp" Target="../ctrlProps/ctrlProp1925.xml"/><Relationship Id="rId119" Type="http://schemas.openxmlformats.org/officeDocument/2006/relationships/ctrlProp" Target="../ctrlProps/ctrlProp2021.xml"/><Relationship Id="rId44" Type="http://schemas.openxmlformats.org/officeDocument/2006/relationships/ctrlProp" Target="../ctrlProps/ctrlProp1946.xml"/><Relationship Id="rId65" Type="http://schemas.openxmlformats.org/officeDocument/2006/relationships/ctrlProp" Target="../ctrlProps/ctrlProp1967.xml"/><Relationship Id="rId86" Type="http://schemas.openxmlformats.org/officeDocument/2006/relationships/ctrlProp" Target="../ctrlProps/ctrlProp1988.xml"/><Relationship Id="rId130" Type="http://schemas.openxmlformats.org/officeDocument/2006/relationships/ctrlProp" Target="../ctrlProps/ctrlProp2032.xml"/><Relationship Id="rId151" Type="http://schemas.openxmlformats.org/officeDocument/2006/relationships/ctrlProp" Target="../ctrlProps/ctrlProp2053.xml"/><Relationship Id="rId172" Type="http://schemas.openxmlformats.org/officeDocument/2006/relationships/ctrlProp" Target="../ctrlProps/ctrlProp2074.xml"/><Relationship Id="rId193" Type="http://schemas.openxmlformats.org/officeDocument/2006/relationships/ctrlProp" Target="../ctrlProps/ctrlProp2095.xml"/><Relationship Id="rId207" Type="http://schemas.openxmlformats.org/officeDocument/2006/relationships/ctrlProp" Target="../ctrlProps/ctrlProp2109.xml"/><Relationship Id="rId228" Type="http://schemas.openxmlformats.org/officeDocument/2006/relationships/ctrlProp" Target="../ctrlProps/ctrlProp2130.xml"/><Relationship Id="rId249" Type="http://schemas.openxmlformats.org/officeDocument/2006/relationships/ctrlProp" Target="../ctrlProps/ctrlProp2151.xml"/><Relationship Id="rId13" Type="http://schemas.openxmlformats.org/officeDocument/2006/relationships/ctrlProp" Target="../ctrlProps/ctrlProp1915.xml"/><Relationship Id="rId109" Type="http://schemas.openxmlformats.org/officeDocument/2006/relationships/ctrlProp" Target="../ctrlProps/ctrlProp2011.xml"/><Relationship Id="rId34" Type="http://schemas.openxmlformats.org/officeDocument/2006/relationships/ctrlProp" Target="../ctrlProps/ctrlProp1936.xml"/><Relationship Id="rId55" Type="http://schemas.openxmlformats.org/officeDocument/2006/relationships/ctrlProp" Target="../ctrlProps/ctrlProp1957.xml"/><Relationship Id="rId76" Type="http://schemas.openxmlformats.org/officeDocument/2006/relationships/ctrlProp" Target="../ctrlProps/ctrlProp1978.xml"/><Relationship Id="rId97" Type="http://schemas.openxmlformats.org/officeDocument/2006/relationships/ctrlProp" Target="../ctrlProps/ctrlProp1999.xml"/><Relationship Id="rId120" Type="http://schemas.openxmlformats.org/officeDocument/2006/relationships/ctrlProp" Target="../ctrlProps/ctrlProp2022.xml"/><Relationship Id="rId141" Type="http://schemas.openxmlformats.org/officeDocument/2006/relationships/ctrlProp" Target="../ctrlProps/ctrlProp2043.xml"/><Relationship Id="rId7" Type="http://schemas.openxmlformats.org/officeDocument/2006/relationships/ctrlProp" Target="../ctrlProps/ctrlProp1909.xml"/><Relationship Id="rId162" Type="http://schemas.openxmlformats.org/officeDocument/2006/relationships/ctrlProp" Target="../ctrlProps/ctrlProp2064.xml"/><Relationship Id="rId183" Type="http://schemas.openxmlformats.org/officeDocument/2006/relationships/ctrlProp" Target="../ctrlProps/ctrlProp2085.xml"/><Relationship Id="rId218" Type="http://schemas.openxmlformats.org/officeDocument/2006/relationships/ctrlProp" Target="../ctrlProps/ctrlProp2120.xml"/><Relationship Id="rId239" Type="http://schemas.openxmlformats.org/officeDocument/2006/relationships/ctrlProp" Target="../ctrlProps/ctrlProp2141.xml"/><Relationship Id="rId250" Type="http://schemas.openxmlformats.org/officeDocument/2006/relationships/ctrlProp" Target="../ctrlProps/ctrlProp2152.xml"/><Relationship Id="rId24" Type="http://schemas.openxmlformats.org/officeDocument/2006/relationships/ctrlProp" Target="../ctrlProps/ctrlProp1926.xml"/><Relationship Id="rId45" Type="http://schemas.openxmlformats.org/officeDocument/2006/relationships/ctrlProp" Target="../ctrlProps/ctrlProp1947.xml"/><Relationship Id="rId66" Type="http://schemas.openxmlformats.org/officeDocument/2006/relationships/ctrlProp" Target="../ctrlProps/ctrlProp1968.xml"/><Relationship Id="rId87" Type="http://schemas.openxmlformats.org/officeDocument/2006/relationships/ctrlProp" Target="../ctrlProps/ctrlProp1989.xml"/><Relationship Id="rId110" Type="http://schemas.openxmlformats.org/officeDocument/2006/relationships/ctrlProp" Target="../ctrlProps/ctrlProp2012.xml"/><Relationship Id="rId131" Type="http://schemas.openxmlformats.org/officeDocument/2006/relationships/ctrlProp" Target="../ctrlProps/ctrlProp2033.xml"/><Relationship Id="rId152" Type="http://schemas.openxmlformats.org/officeDocument/2006/relationships/ctrlProp" Target="../ctrlProps/ctrlProp2054.xml"/><Relationship Id="rId173" Type="http://schemas.openxmlformats.org/officeDocument/2006/relationships/ctrlProp" Target="../ctrlProps/ctrlProp2075.xml"/><Relationship Id="rId194" Type="http://schemas.openxmlformats.org/officeDocument/2006/relationships/ctrlProp" Target="../ctrlProps/ctrlProp2096.xml"/><Relationship Id="rId208" Type="http://schemas.openxmlformats.org/officeDocument/2006/relationships/ctrlProp" Target="../ctrlProps/ctrlProp2110.xml"/><Relationship Id="rId229" Type="http://schemas.openxmlformats.org/officeDocument/2006/relationships/ctrlProp" Target="../ctrlProps/ctrlProp2131.xml"/><Relationship Id="rId240" Type="http://schemas.openxmlformats.org/officeDocument/2006/relationships/ctrlProp" Target="../ctrlProps/ctrlProp2142.xml"/><Relationship Id="rId14" Type="http://schemas.openxmlformats.org/officeDocument/2006/relationships/ctrlProp" Target="../ctrlProps/ctrlProp1916.xml"/><Relationship Id="rId35" Type="http://schemas.openxmlformats.org/officeDocument/2006/relationships/ctrlProp" Target="../ctrlProps/ctrlProp1937.xml"/><Relationship Id="rId56" Type="http://schemas.openxmlformats.org/officeDocument/2006/relationships/ctrlProp" Target="../ctrlProps/ctrlProp1958.xml"/><Relationship Id="rId77" Type="http://schemas.openxmlformats.org/officeDocument/2006/relationships/ctrlProp" Target="../ctrlProps/ctrlProp1979.xml"/><Relationship Id="rId100" Type="http://schemas.openxmlformats.org/officeDocument/2006/relationships/ctrlProp" Target="../ctrlProps/ctrlProp2002.xml"/><Relationship Id="rId8" Type="http://schemas.openxmlformats.org/officeDocument/2006/relationships/ctrlProp" Target="../ctrlProps/ctrlProp1910.xml"/><Relationship Id="rId98" Type="http://schemas.openxmlformats.org/officeDocument/2006/relationships/ctrlProp" Target="../ctrlProps/ctrlProp2000.xml"/><Relationship Id="rId121" Type="http://schemas.openxmlformats.org/officeDocument/2006/relationships/ctrlProp" Target="../ctrlProps/ctrlProp2023.xml"/><Relationship Id="rId142" Type="http://schemas.openxmlformats.org/officeDocument/2006/relationships/ctrlProp" Target="../ctrlProps/ctrlProp2044.xml"/><Relationship Id="rId163" Type="http://schemas.openxmlformats.org/officeDocument/2006/relationships/ctrlProp" Target="../ctrlProps/ctrlProp2065.xml"/><Relationship Id="rId184" Type="http://schemas.openxmlformats.org/officeDocument/2006/relationships/ctrlProp" Target="../ctrlProps/ctrlProp2086.xml"/><Relationship Id="rId219" Type="http://schemas.openxmlformats.org/officeDocument/2006/relationships/ctrlProp" Target="../ctrlProps/ctrlProp2121.xml"/><Relationship Id="rId230" Type="http://schemas.openxmlformats.org/officeDocument/2006/relationships/ctrlProp" Target="../ctrlProps/ctrlProp2132.xml"/><Relationship Id="rId251" Type="http://schemas.openxmlformats.org/officeDocument/2006/relationships/ctrlProp" Target="../ctrlProps/ctrlProp2153.xml"/><Relationship Id="rId25" Type="http://schemas.openxmlformats.org/officeDocument/2006/relationships/ctrlProp" Target="../ctrlProps/ctrlProp1927.xml"/><Relationship Id="rId46" Type="http://schemas.openxmlformats.org/officeDocument/2006/relationships/ctrlProp" Target="../ctrlProps/ctrlProp1948.xml"/><Relationship Id="rId67" Type="http://schemas.openxmlformats.org/officeDocument/2006/relationships/ctrlProp" Target="../ctrlProps/ctrlProp1969.xml"/><Relationship Id="rId88" Type="http://schemas.openxmlformats.org/officeDocument/2006/relationships/ctrlProp" Target="../ctrlProps/ctrlProp1990.xml"/><Relationship Id="rId111" Type="http://schemas.openxmlformats.org/officeDocument/2006/relationships/ctrlProp" Target="../ctrlProps/ctrlProp2013.xml"/><Relationship Id="rId132" Type="http://schemas.openxmlformats.org/officeDocument/2006/relationships/ctrlProp" Target="../ctrlProps/ctrlProp2034.xml"/><Relationship Id="rId153" Type="http://schemas.openxmlformats.org/officeDocument/2006/relationships/ctrlProp" Target="../ctrlProps/ctrlProp2055.xml"/><Relationship Id="rId174" Type="http://schemas.openxmlformats.org/officeDocument/2006/relationships/ctrlProp" Target="../ctrlProps/ctrlProp2076.xml"/><Relationship Id="rId195" Type="http://schemas.openxmlformats.org/officeDocument/2006/relationships/ctrlProp" Target="../ctrlProps/ctrlProp2097.xml"/><Relationship Id="rId209" Type="http://schemas.openxmlformats.org/officeDocument/2006/relationships/ctrlProp" Target="../ctrlProps/ctrlProp2111.xml"/><Relationship Id="rId220" Type="http://schemas.openxmlformats.org/officeDocument/2006/relationships/ctrlProp" Target="../ctrlProps/ctrlProp2122.xml"/><Relationship Id="rId241" Type="http://schemas.openxmlformats.org/officeDocument/2006/relationships/ctrlProp" Target="../ctrlProps/ctrlProp2143.xml"/><Relationship Id="rId15" Type="http://schemas.openxmlformats.org/officeDocument/2006/relationships/ctrlProp" Target="../ctrlProps/ctrlProp1917.xml"/><Relationship Id="rId36" Type="http://schemas.openxmlformats.org/officeDocument/2006/relationships/ctrlProp" Target="../ctrlProps/ctrlProp1938.xml"/><Relationship Id="rId57" Type="http://schemas.openxmlformats.org/officeDocument/2006/relationships/ctrlProp" Target="../ctrlProps/ctrlProp1959.xml"/><Relationship Id="rId78" Type="http://schemas.openxmlformats.org/officeDocument/2006/relationships/ctrlProp" Target="../ctrlProps/ctrlProp1980.xml"/><Relationship Id="rId99" Type="http://schemas.openxmlformats.org/officeDocument/2006/relationships/ctrlProp" Target="../ctrlProps/ctrlProp2001.xml"/><Relationship Id="rId101" Type="http://schemas.openxmlformats.org/officeDocument/2006/relationships/ctrlProp" Target="../ctrlProps/ctrlProp2003.xml"/><Relationship Id="rId122" Type="http://schemas.openxmlformats.org/officeDocument/2006/relationships/ctrlProp" Target="../ctrlProps/ctrlProp2024.xml"/><Relationship Id="rId143" Type="http://schemas.openxmlformats.org/officeDocument/2006/relationships/ctrlProp" Target="../ctrlProps/ctrlProp2045.xml"/><Relationship Id="rId164" Type="http://schemas.openxmlformats.org/officeDocument/2006/relationships/ctrlProp" Target="../ctrlProps/ctrlProp2066.xml"/><Relationship Id="rId185" Type="http://schemas.openxmlformats.org/officeDocument/2006/relationships/ctrlProp" Target="../ctrlProps/ctrlProp2087.xml"/><Relationship Id="rId4" Type="http://schemas.openxmlformats.org/officeDocument/2006/relationships/ctrlProp" Target="../ctrlProps/ctrlProp1906.xml"/><Relationship Id="rId9" Type="http://schemas.openxmlformats.org/officeDocument/2006/relationships/ctrlProp" Target="../ctrlProps/ctrlProp1911.xml"/><Relationship Id="rId180" Type="http://schemas.openxmlformats.org/officeDocument/2006/relationships/ctrlProp" Target="../ctrlProps/ctrlProp2082.xml"/><Relationship Id="rId210" Type="http://schemas.openxmlformats.org/officeDocument/2006/relationships/ctrlProp" Target="../ctrlProps/ctrlProp2112.xml"/><Relationship Id="rId215" Type="http://schemas.openxmlformats.org/officeDocument/2006/relationships/ctrlProp" Target="../ctrlProps/ctrlProp2117.xml"/><Relationship Id="rId236" Type="http://schemas.openxmlformats.org/officeDocument/2006/relationships/ctrlProp" Target="../ctrlProps/ctrlProp2138.xml"/><Relationship Id="rId26" Type="http://schemas.openxmlformats.org/officeDocument/2006/relationships/ctrlProp" Target="../ctrlProps/ctrlProp1928.xml"/><Relationship Id="rId231" Type="http://schemas.openxmlformats.org/officeDocument/2006/relationships/ctrlProp" Target="../ctrlProps/ctrlProp2133.xml"/><Relationship Id="rId47" Type="http://schemas.openxmlformats.org/officeDocument/2006/relationships/ctrlProp" Target="../ctrlProps/ctrlProp1949.xml"/><Relationship Id="rId68" Type="http://schemas.openxmlformats.org/officeDocument/2006/relationships/ctrlProp" Target="../ctrlProps/ctrlProp1970.xml"/><Relationship Id="rId89" Type="http://schemas.openxmlformats.org/officeDocument/2006/relationships/ctrlProp" Target="../ctrlProps/ctrlProp1991.xml"/><Relationship Id="rId112" Type="http://schemas.openxmlformats.org/officeDocument/2006/relationships/ctrlProp" Target="../ctrlProps/ctrlProp2014.xml"/><Relationship Id="rId133" Type="http://schemas.openxmlformats.org/officeDocument/2006/relationships/ctrlProp" Target="../ctrlProps/ctrlProp2035.xml"/><Relationship Id="rId154" Type="http://schemas.openxmlformats.org/officeDocument/2006/relationships/ctrlProp" Target="../ctrlProps/ctrlProp2056.xml"/><Relationship Id="rId175" Type="http://schemas.openxmlformats.org/officeDocument/2006/relationships/ctrlProp" Target="../ctrlProps/ctrlProp2077.xml"/><Relationship Id="rId196" Type="http://schemas.openxmlformats.org/officeDocument/2006/relationships/ctrlProp" Target="../ctrlProps/ctrlProp2098.xml"/><Relationship Id="rId200" Type="http://schemas.openxmlformats.org/officeDocument/2006/relationships/ctrlProp" Target="../ctrlProps/ctrlProp2102.xml"/><Relationship Id="rId16" Type="http://schemas.openxmlformats.org/officeDocument/2006/relationships/ctrlProp" Target="../ctrlProps/ctrlProp1918.xml"/><Relationship Id="rId221" Type="http://schemas.openxmlformats.org/officeDocument/2006/relationships/ctrlProp" Target="../ctrlProps/ctrlProp2123.xml"/><Relationship Id="rId242" Type="http://schemas.openxmlformats.org/officeDocument/2006/relationships/ctrlProp" Target="../ctrlProps/ctrlProp2144.xml"/><Relationship Id="rId37" Type="http://schemas.openxmlformats.org/officeDocument/2006/relationships/ctrlProp" Target="../ctrlProps/ctrlProp1939.xml"/><Relationship Id="rId58" Type="http://schemas.openxmlformats.org/officeDocument/2006/relationships/ctrlProp" Target="../ctrlProps/ctrlProp1960.xml"/><Relationship Id="rId79" Type="http://schemas.openxmlformats.org/officeDocument/2006/relationships/ctrlProp" Target="../ctrlProps/ctrlProp1981.xml"/><Relationship Id="rId102" Type="http://schemas.openxmlformats.org/officeDocument/2006/relationships/ctrlProp" Target="../ctrlProps/ctrlProp2004.xml"/><Relationship Id="rId123" Type="http://schemas.openxmlformats.org/officeDocument/2006/relationships/ctrlProp" Target="../ctrlProps/ctrlProp2025.xml"/><Relationship Id="rId144" Type="http://schemas.openxmlformats.org/officeDocument/2006/relationships/ctrlProp" Target="../ctrlProps/ctrlProp2046.xml"/><Relationship Id="rId90" Type="http://schemas.openxmlformats.org/officeDocument/2006/relationships/ctrlProp" Target="../ctrlProps/ctrlProp1992.xml"/><Relationship Id="rId165" Type="http://schemas.openxmlformats.org/officeDocument/2006/relationships/ctrlProp" Target="../ctrlProps/ctrlProp2067.xml"/><Relationship Id="rId186" Type="http://schemas.openxmlformats.org/officeDocument/2006/relationships/ctrlProp" Target="../ctrlProps/ctrlProp2088.xml"/><Relationship Id="rId211" Type="http://schemas.openxmlformats.org/officeDocument/2006/relationships/ctrlProp" Target="../ctrlProps/ctrlProp2113.xml"/><Relationship Id="rId232" Type="http://schemas.openxmlformats.org/officeDocument/2006/relationships/ctrlProp" Target="../ctrlProps/ctrlProp2134.xml"/><Relationship Id="rId27" Type="http://schemas.openxmlformats.org/officeDocument/2006/relationships/ctrlProp" Target="../ctrlProps/ctrlProp1929.xml"/><Relationship Id="rId48" Type="http://schemas.openxmlformats.org/officeDocument/2006/relationships/ctrlProp" Target="../ctrlProps/ctrlProp1950.xml"/><Relationship Id="rId69" Type="http://schemas.openxmlformats.org/officeDocument/2006/relationships/ctrlProp" Target="../ctrlProps/ctrlProp1971.xml"/><Relationship Id="rId113" Type="http://schemas.openxmlformats.org/officeDocument/2006/relationships/ctrlProp" Target="../ctrlProps/ctrlProp2015.xml"/><Relationship Id="rId134" Type="http://schemas.openxmlformats.org/officeDocument/2006/relationships/ctrlProp" Target="../ctrlProps/ctrlProp2036.xml"/><Relationship Id="rId80" Type="http://schemas.openxmlformats.org/officeDocument/2006/relationships/ctrlProp" Target="../ctrlProps/ctrlProp1982.xml"/><Relationship Id="rId155" Type="http://schemas.openxmlformats.org/officeDocument/2006/relationships/ctrlProp" Target="../ctrlProps/ctrlProp2057.xml"/><Relationship Id="rId176" Type="http://schemas.openxmlformats.org/officeDocument/2006/relationships/ctrlProp" Target="../ctrlProps/ctrlProp2078.xml"/><Relationship Id="rId197" Type="http://schemas.openxmlformats.org/officeDocument/2006/relationships/ctrlProp" Target="../ctrlProps/ctrlProp2099.xml"/><Relationship Id="rId201" Type="http://schemas.openxmlformats.org/officeDocument/2006/relationships/ctrlProp" Target="../ctrlProps/ctrlProp2103.xml"/><Relationship Id="rId222" Type="http://schemas.openxmlformats.org/officeDocument/2006/relationships/ctrlProp" Target="../ctrlProps/ctrlProp2124.xml"/><Relationship Id="rId243" Type="http://schemas.openxmlformats.org/officeDocument/2006/relationships/ctrlProp" Target="../ctrlProps/ctrlProp2145.xml"/><Relationship Id="rId17" Type="http://schemas.openxmlformats.org/officeDocument/2006/relationships/ctrlProp" Target="../ctrlProps/ctrlProp1919.xml"/><Relationship Id="rId38" Type="http://schemas.openxmlformats.org/officeDocument/2006/relationships/ctrlProp" Target="../ctrlProps/ctrlProp1940.xml"/><Relationship Id="rId59" Type="http://schemas.openxmlformats.org/officeDocument/2006/relationships/ctrlProp" Target="../ctrlProps/ctrlProp1961.xml"/><Relationship Id="rId103" Type="http://schemas.openxmlformats.org/officeDocument/2006/relationships/ctrlProp" Target="../ctrlProps/ctrlProp2005.xml"/><Relationship Id="rId124" Type="http://schemas.openxmlformats.org/officeDocument/2006/relationships/ctrlProp" Target="../ctrlProps/ctrlProp2026.xml"/><Relationship Id="rId70" Type="http://schemas.openxmlformats.org/officeDocument/2006/relationships/ctrlProp" Target="../ctrlProps/ctrlProp1972.xml"/><Relationship Id="rId91" Type="http://schemas.openxmlformats.org/officeDocument/2006/relationships/ctrlProp" Target="../ctrlProps/ctrlProp1993.xml"/><Relationship Id="rId145" Type="http://schemas.openxmlformats.org/officeDocument/2006/relationships/ctrlProp" Target="../ctrlProps/ctrlProp2047.xml"/><Relationship Id="rId166" Type="http://schemas.openxmlformats.org/officeDocument/2006/relationships/ctrlProp" Target="../ctrlProps/ctrlProp2068.xml"/><Relationship Id="rId187" Type="http://schemas.openxmlformats.org/officeDocument/2006/relationships/ctrlProp" Target="../ctrlProps/ctrlProp2089.xml"/><Relationship Id="rId1" Type="http://schemas.openxmlformats.org/officeDocument/2006/relationships/drawing" Target="../drawings/drawing30.xml"/><Relationship Id="rId212" Type="http://schemas.openxmlformats.org/officeDocument/2006/relationships/ctrlProp" Target="../ctrlProps/ctrlProp2114.xml"/><Relationship Id="rId233" Type="http://schemas.openxmlformats.org/officeDocument/2006/relationships/ctrlProp" Target="../ctrlProps/ctrlProp2135.xml"/><Relationship Id="rId28" Type="http://schemas.openxmlformats.org/officeDocument/2006/relationships/ctrlProp" Target="../ctrlProps/ctrlProp1930.xml"/><Relationship Id="rId49" Type="http://schemas.openxmlformats.org/officeDocument/2006/relationships/ctrlProp" Target="../ctrlProps/ctrlProp1951.xml"/><Relationship Id="rId114" Type="http://schemas.openxmlformats.org/officeDocument/2006/relationships/ctrlProp" Target="../ctrlProps/ctrlProp2016.xml"/><Relationship Id="rId60" Type="http://schemas.openxmlformats.org/officeDocument/2006/relationships/ctrlProp" Target="../ctrlProps/ctrlProp1962.xml"/><Relationship Id="rId81" Type="http://schemas.openxmlformats.org/officeDocument/2006/relationships/ctrlProp" Target="../ctrlProps/ctrlProp1983.xml"/><Relationship Id="rId135" Type="http://schemas.openxmlformats.org/officeDocument/2006/relationships/ctrlProp" Target="../ctrlProps/ctrlProp2037.xml"/><Relationship Id="rId156" Type="http://schemas.openxmlformats.org/officeDocument/2006/relationships/ctrlProp" Target="../ctrlProps/ctrlProp2058.xml"/><Relationship Id="rId177" Type="http://schemas.openxmlformats.org/officeDocument/2006/relationships/ctrlProp" Target="../ctrlProps/ctrlProp2079.xml"/><Relationship Id="rId198" Type="http://schemas.openxmlformats.org/officeDocument/2006/relationships/ctrlProp" Target="../ctrlProps/ctrlProp2100.xml"/><Relationship Id="rId202" Type="http://schemas.openxmlformats.org/officeDocument/2006/relationships/ctrlProp" Target="../ctrlProps/ctrlProp2104.xml"/><Relationship Id="rId223" Type="http://schemas.openxmlformats.org/officeDocument/2006/relationships/ctrlProp" Target="../ctrlProps/ctrlProp2125.xml"/><Relationship Id="rId244" Type="http://schemas.openxmlformats.org/officeDocument/2006/relationships/ctrlProp" Target="../ctrlProps/ctrlProp2146.xml"/><Relationship Id="rId18" Type="http://schemas.openxmlformats.org/officeDocument/2006/relationships/ctrlProp" Target="../ctrlProps/ctrlProp1920.xml"/><Relationship Id="rId39" Type="http://schemas.openxmlformats.org/officeDocument/2006/relationships/ctrlProp" Target="../ctrlProps/ctrlProp1941.xml"/><Relationship Id="rId50" Type="http://schemas.openxmlformats.org/officeDocument/2006/relationships/ctrlProp" Target="../ctrlProps/ctrlProp1952.xml"/><Relationship Id="rId104" Type="http://schemas.openxmlformats.org/officeDocument/2006/relationships/ctrlProp" Target="../ctrlProps/ctrlProp2006.xml"/><Relationship Id="rId125" Type="http://schemas.openxmlformats.org/officeDocument/2006/relationships/ctrlProp" Target="../ctrlProps/ctrlProp2027.xml"/><Relationship Id="rId146" Type="http://schemas.openxmlformats.org/officeDocument/2006/relationships/ctrlProp" Target="../ctrlProps/ctrlProp2048.xml"/><Relationship Id="rId167" Type="http://schemas.openxmlformats.org/officeDocument/2006/relationships/ctrlProp" Target="../ctrlProps/ctrlProp2069.xml"/><Relationship Id="rId188" Type="http://schemas.openxmlformats.org/officeDocument/2006/relationships/ctrlProp" Target="../ctrlProps/ctrlProp2090.xml"/><Relationship Id="rId71" Type="http://schemas.openxmlformats.org/officeDocument/2006/relationships/ctrlProp" Target="../ctrlProps/ctrlProp1973.xml"/><Relationship Id="rId92" Type="http://schemas.openxmlformats.org/officeDocument/2006/relationships/ctrlProp" Target="../ctrlProps/ctrlProp1994.xml"/><Relationship Id="rId213" Type="http://schemas.openxmlformats.org/officeDocument/2006/relationships/ctrlProp" Target="../ctrlProps/ctrlProp2115.xml"/><Relationship Id="rId234" Type="http://schemas.openxmlformats.org/officeDocument/2006/relationships/ctrlProp" Target="../ctrlProps/ctrlProp2136.xml"/><Relationship Id="rId2" Type="http://schemas.openxmlformats.org/officeDocument/2006/relationships/vmlDrawing" Target="../drawings/vmlDrawing15.vml"/><Relationship Id="rId29" Type="http://schemas.openxmlformats.org/officeDocument/2006/relationships/ctrlProp" Target="../ctrlProps/ctrlProp1931.xml"/><Relationship Id="rId40" Type="http://schemas.openxmlformats.org/officeDocument/2006/relationships/ctrlProp" Target="../ctrlProps/ctrlProp1942.xml"/><Relationship Id="rId115" Type="http://schemas.openxmlformats.org/officeDocument/2006/relationships/ctrlProp" Target="../ctrlProps/ctrlProp2017.xml"/><Relationship Id="rId136" Type="http://schemas.openxmlformats.org/officeDocument/2006/relationships/ctrlProp" Target="../ctrlProps/ctrlProp2038.xml"/><Relationship Id="rId157" Type="http://schemas.openxmlformats.org/officeDocument/2006/relationships/ctrlProp" Target="../ctrlProps/ctrlProp2059.xml"/><Relationship Id="rId178" Type="http://schemas.openxmlformats.org/officeDocument/2006/relationships/ctrlProp" Target="../ctrlProps/ctrlProp2080.xml"/><Relationship Id="rId61" Type="http://schemas.openxmlformats.org/officeDocument/2006/relationships/ctrlProp" Target="../ctrlProps/ctrlProp1963.xml"/><Relationship Id="rId82" Type="http://schemas.openxmlformats.org/officeDocument/2006/relationships/ctrlProp" Target="../ctrlProps/ctrlProp1984.xml"/><Relationship Id="rId199" Type="http://schemas.openxmlformats.org/officeDocument/2006/relationships/ctrlProp" Target="../ctrlProps/ctrlProp2101.xml"/><Relationship Id="rId203" Type="http://schemas.openxmlformats.org/officeDocument/2006/relationships/ctrlProp" Target="../ctrlProps/ctrlProp2105.xml"/><Relationship Id="rId19" Type="http://schemas.openxmlformats.org/officeDocument/2006/relationships/ctrlProp" Target="../ctrlProps/ctrlProp1921.xml"/><Relationship Id="rId224" Type="http://schemas.openxmlformats.org/officeDocument/2006/relationships/ctrlProp" Target="../ctrlProps/ctrlProp2126.xml"/><Relationship Id="rId245" Type="http://schemas.openxmlformats.org/officeDocument/2006/relationships/ctrlProp" Target="../ctrlProps/ctrlProp2147.xml"/><Relationship Id="rId30" Type="http://schemas.openxmlformats.org/officeDocument/2006/relationships/ctrlProp" Target="../ctrlProps/ctrlProp1932.xml"/><Relationship Id="rId105" Type="http://schemas.openxmlformats.org/officeDocument/2006/relationships/ctrlProp" Target="../ctrlProps/ctrlProp2007.xml"/><Relationship Id="rId126" Type="http://schemas.openxmlformats.org/officeDocument/2006/relationships/ctrlProp" Target="../ctrlProps/ctrlProp2028.xml"/><Relationship Id="rId147" Type="http://schemas.openxmlformats.org/officeDocument/2006/relationships/ctrlProp" Target="../ctrlProps/ctrlProp2049.xml"/><Relationship Id="rId168" Type="http://schemas.openxmlformats.org/officeDocument/2006/relationships/ctrlProp" Target="../ctrlProps/ctrlProp2070.xml"/><Relationship Id="rId51" Type="http://schemas.openxmlformats.org/officeDocument/2006/relationships/ctrlProp" Target="../ctrlProps/ctrlProp1953.xml"/><Relationship Id="rId72" Type="http://schemas.openxmlformats.org/officeDocument/2006/relationships/ctrlProp" Target="../ctrlProps/ctrlProp1974.xml"/><Relationship Id="rId93" Type="http://schemas.openxmlformats.org/officeDocument/2006/relationships/ctrlProp" Target="../ctrlProps/ctrlProp1995.xml"/><Relationship Id="rId189" Type="http://schemas.openxmlformats.org/officeDocument/2006/relationships/ctrlProp" Target="../ctrlProps/ctrlProp2091.xml"/><Relationship Id="rId3" Type="http://schemas.openxmlformats.org/officeDocument/2006/relationships/ctrlProp" Target="../ctrlProps/ctrlProp1905.xml"/><Relationship Id="rId214" Type="http://schemas.openxmlformats.org/officeDocument/2006/relationships/ctrlProp" Target="../ctrlProps/ctrlProp2116.xml"/><Relationship Id="rId235" Type="http://schemas.openxmlformats.org/officeDocument/2006/relationships/ctrlProp" Target="../ctrlProps/ctrlProp2137.xml"/><Relationship Id="rId116" Type="http://schemas.openxmlformats.org/officeDocument/2006/relationships/ctrlProp" Target="../ctrlProps/ctrlProp2018.xml"/><Relationship Id="rId137" Type="http://schemas.openxmlformats.org/officeDocument/2006/relationships/ctrlProp" Target="../ctrlProps/ctrlProp2039.xml"/><Relationship Id="rId158" Type="http://schemas.openxmlformats.org/officeDocument/2006/relationships/ctrlProp" Target="../ctrlProps/ctrlProp2060.xml"/><Relationship Id="rId20" Type="http://schemas.openxmlformats.org/officeDocument/2006/relationships/ctrlProp" Target="../ctrlProps/ctrlProp1922.xml"/><Relationship Id="rId41" Type="http://schemas.openxmlformats.org/officeDocument/2006/relationships/ctrlProp" Target="../ctrlProps/ctrlProp1943.xml"/><Relationship Id="rId62" Type="http://schemas.openxmlformats.org/officeDocument/2006/relationships/ctrlProp" Target="../ctrlProps/ctrlProp1964.xml"/><Relationship Id="rId83" Type="http://schemas.openxmlformats.org/officeDocument/2006/relationships/ctrlProp" Target="../ctrlProps/ctrlProp1985.xml"/><Relationship Id="rId179" Type="http://schemas.openxmlformats.org/officeDocument/2006/relationships/ctrlProp" Target="../ctrlProps/ctrlProp2081.xml"/><Relationship Id="rId190" Type="http://schemas.openxmlformats.org/officeDocument/2006/relationships/ctrlProp" Target="../ctrlProps/ctrlProp2092.xml"/><Relationship Id="rId204" Type="http://schemas.openxmlformats.org/officeDocument/2006/relationships/ctrlProp" Target="../ctrlProps/ctrlProp2106.xml"/><Relationship Id="rId225" Type="http://schemas.openxmlformats.org/officeDocument/2006/relationships/ctrlProp" Target="../ctrlProps/ctrlProp2127.xml"/><Relationship Id="rId246" Type="http://schemas.openxmlformats.org/officeDocument/2006/relationships/ctrlProp" Target="../ctrlProps/ctrlProp2148.xml"/><Relationship Id="rId106" Type="http://schemas.openxmlformats.org/officeDocument/2006/relationships/ctrlProp" Target="../ctrlProps/ctrlProp2008.xml"/><Relationship Id="rId127" Type="http://schemas.openxmlformats.org/officeDocument/2006/relationships/ctrlProp" Target="../ctrlProps/ctrlProp2029.xml"/><Relationship Id="rId10" Type="http://schemas.openxmlformats.org/officeDocument/2006/relationships/ctrlProp" Target="../ctrlProps/ctrlProp1912.xml"/><Relationship Id="rId31" Type="http://schemas.openxmlformats.org/officeDocument/2006/relationships/ctrlProp" Target="../ctrlProps/ctrlProp1933.xml"/><Relationship Id="rId52" Type="http://schemas.openxmlformats.org/officeDocument/2006/relationships/ctrlProp" Target="../ctrlProps/ctrlProp1954.xml"/><Relationship Id="rId73" Type="http://schemas.openxmlformats.org/officeDocument/2006/relationships/ctrlProp" Target="../ctrlProps/ctrlProp1975.xml"/><Relationship Id="rId94" Type="http://schemas.openxmlformats.org/officeDocument/2006/relationships/ctrlProp" Target="../ctrlProps/ctrlProp1996.xml"/><Relationship Id="rId148" Type="http://schemas.openxmlformats.org/officeDocument/2006/relationships/ctrlProp" Target="../ctrlProps/ctrlProp2050.xml"/><Relationship Id="rId169" Type="http://schemas.openxmlformats.org/officeDocument/2006/relationships/ctrlProp" Target="../ctrlProps/ctrlProp207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134" Type="http://schemas.openxmlformats.org/officeDocument/2006/relationships/ctrlProp" Target="../ctrlProps/ctrlProp132.xml"/><Relationship Id="rId139" Type="http://schemas.openxmlformats.org/officeDocument/2006/relationships/ctrlProp" Target="../ctrlProps/ctrlProp137.xml"/><Relationship Id="rId80" Type="http://schemas.openxmlformats.org/officeDocument/2006/relationships/ctrlProp" Target="../ctrlProps/ctrlProp78.xml"/><Relationship Id="rId85" Type="http://schemas.openxmlformats.org/officeDocument/2006/relationships/ctrlProp" Target="../ctrlProps/ctrlProp83.xml"/><Relationship Id="rId150" Type="http://schemas.openxmlformats.org/officeDocument/2006/relationships/ctrlProp" Target="../ctrlProps/ctrlProp148.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40" Type="http://schemas.openxmlformats.org/officeDocument/2006/relationships/ctrlProp" Target="../ctrlProps/ctrlProp138.xml"/><Relationship Id="rId145" Type="http://schemas.openxmlformats.org/officeDocument/2006/relationships/ctrlProp" Target="../ctrlProps/ctrlProp143.xml"/><Relationship Id="rId1" Type="http://schemas.openxmlformats.org/officeDocument/2006/relationships/drawing" Target="../drawings/drawing4.xml"/><Relationship Id="rId6" Type="http://schemas.openxmlformats.org/officeDocument/2006/relationships/ctrlProp" Target="../ctrlProps/ctrlProp4.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5" Type="http://schemas.openxmlformats.org/officeDocument/2006/relationships/ctrlProp" Target="../ctrlProps/ctrlProp133.xml"/><Relationship Id="rId151" Type="http://schemas.openxmlformats.org/officeDocument/2006/relationships/ctrlProp" Target="../ctrlProps/ctrlProp149.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141" Type="http://schemas.openxmlformats.org/officeDocument/2006/relationships/ctrlProp" Target="../ctrlProps/ctrlProp139.xml"/><Relationship Id="rId146" Type="http://schemas.openxmlformats.org/officeDocument/2006/relationships/ctrlProp" Target="../ctrlProps/ctrlProp144.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2" Type="http://schemas.openxmlformats.org/officeDocument/2006/relationships/vmlDrawing" Target="../drawings/vmlDrawing2.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3" Type="http://schemas.openxmlformats.org/officeDocument/2006/relationships/ctrlProp" Target="../ctrlProps/ctrlProp1.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4" Type="http://schemas.openxmlformats.org/officeDocument/2006/relationships/ctrlProp" Target="../ctrlProps/ctrlProp2.xml"/><Relationship Id="rId9" Type="http://schemas.openxmlformats.org/officeDocument/2006/relationships/ctrlProp" Target="../ctrlProps/ctrlProp7.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C333-0121-47F1-8677-B576FEB84369}">
  <sheetPr codeName="Feuil4">
    <tabColor theme="0"/>
  </sheetPr>
  <dimension ref="B2:J76"/>
  <sheetViews>
    <sheetView showGridLines="0" showRowColHeaders="0" tabSelected="1" zoomScale="82" zoomScaleNormal="80" workbookViewId="0">
      <selection activeCell="AM2" sqref="AM2"/>
    </sheetView>
  </sheetViews>
  <sheetFormatPr baseColWidth="10" defaultRowHeight="14.4" x14ac:dyDescent="0.3"/>
  <cols>
    <col min="1" max="16384" width="11.5546875" style="396"/>
  </cols>
  <sheetData>
    <row r="2" spans="6:10" ht="48.6" customHeight="1" x14ac:dyDescent="1">
      <c r="F2" s="397"/>
      <c r="J2" s="399" t="s">
        <v>1024</v>
      </c>
    </row>
    <row r="3" spans="6:10" ht="55.2" customHeight="1" x14ac:dyDescent="0.3">
      <c r="G3" s="398" t="s">
        <v>1023</v>
      </c>
    </row>
    <row r="76" spans="2:2" ht="22.2" x14ac:dyDescent="0.55000000000000004">
      <c r="B76" s="574" t="s">
        <v>1126</v>
      </c>
    </row>
  </sheetData>
  <sheetProtection algorithmName="SHA-512" hashValue="UZvb2nf+Q+E4GP8mSDU4QSnq2CXtPOAfaavNzMJsFH1N+QzmXK2yaKTdaf2rt0ZYqWeQMDdo6p4b1ijPwBHXYQ==" saltValue="CGZZ+y5EqglzaHWToCAB4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CCE0-E9A8-409F-A8B8-5454A6EA070F}">
  <sheetPr codeName="Feuil47">
    <tabColor rgb="FF0079A4"/>
  </sheetPr>
  <dimension ref="A1:P118"/>
  <sheetViews>
    <sheetView showGridLines="0" showRowColHeaders="0" zoomScale="66" zoomScaleNormal="111" workbookViewId="0">
      <selection activeCell="J3" sqref="J3"/>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68"/>
      <c r="B1" s="261" t="s">
        <v>558</v>
      </c>
      <c r="C1" s="262"/>
      <c r="D1" s="262"/>
      <c r="E1" s="262"/>
      <c r="F1" s="262"/>
      <c r="G1" s="268"/>
      <c r="H1" s="266"/>
      <c r="I1" s="266"/>
      <c r="J1" s="295" t="str">
        <f>VLOOKUP($E$12,BDD!$A$2:$N$567,3,FALSE)</f>
        <v>Innovation</v>
      </c>
      <c r="K1" s="266"/>
      <c r="L1" s="268"/>
      <c r="M1" s="268"/>
      <c r="N1" s="268"/>
      <c r="O1" s="268"/>
      <c r="P1" s="268"/>
    </row>
    <row r="2" spans="1:16" ht="45" customHeight="1" x14ac:dyDescent="0.3">
      <c r="A2" s="268"/>
      <c r="B2" s="268"/>
      <c r="C2" s="268"/>
      <c r="D2" s="268"/>
      <c r="E2" s="268"/>
      <c r="F2" s="268"/>
      <c r="G2" s="268"/>
      <c r="H2" s="268"/>
      <c r="I2" s="268"/>
      <c r="J2" s="270" t="str">
        <f>VLOOKUP($E$12,BDD!$A$2:$N$567,4,FALSE)</f>
        <v>Explorer et promouvoir les nouvelles technologies et usages numériques</v>
      </c>
      <c r="K2" s="268"/>
      <c r="L2" s="268"/>
      <c r="M2" s="268"/>
      <c r="N2" s="268"/>
      <c r="O2" s="268"/>
      <c r="P2" s="268"/>
    </row>
    <row r="3" spans="1:16" ht="18" x14ac:dyDescent="0.35">
      <c r="A3" s="268"/>
      <c r="B3" s="68"/>
      <c r="C3" s="68"/>
      <c r="D3" s="68"/>
      <c r="E3" s="68"/>
      <c r="F3" s="68"/>
      <c r="G3" s="69" t="str">
        <f>IF(Suppl!B64=2,"Le vecteur n'est pas utilisé","")</f>
        <v/>
      </c>
      <c r="H3" s="69"/>
      <c r="I3" s="69"/>
      <c r="J3" s="69"/>
      <c r="K3" s="69"/>
      <c r="L3" s="70"/>
      <c r="M3" s="68"/>
      <c r="N3" s="68"/>
      <c r="O3" s="68"/>
      <c r="P3" s="268"/>
    </row>
    <row r="4" spans="1:16" x14ac:dyDescent="0.3">
      <c r="A4" s="268"/>
      <c r="B4" s="68"/>
      <c r="C4" s="68"/>
      <c r="D4" s="68"/>
      <c r="E4" s="68"/>
      <c r="F4" s="68"/>
      <c r="G4" s="68"/>
      <c r="H4" s="68"/>
      <c r="I4" s="68"/>
      <c r="J4" s="68"/>
      <c r="K4" s="68"/>
      <c r="L4" s="68"/>
      <c r="M4" s="68"/>
      <c r="N4" s="68"/>
      <c r="O4" s="68"/>
      <c r="P4" s="268"/>
    </row>
    <row r="5" spans="1:16" ht="25.8" x14ac:dyDescent="0.5">
      <c r="A5" s="296"/>
      <c r="B5" s="74"/>
      <c r="C5" s="68" t="str">
        <f>IF(LEFT(RIGHT($B$1,2),1)=" ",RIGHT($B$1,1),RIGHT($B$1,2))</f>
        <v>2</v>
      </c>
      <c r="D5" s="68">
        <f>IF(LEFT(F5,14)="Bonne pratique",D4+1,D4)</f>
        <v>1</v>
      </c>
      <c r="E5" s="71"/>
      <c r="F5" s="208" t="s">
        <v>499</v>
      </c>
      <c r="G5" s="75"/>
      <c r="H5" s="205"/>
      <c r="I5" s="73"/>
      <c r="J5" s="73" t="str">
        <f>VLOOKUP(E12,BDD!$A$2:$N$567,6,FALSE)</f>
        <v>Vision Globale</v>
      </c>
      <c r="K5" s="72"/>
      <c r="L5" s="75"/>
      <c r="M5" s="75"/>
      <c r="N5" s="75"/>
      <c r="O5" s="74"/>
      <c r="P5" s="296"/>
    </row>
    <row r="6" spans="1:16" x14ac:dyDescent="0.3">
      <c r="A6" s="268"/>
      <c r="B6" s="68"/>
      <c r="C6" s="68" t="str">
        <f t="shared" ref="C6:C69" si="0">IF(LEFT(RIGHT($B$1,2),1)=" ",RIGHT($B$1,1),RIGHT($B$1,2))</f>
        <v>2</v>
      </c>
      <c r="D6" s="68">
        <f>IF(LEFT(F6,14)="Bonne pratique",D5+1,D5)</f>
        <v>1</v>
      </c>
      <c r="E6" s="68"/>
      <c r="F6" s="68"/>
      <c r="G6" s="68"/>
      <c r="H6" s="68"/>
      <c r="I6" s="68"/>
      <c r="J6" s="68"/>
      <c r="K6" s="68"/>
      <c r="L6" s="68"/>
      <c r="M6" s="68"/>
      <c r="N6" s="68"/>
      <c r="O6" s="68"/>
      <c r="P6" s="268"/>
    </row>
    <row r="7" spans="1:16" ht="23.4" customHeight="1" x14ac:dyDescent="0.35">
      <c r="A7" s="297"/>
      <c r="B7" s="76"/>
      <c r="C7" s="68" t="str">
        <f t="shared" si="0"/>
        <v>2</v>
      </c>
      <c r="D7" s="68">
        <f t="shared" ref="D7:D67" si="1">IF(LEFT(F7,14)="Bonne pratique",D6+1,D6)</f>
        <v>1</v>
      </c>
      <c r="E7" s="76"/>
      <c r="F7" s="76"/>
      <c r="G7" s="76"/>
      <c r="H7" s="76"/>
      <c r="I7" s="77"/>
      <c r="J7" s="207" t="str">
        <f>IFERROR(_xlfn.TEXTBEFORE(VLOOKUP(E12,BDD!$A$2:$N$567,7,FALSE)," ",26),VLOOKUP(E12,BDD!$A$2:$N$567,7,FALSE))</f>
        <v>Une vision globale de l’innovation portée par la direction générale est diffusée au sein de l’organisation.</v>
      </c>
      <c r="K7" s="77"/>
      <c r="L7" s="76"/>
      <c r="M7" s="76"/>
      <c r="N7" s="76"/>
      <c r="O7" s="76"/>
      <c r="P7" s="297"/>
    </row>
    <row r="8" spans="1:16" ht="18" x14ac:dyDescent="0.35">
      <c r="A8" s="268"/>
      <c r="B8" s="68"/>
      <c r="C8" s="68" t="str">
        <f t="shared" si="0"/>
        <v>2</v>
      </c>
      <c r="D8" s="68">
        <f t="shared" si="1"/>
        <v>1</v>
      </c>
      <c r="E8" s="68"/>
      <c r="F8" s="68"/>
      <c r="G8" s="68"/>
      <c r="H8" s="68"/>
      <c r="I8" s="68"/>
      <c r="J8" s="207" t="str">
        <f>IFERROR(_xlfn.TEXTAFTER(VLOOKUP(E12,BDD!$A$2:$N$567,7,FALSE)," ",26),"")</f>
        <v/>
      </c>
      <c r="K8" s="68"/>
      <c r="L8" s="68"/>
      <c r="M8" s="68"/>
      <c r="N8" s="68"/>
      <c r="O8" s="68"/>
      <c r="P8" s="268"/>
    </row>
    <row r="9" spans="1:16" x14ac:dyDescent="0.3">
      <c r="A9" s="268"/>
      <c r="B9" s="68"/>
      <c r="C9" s="68" t="str">
        <f t="shared" si="0"/>
        <v>2</v>
      </c>
      <c r="D9" s="68">
        <f t="shared" si="1"/>
        <v>1</v>
      </c>
      <c r="E9" s="68"/>
      <c r="F9" s="68"/>
      <c r="G9" s="78"/>
      <c r="H9" s="78"/>
      <c r="I9" s="78"/>
      <c r="J9" s="78"/>
      <c r="K9" s="78"/>
      <c r="L9" s="78"/>
      <c r="M9" s="618" t="s">
        <v>92</v>
      </c>
      <c r="N9" s="618"/>
      <c r="O9" s="68"/>
      <c r="P9" s="268"/>
    </row>
    <row r="10" spans="1:16" ht="33" x14ac:dyDescent="0.3">
      <c r="A10" s="268"/>
      <c r="B10" s="68"/>
      <c r="C10" s="68" t="str">
        <f t="shared" si="0"/>
        <v>2</v>
      </c>
      <c r="D10" s="68">
        <f t="shared" si="1"/>
        <v>1</v>
      </c>
      <c r="E10" s="68"/>
      <c r="F10" s="79"/>
      <c r="G10" s="80" t="s">
        <v>561</v>
      </c>
      <c r="H10" s="80" t="s">
        <v>82</v>
      </c>
      <c r="I10" s="126" t="s">
        <v>21</v>
      </c>
      <c r="J10" s="80" t="s">
        <v>84</v>
      </c>
      <c r="K10" s="80" t="s">
        <v>549</v>
      </c>
      <c r="L10" s="78"/>
      <c r="M10" s="81" t="s">
        <v>86</v>
      </c>
      <c r="N10" s="82" t="s">
        <v>87</v>
      </c>
      <c r="O10" s="68"/>
      <c r="P10" s="268"/>
    </row>
    <row r="11" spans="1:16" x14ac:dyDescent="0.3">
      <c r="A11" s="268"/>
      <c r="B11" s="68"/>
      <c r="C11" s="68" t="str">
        <f t="shared" si="0"/>
        <v>2</v>
      </c>
      <c r="D11" s="68">
        <f t="shared" si="1"/>
        <v>1</v>
      </c>
      <c r="E11" s="68"/>
      <c r="F11" s="68"/>
      <c r="G11" s="83"/>
      <c r="H11" s="83"/>
      <c r="I11" s="83"/>
      <c r="J11" s="68"/>
      <c r="K11" s="83"/>
      <c r="L11" s="68"/>
      <c r="M11" s="68"/>
      <c r="N11" s="68"/>
      <c r="O11" s="68"/>
      <c r="P11" s="268"/>
    </row>
    <row r="12" spans="1:16" ht="130.05000000000001" customHeight="1" x14ac:dyDescent="0.3">
      <c r="A12" s="268"/>
      <c r="B12" s="68"/>
      <c r="C12" s="68" t="str">
        <f t="shared" si="0"/>
        <v>2</v>
      </c>
      <c r="D12" s="68">
        <f t="shared" si="1"/>
        <v>1</v>
      </c>
      <c r="E12" s="84" t="str">
        <f>C12&amp;D12&amp;RIGHT(F12,1)</f>
        <v>211</v>
      </c>
      <c r="F12" s="66" t="s">
        <v>27</v>
      </c>
      <c r="G12" s="67" t="str">
        <f>IFERROR(IF(VLOOKUP($E12,BDD!$A$1:$S$567,MATCH(G$10,BDD!$A$1:$P$1,0),FALSE)=0,"",VLOOKUP($E12,BDD!$A$1:$S$567,MATCH(G$10,BDD!$A$1:$P$1,0),FALSE)),"")</f>
        <v>La direction générale définit et communique sa vision de l’innovation, incluant son appétence face aux risques induits, au sein de l’organisation (y compris si nécessaire auprès des instances de gouvernance).</v>
      </c>
      <c r="H12" s="85" t="str">
        <f>IF(VLOOKUP(E12,BDD!$A$1:$S$567,15,FALSE)=0,"Critère non évalué","")</f>
        <v>Critère non évalué</v>
      </c>
      <c r="I12" s="66" t="str">
        <f>IFERROR(IF(VLOOKUP($E12,BDD!$A$1:$S$567,MATCH(I$10,BDD!$A$1:$P$1,0),FALSE)=0,"",VLOOKUP($E12,BDD!$A$1:$S$567,MATCH(I$10,BDD!$A$1:$P$1,0),FALSE)),"")</f>
        <v>N2</v>
      </c>
      <c r="J12" s="86"/>
      <c r="K12" s="67" t="str">
        <f>IFERROR(IF(VLOOKUP($E12,BDD!$A$1:$S$567,MATCH(K$10,BDD!$A$1:$P$1,0),FALSE)=0,"",VLOOKUP($E12,BDD!$A$1:$S$567,MATCH(K$10,BDD!$A$1:$P$1,0),FALSE)),"")</f>
        <v>• La direction générale encourage les employés à participer au processus d'innovation.
• Elle promeut une démarche entrepreneuriale et intrapreneuriale de type essai-erreur.
• Elle communique également régulièrement sur l’importance de l’innovation pour le succès à long terme de l’organisation.
• La direction générale établit l’appétence aux risques dans le cadre de l’innovation.</v>
      </c>
      <c r="L12" s="68"/>
      <c r="M12" s="87"/>
      <c r="N12" s="87"/>
      <c r="O12" s="68"/>
      <c r="P12" s="268"/>
    </row>
    <row r="13" spans="1:16" ht="130.05000000000001" customHeight="1" x14ac:dyDescent="0.3">
      <c r="A13" s="268"/>
      <c r="B13" s="68"/>
      <c r="C13" s="68" t="str">
        <f t="shared" si="0"/>
        <v>2</v>
      </c>
      <c r="D13" s="68">
        <f t="shared" si="1"/>
        <v>1</v>
      </c>
      <c r="E13" s="84" t="str">
        <f t="shared" ref="E13:E82" si="2">C13&amp;D13&amp;RIGHT(F13,1)</f>
        <v>212</v>
      </c>
      <c r="F13" s="249" t="s">
        <v>28</v>
      </c>
      <c r="G13" s="96" t="str">
        <f>IFERROR(IF(VLOOKUP($E13,BDD!$A$1:$S$567,MATCH(G$10,BDD!$A$1:$P$1,0),FALSE)=0,"",VLOOKUP($E13,BDD!$A$1:$S$567,MATCH(G$10,BDD!$A$1:$P$1,0),FALSE)),"")</f>
        <v>La direction générale s’inscrit comme sponsor et garant de la culture d’innovation.</v>
      </c>
      <c r="H13" s="210" t="str">
        <f>IF(VLOOKUP(E13,BDD!$A$1:$S$567,15,FALSE)=0,"Critère non évalué","")</f>
        <v>Critère non évalué</v>
      </c>
      <c r="I13" s="64" t="str">
        <f>IFERROR(IF(VLOOKUP($E13,BDD!$A$1:$S$567,MATCH(I$10,BDD!$A$1:$P$1,0),FALSE)=0,"",VLOOKUP($E13,BDD!$A$1:$S$567,MATCH(I$10,BDD!$A$1:$P$1,0),FALSE)),"")</f>
        <v>N2</v>
      </c>
      <c r="J13" s="206"/>
      <c r="K13" s="96" t="str">
        <f>IFERROR(IF(VLOOKUP($E13,BDD!$A$1:$S$567,MATCH(K$10,BDD!$A$1:$P$1,0),FALSE)=0,"",VLOOKUP($E13,BDD!$A$1:$S$567,MATCH(K$10,BDD!$A$1:$P$1,0),FALSE)),"")</f>
        <v>• L’organisation met en œuvre des techniques et dispositifs de gestion destinés à créer les conditions les plus favorables au développement d'innovations concrètes : veille technologique, benchmark, lab, open innovation, écosystème de startups.
• L’innovation s’inscrit comme le fruit d’un travail effectué de manière transversale : divers départements et équipes y sont impliqués et la DSI est consultée, en tant qu’expert et contributeur, sur les sujets liés à l’innovation.</v>
      </c>
      <c r="L13" s="68"/>
      <c r="M13" s="90"/>
      <c r="N13" s="90"/>
      <c r="O13" s="68"/>
      <c r="P13" s="268"/>
    </row>
    <row r="14" spans="1:16" ht="130.05000000000001" hidden="1" customHeight="1" x14ac:dyDescent="0.3">
      <c r="A14" s="268"/>
      <c r="B14" s="68"/>
      <c r="C14" s="68" t="str">
        <f t="shared" si="0"/>
        <v>2</v>
      </c>
      <c r="D14" s="68">
        <f t="shared" si="1"/>
        <v>1</v>
      </c>
      <c r="E14" s="84" t="str">
        <f t="shared" si="2"/>
        <v>213</v>
      </c>
      <c r="F14" s="66" t="s">
        <v>30</v>
      </c>
      <c r="G14" s="67" t="str">
        <f>IFERROR(IF(VLOOKUP($E14,BDD!$A$1:$S$567,MATCH(G$10,BDD!$A$1:$P$1,0),FALSE)=0,"",VLOOKUP($E14,BDD!$A$1:$S$567,MATCH(G$10,BDD!$A$1:$P$1,0),FALSE)),"")</f>
        <v/>
      </c>
      <c r="H14" s="85" t="str">
        <f>IF(VLOOKUP(E14,BDD!$A$1:$S$567,15,FALSE)=0,"Critère non évalué","")</f>
        <v>Critère non évalué</v>
      </c>
      <c r="I14" s="66" t="str">
        <f>IFERROR(IF(VLOOKUP($E14,BDD!$A$1:$S$567,MATCH(I$10,BDD!$A$1:$P$1,0),FALSE)=0,"",VLOOKUP($E14,BDD!$A$1:$S$567,MATCH(I$10,BDD!$A$1:$P$1,0),FALSE)),"")</f>
        <v xml:space="preserve"> </v>
      </c>
      <c r="J14" s="86"/>
      <c r="K14" s="67" t="str">
        <f>IFERROR(IF(VLOOKUP($E14,BDD!$A$1:$S$567,MATCH(K$10,BDD!$A$1:$P$1,0),FALSE)=0,"",VLOOKUP($E14,BDD!$A$1:$S$567,MATCH(K$10,BDD!$A$1:$P$1,0),FALSE)),"")</f>
        <v/>
      </c>
      <c r="L14" s="68"/>
      <c r="M14" s="87"/>
      <c r="N14" s="87"/>
      <c r="O14" s="68"/>
      <c r="P14" s="268"/>
    </row>
    <row r="15" spans="1:16" ht="130.05000000000001" hidden="1" customHeight="1" x14ac:dyDescent="0.3">
      <c r="A15" s="268"/>
      <c r="B15" s="68"/>
      <c r="C15" s="68" t="str">
        <f t="shared" si="0"/>
        <v>2</v>
      </c>
      <c r="D15" s="68">
        <f t="shared" si="1"/>
        <v>1</v>
      </c>
      <c r="E15" s="84" t="str">
        <f t="shared" si="2"/>
        <v>214</v>
      </c>
      <c r="F15" s="64" t="s">
        <v>32</v>
      </c>
      <c r="G15" s="65" t="str">
        <f>IFERROR(IF(VLOOKUP($E15,BDD!$A$1:$S$567,MATCH(G$10,BDD!$A$1:$P$1,0),FALSE)=0,"",VLOOKUP($E15,BDD!$A$1:$S$567,MATCH(G$10,BDD!$A$1:$P$1,0),FALSE)),"")</f>
        <v/>
      </c>
      <c r="H15" s="88" t="str">
        <f>IF(VLOOKUP(E15,BDD!$A$1:$S$567,15,FALSE)=0,"Critère non évalué","")</f>
        <v>Critère non évalué</v>
      </c>
      <c r="I15" s="64" t="str">
        <f>IFERROR(IF(VLOOKUP($E15,BDD!$A$1:$S$567,MATCH(I$10,BDD!$A$1:$P$1,0),FALSE)=0,"",VLOOKUP($E15,BDD!$A$1:$S$567,MATCH(I$10,BDD!$A$1:$P$1,0),FALSE)),"")</f>
        <v xml:space="preserve"> </v>
      </c>
      <c r="J15" s="91"/>
      <c r="K15" s="65" t="str">
        <f>IFERROR(IF(VLOOKUP($E15,BDD!$A$1:$S$567,MATCH(K$10,BDD!$A$1:$P$1,0),FALSE)=0,"",VLOOKUP($E15,BDD!$A$1:$S$567,MATCH(K$10,BDD!$A$1:$P$1,0),FALSE)),"")</f>
        <v/>
      </c>
      <c r="L15" s="68"/>
      <c r="M15" s="90"/>
      <c r="N15" s="90"/>
      <c r="O15" s="68"/>
      <c r="P15" s="268"/>
    </row>
    <row r="16" spans="1:16" ht="130.05000000000001" hidden="1" customHeight="1" x14ac:dyDescent="0.3">
      <c r="A16" s="268"/>
      <c r="B16" s="68"/>
      <c r="C16" s="68" t="str">
        <f t="shared" si="0"/>
        <v>2</v>
      </c>
      <c r="D16" s="68">
        <f t="shared" si="1"/>
        <v>1</v>
      </c>
      <c r="E16" s="84" t="str">
        <f t="shared" si="2"/>
        <v>215</v>
      </c>
      <c r="F16" s="66" t="s">
        <v>33</v>
      </c>
      <c r="G16" s="67" t="str">
        <f>IFERROR(IF(VLOOKUP($E16,BDD!$A$1:$S$567,MATCH(G$10,BDD!$A$1:$P$1,0),FALSE)=0,"",VLOOKUP($E16,BDD!$A$1:$S$567,MATCH(G$10,BDD!$A$1:$P$1,0),FALSE)),"")</f>
        <v/>
      </c>
      <c r="H16" s="85" t="str">
        <f>IF(VLOOKUP(E16,BDD!$A$1:$S$567,15,FALSE)=0,"Critère non évalué","")</f>
        <v>Critère non évalué</v>
      </c>
      <c r="I16" s="66" t="str">
        <f>IFERROR(IF(VLOOKUP($E16,BDD!$A$1:$S$567,MATCH(I$10,BDD!$A$1:$P$1,0),FALSE)=0,"",VLOOKUP($E16,BDD!$A$1:$S$567,MATCH(I$10,BDD!$A$1:$P$1,0),FALSE)),"")</f>
        <v xml:space="preserve"> </v>
      </c>
      <c r="J16" s="86"/>
      <c r="K16" s="67" t="str">
        <f>IFERROR(IF(VLOOKUP($E16,BDD!$A$1:$S$567,MATCH(K$10,BDD!$A$1:$P$1,0),FALSE)=0,"",VLOOKUP($E16,BDD!$A$1:$S$567,MATCH(K$10,BDD!$A$1:$P$1,0),FALSE)),"")</f>
        <v/>
      </c>
      <c r="L16" s="68"/>
      <c r="M16" s="82"/>
      <c r="N16" s="82"/>
      <c r="O16" s="68"/>
      <c r="P16" s="268"/>
    </row>
    <row r="17" spans="1:16" ht="130.05000000000001" hidden="1" customHeight="1" x14ac:dyDescent="0.3">
      <c r="A17" s="268"/>
      <c r="B17" s="68"/>
      <c r="C17" s="68" t="str">
        <f t="shared" si="0"/>
        <v>2</v>
      </c>
      <c r="D17" s="68">
        <f t="shared" si="1"/>
        <v>1</v>
      </c>
      <c r="E17" s="84" t="str">
        <f t="shared" si="2"/>
        <v>216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xml:space="preserve"> </v>
      </c>
      <c r="J17" s="89"/>
      <c r="K17" s="65" t="str">
        <f>IFERROR(IF(VLOOKUP($E17,BDD!$A$1:$S$567,MATCH(K$10,BDD!$A$1:$P$1,0),FALSE)=0,"",VLOOKUP($E17,BDD!$A$1:$S$567,MATCH(K$10,BDD!$A$1:$P$1,0),FALSE)),"")</f>
        <v/>
      </c>
      <c r="L17" s="68"/>
      <c r="M17" s="90"/>
      <c r="N17" s="90"/>
      <c r="O17" s="68"/>
      <c r="P17" s="268"/>
    </row>
    <row r="18" spans="1:16" ht="130.05000000000001" hidden="1" customHeight="1" x14ac:dyDescent="0.3">
      <c r="A18" s="268"/>
      <c r="B18" s="68"/>
      <c r="C18" s="68" t="str">
        <f t="shared" si="0"/>
        <v>2</v>
      </c>
      <c r="D18" s="68">
        <f t="shared" si="1"/>
        <v>1</v>
      </c>
      <c r="E18" s="84" t="str">
        <f t="shared" si="2"/>
        <v>217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268"/>
    </row>
    <row r="19" spans="1:16" ht="18" x14ac:dyDescent="0.35">
      <c r="A19" s="268"/>
      <c r="B19" s="68"/>
      <c r="C19" s="68" t="str">
        <f t="shared" si="0"/>
        <v>2</v>
      </c>
      <c r="D19" s="68">
        <f t="shared" si="1"/>
        <v>1</v>
      </c>
      <c r="E19" s="84" t="str">
        <f t="shared" si="2"/>
        <v>21</v>
      </c>
      <c r="F19" s="68"/>
      <c r="G19" s="69" t="str">
        <f>IF(Suppl!B80=2,"Le vecteur n'est pas utilisé","")</f>
        <v/>
      </c>
      <c r="H19" s="69"/>
      <c r="I19" s="69"/>
      <c r="J19" s="69"/>
      <c r="K19" s="69"/>
      <c r="L19" s="70"/>
      <c r="M19" s="68"/>
      <c r="N19" s="68"/>
      <c r="O19" s="68"/>
      <c r="P19" s="268"/>
    </row>
    <row r="20" spans="1:16" x14ac:dyDescent="0.3">
      <c r="A20" s="268"/>
      <c r="B20" s="68"/>
      <c r="C20" s="68" t="str">
        <f t="shared" si="0"/>
        <v>2</v>
      </c>
      <c r="D20" s="68">
        <f>IF(LEFT(F20,14)="Bonne pratique",D19+1,D19)</f>
        <v>1</v>
      </c>
      <c r="E20" s="84" t="str">
        <f t="shared" si="2"/>
        <v>21</v>
      </c>
      <c r="F20" s="68"/>
      <c r="G20" s="68"/>
      <c r="H20" s="68"/>
      <c r="I20" s="68"/>
      <c r="J20" s="68"/>
      <c r="K20" s="68"/>
      <c r="L20" s="68"/>
      <c r="M20" s="68"/>
      <c r="N20" s="68"/>
      <c r="O20" s="68"/>
      <c r="P20" s="268"/>
    </row>
    <row r="21" spans="1:16" ht="25.8" x14ac:dyDescent="0.5">
      <c r="A21" s="296"/>
      <c r="B21" s="74"/>
      <c r="C21" s="68" t="str">
        <f t="shared" si="0"/>
        <v>2</v>
      </c>
      <c r="D21" s="68">
        <f t="shared" si="1"/>
        <v>2</v>
      </c>
      <c r="E21" s="84" t="str">
        <f t="shared" si="2"/>
        <v>222</v>
      </c>
      <c r="F21" s="208" t="s">
        <v>500</v>
      </c>
      <c r="G21" s="75"/>
      <c r="H21" s="205"/>
      <c r="I21" s="73"/>
      <c r="J21" s="73" t="str">
        <f>VLOOKUP(E28,BDD!$A$2:$N$567,6,FALSE)</f>
        <v xml:space="preserve">Gouvernance et cadre de référence </v>
      </c>
      <c r="K21" s="72"/>
      <c r="L21" s="75"/>
      <c r="M21" s="75"/>
      <c r="N21" s="75"/>
      <c r="O21" s="74"/>
      <c r="P21" s="296"/>
    </row>
    <row r="22" spans="1:16" x14ac:dyDescent="0.3">
      <c r="A22" s="268"/>
      <c r="B22" s="68"/>
      <c r="C22" s="68" t="str">
        <f t="shared" si="0"/>
        <v>2</v>
      </c>
      <c r="D22" s="68">
        <f t="shared" si="1"/>
        <v>2</v>
      </c>
      <c r="E22" s="84" t="str">
        <f t="shared" si="2"/>
        <v>22</v>
      </c>
      <c r="F22" s="68"/>
      <c r="G22" s="68"/>
      <c r="H22" s="68"/>
      <c r="I22" s="68"/>
      <c r="J22" s="68"/>
      <c r="K22" s="68"/>
      <c r="L22" s="68"/>
      <c r="M22" s="68"/>
      <c r="N22" s="68"/>
      <c r="O22" s="68"/>
      <c r="P22" s="268"/>
    </row>
    <row r="23" spans="1:16" ht="18" x14ac:dyDescent="0.35">
      <c r="A23" s="297"/>
      <c r="B23" s="76"/>
      <c r="C23" s="68" t="str">
        <f t="shared" si="0"/>
        <v>2</v>
      </c>
      <c r="D23" s="68">
        <f t="shared" si="1"/>
        <v>2</v>
      </c>
      <c r="E23" s="84" t="str">
        <f t="shared" si="2"/>
        <v>22</v>
      </c>
      <c r="F23" s="76"/>
      <c r="G23" s="76"/>
      <c r="H23" s="76"/>
      <c r="I23" s="77"/>
      <c r="J23" s="207" t="str">
        <f>IFERROR(_xlfn.TEXTBEFORE(VLOOKUP(E28,BDD!$A$2:$N$567,7,FALSE)," ",30),VLOOKUP(E28,BDD!$A$2:$N$567,7,FALSE))</f>
        <v>Les efforts d'innovation sont encadrés par une politique d'innovation et une gouvernance adaptées.</v>
      </c>
      <c r="K23" s="77"/>
      <c r="L23" s="76"/>
      <c r="M23" s="76"/>
      <c r="N23" s="76"/>
      <c r="O23" s="76"/>
      <c r="P23" s="297"/>
    </row>
    <row r="24" spans="1:16" ht="18" x14ac:dyDescent="0.35">
      <c r="A24" s="268"/>
      <c r="B24" s="68"/>
      <c r="C24" s="68" t="str">
        <f t="shared" si="0"/>
        <v>2</v>
      </c>
      <c r="D24" s="68">
        <f t="shared" si="1"/>
        <v>2</v>
      </c>
      <c r="E24" s="84" t="str">
        <f t="shared" si="2"/>
        <v>22</v>
      </c>
      <c r="F24" s="68"/>
      <c r="G24" s="68"/>
      <c r="H24" s="68"/>
      <c r="I24" s="68"/>
      <c r="J24" s="207" t="str">
        <f>IFERROR(_xlfn.TEXTAFTER(VLOOKUP(E28,BDD!$A$2:$N$567,7,FALSE)," ",30),"")</f>
        <v/>
      </c>
      <c r="K24" s="68"/>
      <c r="L24" s="68"/>
      <c r="M24" s="68"/>
      <c r="N24" s="68"/>
      <c r="O24" s="68"/>
      <c r="P24" s="268"/>
    </row>
    <row r="25" spans="1:16" x14ac:dyDescent="0.3">
      <c r="A25" s="268"/>
      <c r="B25" s="68"/>
      <c r="C25" s="68" t="str">
        <f t="shared" si="0"/>
        <v>2</v>
      </c>
      <c r="D25" s="68">
        <f t="shared" si="1"/>
        <v>2</v>
      </c>
      <c r="E25" s="84" t="str">
        <f t="shared" si="2"/>
        <v>22</v>
      </c>
      <c r="F25" s="68"/>
      <c r="G25" s="68"/>
      <c r="H25" s="68"/>
      <c r="I25" s="68"/>
      <c r="J25" s="78"/>
      <c r="K25" s="68"/>
      <c r="L25" s="68"/>
      <c r="M25" s="619" t="s">
        <v>92</v>
      </c>
      <c r="N25" s="619"/>
      <c r="O25" s="68"/>
      <c r="P25" s="268"/>
    </row>
    <row r="26" spans="1:16" ht="33" x14ac:dyDescent="0.3">
      <c r="A26" s="268"/>
      <c r="B26" s="68"/>
      <c r="C26" s="68" t="str">
        <f t="shared" si="0"/>
        <v>2</v>
      </c>
      <c r="D26" s="68">
        <f t="shared" si="1"/>
        <v>2</v>
      </c>
      <c r="E26" s="84" t="str">
        <f t="shared" si="2"/>
        <v>22</v>
      </c>
      <c r="F26" s="93"/>
      <c r="G26" s="80" t="s">
        <v>561</v>
      </c>
      <c r="H26" s="80" t="s">
        <v>82</v>
      </c>
      <c r="I26" s="80" t="s">
        <v>83</v>
      </c>
      <c r="J26" s="80" t="s">
        <v>84</v>
      </c>
      <c r="K26" s="80" t="s">
        <v>85</v>
      </c>
      <c r="L26" s="78"/>
      <c r="M26" s="81" t="s">
        <v>86</v>
      </c>
      <c r="N26" s="82" t="s">
        <v>87</v>
      </c>
      <c r="O26" s="68"/>
      <c r="P26" s="268"/>
    </row>
    <row r="27" spans="1:16" x14ac:dyDescent="0.3">
      <c r="A27" s="268"/>
      <c r="B27" s="68"/>
      <c r="C27" s="68" t="str">
        <f t="shared" si="0"/>
        <v>2</v>
      </c>
      <c r="D27" s="68">
        <f t="shared" si="1"/>
        <v>2</v>
      </c>
      <c r="E27" s="84" t="str">
        <f t="shared" si="2"/>
        <v>22</v>
      </c>
      <c r="F27" s="68"/>
      <c r="G27" s="83"/>
      <c r="H27" s="83"/>
      <c r="I27" s="83"/>
      <c r="J27" s="68"/>
      <c r="K27" s="83"/>
      <c r="L27" s="68"/>
      <c r="M27" s="68"/>
      <c r="N27" s="68"/>
      <c r="O27" s="68"/>
      <c r="P27" s="268"/>
    </row>
    <row r="28" spans="1:16" ht="130.05000000000001" customHeight="1" x14ac:dyDescent="0.3">
      <c r="A28" s="268"/>
      <c r="B28" s="68"/>
      <c r="C28" s="68" t="str">
        <f t="shared" si="0"/>
        <v>2</v>
      </c>
      <c r="D28" s="68">
        <f t="shared" si="1"/>
        <v>2</v>
      </c>
      <c r="E28" s="84" t="str">
        <f t="shared" si="2"/>
        <v>221</v>
      </c>
      <c r="F28" s="66" t="s">
        <v>27</v>
      </c>
      <c r="G28" s="67" t="str">
        <f>IFERROR(IF(VLOOKUP($E28,BDD!$A$1:$S$567,MATCH(G$10,BDD!$A$1:$P$1,0),FALSE)=0,"",VLOOKUP($E28,BDD!$A$1:$S$567,MATCH(G$10,BDD!$A$1:$P$1,0),FALSE)),"")</f>
        <v xml:space="preserve">L'organisation met en place un dispositif favorisant et encadrant les initiatives individuelles. </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c>
      <c r="L28" s="68"/>
      <c r="M28" s="87"/>
      <c r="N28" s="87"/>
      <c r="O28" s="68"/>
      <c r="P28" s="268"/>
    </row>
    <row r="29" spans="1:16" ht="130.05000000000001" customHeight="1" x14ac:dyDescent="0.3">
      <c r="A29" s="268"/>
      <c r="B29" s="68"/>
      <c r="C29" s="68" t="str">
        <f t="shared" si="0"/>
        <v>2</v>
      </c>
      <c r="D29" s="68">
        <f t="shared" si="1"/>
        <v>2</v>
      </c>
      <c r="E29" s="84" t="str">
        <f t="shared" si="2"/>
        <v>222</v>
      </c>
      <c r="F29" s="94" t="s">
        <v>28</v>
      </c>
      <c r="G29" s="65" t="str">
        <f>IFERROR(IF(VLOOKUP($E29,BDD!$A$1:$S$567,MATCH(G$10,BDD!$A$1:$P$1,0),FALSE)=0,"",VLOOKUP($E29,BDD!$A$1:$S$567,MATCH(G$10,BDD!$A$1:$P$1,0),FALSE)),"")</f>
        <v>Les activités de veille et d’innovation sont structurées au niveau de l’organisation.</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Cette structuration peut se décliner de différentes façons, plus ou moins formelles (par exemple, un rapprochement entre la DSI et le marketing stratégique pour détecter les innovations différenciantes par rapport aux concurrents).
• Des « règles du jeu » fixent clairement, et sans formalisme lourd, les objectifs et limites de la veille ainsi que le positionnement par rapport aux PoCs et aux projets.
• La DSI identifie avec les métiers les risques et opportunités des principales évolutions technologiques.</v>
      </c>
      <c r="L29" s="68"/>
      <c r="M29" s="90"/>
      <c r="N29" s="90"/>
      <c r="O29" s="68"/>
      <c r="P29" s="268"/>
    </row>
    <row r="30" spans="1:16" ht="162.6" customHeight="1" x14ac:dyDescent="0.3">
      <c r="A30" s="268"/>
      <c r="B30" s="68"/>
      <c r="C30" s="68" t="str">
        <f t="shared" si="0"/>
        <v>2</v>
      </c>
      <c r="D30" s="68">
        <f t="shared" si="1"/>
        <v>2</v>
      </c>
      <c r="E30" s="84" t="str">
        <f t="shared" si="2"/>
        <v>223</v>
      </c>
      <c r="F30" s="66" t="s">
        <v>30</v>
      </c>
      <c r="G30" s="67" t="str">
        <f>IFERROR(IF(VLOOKUP($E30,BDD!$A$1:$S$567,MATCH(G$10,BDD!$A$1:$P$1,0),FALSE)=0,"",VLOOKUP($E30,BDD!$A$1:$S$567,MATCH(G$10,BDD!$A$1:$P$1,0),FALSE)),"")</f>
        <v>Un dispositif permet d'accompagner l'innovation depuis l'idéation jusqu'à la mise en œuvre de solutions. Les activités de veille alimentent des proof of concept (PoC) et des démonstrateurs en vue de l’amélioration des processus et de la diffusion du potentiel des technologies (culture de l'innovation).</v>
      </c>
      <c r="H30" s="85" t="str">
        <f>IF(VLOOKUP(E30,BDD!$A$1:$S$567,15,FALSE)=0,"Critère non évalué","")</f>
        <v>Critère non évalué</v>
      </c>
      <c r="I30" s="66" t="str">
        <f>IFERROR(IF(VLOOKUP($E30,BDD!$A$1:$S$567,MATCH(I$10,BDD!$A$1:$P$1,0),FALSE)=0,"",VLOOKUP($E30,BDD!$A$1:$S$567,MATCH(I$10,BDD!$A$1:$P$1,0),FALSE)),"")</f>
        <v>N3</v>
      </c>
      <c r="J30" s="86"/>
      <c r="K30" s="67" t="str">
        <f>IFERROR(IF(VLOOKUP($E30,BDD!$A$1:$S$567,MATCH(K$10,BDD!$A$1:$P$1,0),FALSE)=0,"",VLOOKUP($E30,BDD!$A$1:$S$567,MATCH(K$10,BDD!$A$1:$P$1,0),FALSE)),"")</f>
        <v xml:space="preserve">• Un dispositif permet de collecter les idées novatrices dans l’organisation (les initiatives peuvent prendre la forme de boîtes à idées, plateformes numériques, concours…).
• Ce dispositif s’assure de la mobilisation des bonnes ressources en fonction de l’objectif de l’innovation.
• Le financement de l’effort d’innovation utilise des fonds dédiés, séparés de ceux des projets standards.
• Une approche via des projets pilotes ayant une échelle limitée est adoptée afin de démontrer le potentiel de l’idée innovatrice. Cette approche a pour objectif de préparer leur intégration dans les projets en cours de l'organisation et de s'assurer de leur conformité réglementaire. 
• Quand une idée a démontré son potentiel en mode pilote, elle est sélectionnée et rejoint le portfolio de projets standards. </v>
      </c>
      <c r="L30" s="68"/>
      <c r="M30" s="87"/>
      <c r="N30" s="87"/>
      <c r="O30" s="68"/>
      <c r="P30" s="268"/>
    </row>
    <row r="31" spans="1:16" ht="129.6" customHeight="1" x14ac:dyDescent="0.3">
      <c r="A31" s="268"/>
      <c r="B31" s="68"/>
      <c r="C31" s="68" t="str">
        <f t="shared" si="0"/>
        <v>2</v>
      </c>
      <c r="D31" s="68">
        <f t="shared" si="1"/>
        <v>2</v>
      </c>
      <c r="E31" s="84" t="str">
        <f t="shared" si="2"/>
        <v>224</v>
      </c>
      <c r="F31" s="64" t="s">
        <v>32</v>
      </c>
      <c r="G31" s="65" t="str">
        <f>IFERROR(IF(VLOOKUP($E31,BDD!$A$1:$S$567,MATCH(G$10,BDD!$A$1:$P$1,0),FALSE)=0,"",VLOOKUP($E31,BDD!$A$1:$S$567,MATCH(G$10,BDD!$A$1:$P$1,0),FALSE)),"")</f>
        <v>La politique d'innovation définit clairement les rôles et responsabilités.</v>
      </c>
      <c r="H31" s="88" t="str">
        <f>IF(VLOOKUP(E31,BDD!$A$1:$S$567,15,FALSE)=0,"Critère non évalué","")</f>
        <v>Critère non évalué</v>
      </c>
      <c r="I31" s="64" t="str">
        <f>IFERROR(IF(VLOOKUP($E31,BDD!$A$1:$S$567,MATCH(I$10,BDD!$A$1:$P$1,0),FALSE)=0,"",VLOOKUP($E31,BDD!$A$1:$S$567,MATCH(I$10,BDD!$A$1:$P$1,0),FALSE)),"")</f>
        <v>N3</v>
      </c>
      <c r="J31" s="91"/>
      <c r="K31" s="65" t="str">
        <f>IFERROR(IF(VLOOKUP($E31,BDD!$A$1:$S$567,MATCH(K$10,BDD!$A$1:$P$1,0),FALSE)=0,"",VLOOKUP($E31,BDD!$A$1:$S$567,MATCH(K$10,BDD!$A$1:$P$1,0),FALSE)),"")</f>
        <v>• Des mandats clairs sont assignés pour encadrer la promotion et la facilitation de l’innovation. Ces mandats sont formellement attribués et fortement soutenus par la direction générale.
• Cette politique peut préciser les responsabilités en termes de :
 - Pilotage du processus d’innovation, alignement avec la stratégie d’organisation
 - Sélection des projets d’innovation 
-  Allocation des ressources
-  Suivi de la performance
• Les rôles et responsabilités peuvent être exercés par des ressources de la DSI ou d’autres directions de l’organisation, ainsi que par des acteurs ou organismes externes.</v>
      </c>
      <c r="L31" s="68"/>
      <c r="M31" s="90"/>
      <c r="N31" s="90"/>
      <c r="O31" s="68"/>
      <c r="P31" s="268"/>
    </row>
    <row r="32" spans="1:16" ht="130.05000000000001" customHeight="1" x14ac:dyDescent="0.3">
      <c r="A32" s="268"/>
      <c r="B32" s="68"/>
      <c r="C32" s="68" t="str">
        <f t="shared" si="0"/>
        <v>2</v>
      </c>
      <c r="D32" s="68">
        <f t="shared" si="1"/>
        <v>2</v>
      </c>
      <c r="E32" s="84" t="str">
        <f t="shared" si="2"/>
        <v>225</v>
      </c>
      <c r="F32" s="66" t="s">
        <v>33</v>
      </c>
      <c r="G32" s="67" t="str">
        <f>IFERROR(IF(VLOOKUP($E32,BDD!$A$1:$S$567,MATCH(G$10,BDD!$A$1:$P$1,0),FALSE)=0,"",VLOOKUP($E32,BDD!$A$1:$S$567,MATCH(G$10,BDD!$A$1:$P$1,0),FALSE)),"")</f>
        <v xml:space="preserve">Une instance d’inspection est chargée de superviser et d'évaluer les risques, impacts et bénéfices des initiatives innovantes. Elle s'assure que ces initiatives sont conduites de façon responsable vis-à-vis de la direction et des guidelines technologiques d’organisation en architecture, sécurité et standards. </v>
      </c>
      <c r="H32" s="85" t="str">
        <f>IF(VLOOKUP(E32,BDD!$A$1:$S$567,15,FALSE)=0,"Critère non évalué","")</f>
        <v>Critère non évalué</v>
      </c>
      <c r="I32" s="66" t="str">
        <f>IFERROR(IF(VLOOKUP($E32,BDD!$A$1:$S$567,MATCH(I$10,BDD!$A$1:$P$1,0),FALSE)=0,"",VLOOKUP($E32,BDD!$A$1:$S$567,MATCH(I$10,BDD!$A$1:$P$1,0),FALSE)),"")</f>
        <v>N4</v>
      </c>
      <c r="J32" s="86"/>
      <c r="K32" s="67" t="str">
        <f>IFERROR(IF(VLOOKUP($E32,BDD!$A$1:$S$567,MATCH(K$10,BDD!$A$1:$P$1,0),FALSE)=0,"",VLOOKUP($E32,BDD!$A$1:$S$567,MATCH(K$10,BDD!$A$1:$P$1,0),FALSE)),"")</f>
        <v>• Elle vérifie notamment  le respect de certaines normes, évalue les risques, les  enjeux et les  impacts.</v>
      </c>
      <c r="L32" s="68"/>
      <c r="M32" s="82"/>
      <c r="N32" s="82"/>
      <c r="O32" s="68"/>
      <c r="P32" s="268"/>
    </row>
    <row r="33" spans="1:16" ht="130.05000000000001" customHeight="1" x14ac:dyDescent="0.3">
      <c r="A33" s="268"/>
      <c r="B33" s="68"/>
      <c r="C33" s="68" t="str">
        <f t="shared" si="0"/>
        <v>2</v>
      </c>
      <c r="D33" s="68">
        <f t="shared" si="1"/>
        <v>2</v>
      </c>
      <c r="E33" s="84" t="str">
        <f t="shared" si="2"/>
        <v>226</v>
      </c>
      <c r="F33" s="64" t="s">
        <v>34</v>
      </c>
      <c r="G33" s="96" t="str">
        <f>IFERROR(IF(VLOOKUP($E33,BDD!$A$1:$S$567,MATCH(G$10,BDD!$A$1:$P$1,0),FALSE)=0,"",VLOOKUP($E33,BDD!$A$1:$S$567,MATCH(G$10,BDD!$A$1:$P$1,0),FALSE)),"")</f>
        <v>L’analyse de l’efficacité du dispositif de veille et de mise en œuvre des innovations est en place.</v>
      </c>
      <c r="H33" s="92" t="str">
        <f>IF(VLOOKUP(E33,BDD!$A$1:$S$567,15,FALSE)=0,"Critère non évalué","")</f>
        <v>Critère non évalué</v>
      </c>
      <c r="I33" s="64" t="str">
        <f>IFERROR(IF(VLOOKUP($E33,BDD!$A$1:$S$567,MATCH(I$10,BDD!$A$1:$P$1,0),FALSE)=0,"",VLOOKUP($E33,BDD!$A$1:$S$567,MATCH(I$10,BDD!$A$1:$P$1,0),FALSE)),"")</f>
        <v>N4</v>
      </c>
      <c r="J33" s="206"/>
      <c r="K33" s="96" t="str">
        <f>IFERROR(IF(VLOOKUP($E33,BDD!$A$1:$S$567,MATCH(K$10,BDD!$A$1:$P$1,0),FALSE)=0,"",VLOOKUP($E33,BDD!$A$1:$S$567,MATCH(K$10,BDD!$A$1:$P$1,0),FALSE)),"")</f>
        <v>• Cette analyse s'inscrit dans une logique d'amélioration continue</v>
      </c>
      <c r="L33" s="68"/>
      <c r="M33" s="90"/>
      <c r="N33" s="90"/>
      <c r="O33" s="68"/>
      <c r="P33" s="268"/>
    </row>
    <row r="34" spans="1:16" ht="130.05000000000001" hidden="1" customHeight="1" x14ac:dyDescent="0.3">
      <c r="A34" s="268"/>
      <c r="B34" s="68"/>
      <c r="C34" s="68" t="str">
        <f t="shared" si="0"/>
        <v>2</v>
      </c>
      <c r="D34" s="68">
        <f t="shared" si="1"/>
        <v>2</v>
      </c>
      <c r="E34" s="84" t="str">
        <f t="shared" si="2"/>
        <v>227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xml:space="preserve"> </v>
      </c>
      <c r="J34" s="86"/>
      <c r="K34" s="67" t="str">
        <f>IFERROR(IF(VLOOKUP($E34,BDD!$A$1:$S$567,MATCH(K$10,BDD!$A$1:$P$1,0),FALSE)=0,"",VLOOKUP($E34,BDD!$A$1:$S$567,MATCH(K$10,BDD!$A$1:$P$1,0),FALSE)),"")</f>
        <v/>
      </c>
      <c r="L34" s="68"/>
      <c r="M34" s="82"/>
      <c r="N34" s="82"/>
      <c r="O34" s="68"/>
      <c r="P34" s="268"/>
    </row>
    <row r="35" spans="1:16" ht="18" x14ac:dyDescent="0.35">
      <c r="A35" s="268"/>
      <c r="B35" s="68"/>
      <c r="C35" s="68" t="str">
        <f t="shared" si="0"/>
        <v>2</v>
      </c>
      <c r="D35" s="68">
        <f t="shared" si="1"/>
        <v>2</v>
      </c>
      <c r="E35" s="84" t="str">
        <f t="shared" si="2"/>
        <v>22</v>
      </c>
      <c r="F35" s="68"/>
      <c r="G35" s="69" t="str">
        <f>IF(Suppl!B96=2,"Le vecteur n'est pas utilisé","")</f>
        <v/>
      </c>
      <c r="H35" s="69"/>
      <c r="I35" s="68"/>
      <c r="J35" s="69"/>
      <c r="K35" s="69"/>
      <c r="L35" s="70"/>
      <c r="M35" s="68"/>
      <c r="N35" s="68"/>
      <c r="O35" s="68"/>
      <c r="P35" s="268"/>
    </row>
    <row r="36" spans="1:16" x14ac:dyDescent="0.3">
      <c r="A36" s="268"/>
      <c r="B36" s="68"/>
      <c r="C36" s="68" t="str">
        <f t="shared" si="0"/>
        <v>2</v>
      </c>
      <c r="D36" s="68">
        <f>IF(LEFT(F36,14)="Bonne pratique",D35+1,D35)</f>
        <v>2</v>
      </c>
      <c r="E36" s="84" t="str">
        <f t="shared" si="2"/>
        <v>22</v>
      </c>
      <c r="F36" s="68"/>
      <c r="G36" s="68"/>
      <c r="H36" s="68"/>
      <c r="I36" s="68"/>
      <c r="J36" s="68"/>
      <c r="K36" s="68"/>
      <c r="L36" s="68"/>
      <c r="M36" s="68"/>
      <c r="N36" s="68"/>
      <c r="O36" s="68"/>
      <c r="P36" s="268"/>
    </row>
    <row r="37" spans="1:16" ht="25.8" x14ac:dyDescent="0.5">
      <c r="A37" s="296"/>
      <c r="B37" s="74"/>
      <c r="C37" s="68" t="str">
        <f t="shared" si="0"/>
        <v>2</v>
      </c>
      <c r="D37" s="68">
        <f t="shared" si="1"/>
        <v>3</v>
      </c>
      <c r="E37" s="84" t="str">
        <f t="shared" si="2"/>
        <v>233</v>
      </c>
      <c r="F37" s="208" t="s">
        <v>501</v>
      </c>
      <c r="G37" s="75"/>
      <c r="H37" s="205"/>
      <c r="I37" s="73"/>
      <c r="J37" s="73" t="str">
        <f>VLOOKUP(E44,BDD!$A$2:$N$567,6,FALSE)</f>
        <v>Veille technologique</v>
      </c>
      <c r="K37" s="72"/>
      <c r="L37" s="75"/>
      <c r="M37" s="75"/>
      <c r="N37" s="75"/>
      <c r="O37" s="74"/>
      <c r="P37" s="296"/>
    </row>
    <row r="38" spans="1:16" x14ac:dyDescent="0.3">
      <c r="A38" s="268"/>
      <c r="B38" s="68"/>
      <c r="C38" s="68" t="str">
        <f t="shared" si="0"/>
        <v>2</v>
      </c>
      <c r="D38" s="68">
        <f t="shared" si="1"/>
        <v>3</v>
      </c>
      <c r="E38" s="84" t="str">
        <f t="shared" si="2"/>
        <v>23</v>
      </c>
      <c r="F38" s="68"/>
      <c r="G38" s="68"/>
      <c r="H38" s="68"/>
      <c r="I38" s="68"/>
      <c r="J38" s="68"/>
      <c r="K38" s="68"/>
      <c r="L38" s="68"/>
      <c r="M38" s="68"/>
      <c r="N38" s="68"/>
      <c r="O38" s="68"/>
      <c r="P38" s="268"/>
    </row>
    <row r="39" spans="1:16" ht="18" x14ac:dyDescent="0.35">
      <c r="A39" s="297"/>
      <c r="B39" s="76"/>
      <c r="C39" s="68" t="str">
        <f t="shared" si="0"/>
        <v>2</v>
      </c>
      <c r="D39" s="68">
        <f t="shared" si="1"/>
        <v>3</v>
      </c>
      <c r="E39" s="84" t="str">
        <f t="shared" si="2"/>
        <v>23</v>
      </c>
      <c r="F39" s="76"/>
      <c r="G39" s="76"/>
      <c r="H39" s="76"/>
      <c r="I39" s="77"/>
      <c r="J39" s="207" t="str">
        <f>IFERROR(_xlfn.TEXTBEFORE(VLOOKUP(E44,BDD!$A$2:$N$567,7,FALSE)," ",30),VLOOKUP(E44,BDD!$A$2:$N$567,7,FALSE))</f>
        <v>La veille est organisée pour éclairer les efforts d’innovation et la stratégie de l’organisation.</v>
      </c>
      <c r="K39" s="77"/>
      <c r="L39" s="76"/>
      <c r="M39" s="76"/>
      <c r="N39" s="76"/>
      <c r="O39" s="76"/>
      <c r="P39" s="297"/>
    </row>
    <row r="40" spans="1:16" ht="18" x14ac:dyDescent="0.35">
      <c r="A40" s="268"/>
      <c r="B40" s="68"/>
      <c r="C40" s="68" t="str">
        <f t="shared" si="0"/>
        <v>2</v>
      </c>
      <c r="D40" s="68">
        <f t="shared" si="1"/>
        <v>3</v>
      </c>
      <c r="E40" s="84" t="str">
        <f t="shared" si="2"/>
        <v>23</v>
      </c>
      <c r="F40" s="68"/>
      <c r="G40" s="68"/>
      <c r="H40" s="68"/>
      <c r="I40" s="68"/>
      <c r="J40" s="207" t="str">
        <f>IFERROR(_xlfn.TEXTAFTER(VLOOKUP(E44,BDD!$A$2:$N$567,7,FALSE)," ",30),"")</f>
        <v/>
      </c>
      <c r="K40" s="68"/>
      <c r="L40" s="68"/>
      <c r="M40" s="68"/>
      <c r="N40" s="68"/>
      <c r="O40" s="68"/>
      <c r="P40" s="268"/>
    </row>
    <row r="41" spans="1:16" x14ac:dyDescent="0.3">
      <c r="A41" s="268"/>
      <c r="B41" s="68"/>
      <c r="C41" s="68" t="str">
        <f t="shared" si="0"/>
        <v>2</v>
      </c>
      <c r="D41" s="68">
        <f t="shared" si="1"/>
        <v>3</v>
      </c>
      <c r="E41" s="84" t="str">
        <f t="shared" si="2"/>
        <v>23</v>
      </c>
      <c r="F41" s="68"/>
      <c r="G41" s="68"/>
      <c r="H41" s="68"/>
      <c r="I41" s="68"/>
      <c r="J41" s="78"/>
      <c r="K41" s="68"/>
      <c r="L41" s="68"/>
      <c r="M41" s="619" t="s">
        <v>92</v>
      </c>
      <c r="N41" s="619"/>
      <c r="O41" s="68"/>
      <c r="P41" s="268"/>
    </row>
    <row r="42" spans="1:16" ht="33" x14ac:dyDescent="0.3">
      <c r="A42" s="268"/>
      <c r="B42" s="68"/>
      <c r="C42" s="68" t="str">
        <f t="shared" si="0"/>
        <v>2</v>
      </c>
      <c r="D42" s="68">
        <f t="shared" si="1"/>
        <v>3</v>
      </c>
      <c r="E42" s="84" t="str">
        <f t="shared" si="2"/>
        <v>23</v>
      </c>
      <c r="F42" s="79"/>
      <c r="G42" s="80" t="s">
        <v>561</v>
      </c>
      <c r="H42" s="80" t="s">
        <v>82</v>
      </c>
      <c r="I42" s="80" t="s">
        <v>83</v>
      </c>
      <c r="J42" s="80" t="s">
        <v>84</v>
      </c>
      <c r="K42" s="80" t="s">
        <v>85</v>
      </c>
      <c r="L42" s="78"/>
      <c r="M42" s="81" t="s">
        <v>86</v>
      </c>
      <c r="N42" s="82" t="s">
        <v>87</v>
      </c>
      <c r="O42" s="68"/>
      <c r="P42" s="268"/>
    </row>
    <row r="43" spans="1:16" x14ac:dyDescent="0.3">
      <c r="A43" s="268"/>
      <c r="B43" s="68"/>
      <c r="C43" s="68" t="str">
        <f t="shared" si="0"/>
        <v>2</v>
      </c>
      <c r="D43" s="68">
        <f t="shared" si="1"/>
        <v>3</v>
      </c>
      <c r="E43" s="84" t="str">
        <f t="shared" si="2"/>
        <v>23</v>
      </c>
      <c r="F43" s="68"/>
      <c r="G43" s="83"/>
      <c r="H43" s="83"/>
      <c r="I43" s="83"/>
      <c r="J43" s="68"/>
      <c r="K43" s="83"/>
      <c r="L43" s="68"/>
      <c r="M43" s="68"/>
      <c r="N43" s="68"/>
      <c r="O43" s="68"/>
      <c r="P43" s="268"/>
    </row>
    <row r="44" spans="1:16" ht="130.05000000000001" customHeight="1" x14ac:dyDescent="0.3">
      <c r="A44" s="268"/>
      <c r="B44" s="68"/>
      <c r="C44" s="68" t="str">
        <f t="shared" si="0"/>
        <v>2</v>
      </c>
      <c r="D44" s="68">
        <f t="shared" si="1"/>
        <v>3</v>
      </c>
      <c r="E44" s="84" t="str">
        <f t="shared" si="2"/>
        <v>231</v>
      </c>
      <c r="F44" s="66" t="s">
        <v>27</v>
      </c>
      <c r="G44" s="67" t="str">
        <f>IFERROR(IF(VLOOKUP($E44,BDD!$A$1:$S$567,MATCH(G$10,BDD!$A$1:$P$1,0),FALSE)=0,"",VLOOKUP($E44,BDD!$A$1:$S$567,MATCH(G$10,BDD!$A$1:$P$1,0),FALSE)),"")</f>
        <v>Il existe au sein de l’organisation  un réseau de veille numérique qui associe la DSI à d'autres fonctions métiers, pour suivre les tendances sur les plans technologiques, réglementaires, environnementaux, etc.</v>
      </c>
      <c r="H44" s="85" t="str">
        <f>IF(VLOOKUP(E44,BDD!$A$1:$S$567,15,FALSE)=0,"Critère non évalué","")</f>
        <v>Critère non évalué</v>
      </c>
      <c r="I44" s="66" t="str">
        <f>IFERROR(IF(VLOOKUP($E44,BDD!$A$1:$S$567,MATCH(I$10,BDD!$A$1:$P$1,0),FALSE)=0,"",VLOOKUP($E44,BDD!$A$1:$S$567,MATCH(I$10,BDD!$A$1:$P$1,0),FALSE)),"")</f>
        <v>N2</v>
      </c>
      <c r="J44" s="86"/>
      <c r="K44" s="67" t="str">
        <f>IFERROR(IF(VLOOKUP($E44,BDD!$A$1:$S$567,MATCH(K$10,BDD!$A$1:$P$1,0),FALSE)=0,"",VLOOKUP($E44,BDD!$A$1:$S$567,MATCH(K$10,BDD!$A$1:$P$1,0),FALSE)),"")</f>
        <v>• La DSI sélectionne un certain nombre de domaines technologiques, jugés stratégiques en accord avec les métiers, et dans lesquels elle décide d’exercer une activité de veille. 
• La DSI participe aux autres réseaux de veille de l'organisation pour anticiper et intégrer les impacts sur le SI.</v>
      </c>
      <c r="L44" s="68"/>
      <c r="M44" s="87"/>
      <c r="N44" s="87"/>
      <c r="O44" s="68"/>
      <c r="P44" s="268"/>
    </row>
    <row r="45" spans="1:16" ht="150" customHeight="1" x14ac:dyDescent="0.3">
      <c r="A45" s="268"/>
      <c r="B45" s="68"/>
      <c r="C45" s="68" t="str">
        <f t="shared" si="0"/>
        <v>2</v>
      </c>
      <c r="D45" s="68">
        <f t="shared" si="1"/>
        <v>3</v>
      </c>
      <c r="E45" s="84" t="str">
        <f t="shared" si="2"/>
        <v>232</v>
      </c>
      <c r="F45" s="94" t="s">
        <v>28</v>
      </c>
      <c r="G45" s="65" t="str">
        <f>IFERROR(IF(VLOOKUP($E45,BDD!$A$1:$S$567,MATCH(G$10,BDD!$A$1:$P$1,0),FALSE)=0,"",VLOOKUP($E45,BDD!$A$1:$S$567,MATCH(G$10,BDD!$A$1:$P$1,0),FALSE)),"")</f>
        <v>Des actions sont organisées afin d’encourager les travaux en équipes mixtes métiers/filière SI : atelier d'idéation, travail collaboratif, démarche apprenante (test and learn). Les axes de veille sont définis et partagés avec les métiers et les actions sont communiquées et promues auprès des collaborateurs.</v>
      </c>
      <c r="H45" s="88" t="str">
        <f>IF(VLOOKUP(E45,BDD!$A$1:$S$567,15,FALSE)=0,"Critère non évalué","")</f>
        <v>Critère non évalué</v>
      </c>
      <c r="I45" s="64" t="str">
        <f>IFERROR(IF(VLOOKUP($E45,BDD!$A$1:$S$567,MATCH(I$10,BDD!$A$1:$P$1,0),FALSE)=0,"",VLOOKUP($E45,BDD!$A$1:$S$567,MATCH(I$10,BDD!$A$1:$P$1,0),FALSE)),"")</f>
        <v>N2</v>
      </c>
      <c r="J45" s="89"/>
      <c r="K45" s="65" t="str">
        <f>IFERROR(IF(VLOOKUP($E45,BDD!$A$1:$S$567,MATCH(K$10,BDD!$A$1:$P$1,0),FALSE)=0,"",VLOOKUP($E45,BDD!$A$1:$S$567,MATCH(K$10,BDD!$A$1:$P$1,0),FALSE)),"")</f>
        <v>• L’organisation met en œuvre des techniques et dispositifs de gestion destinés à créer les conditions les plus favorables au développement d'innovations concrètes.
• Elle organise des processus d'idéation de nouveaux usages et des événements de promotion des nouvelles technologies (hackathons,...)
• Des démonstrations technologiques et des actions de communication au sein de l’organisation et à l’extérieur sont réalisées.</v>
      </c>
      <c r="L45" s="68"/>
      <c r="M45" s="90"/>
      <c r="N45" s="90"/>
      <c r="O45" s="68"/>
      <c r="P45" s="268"/>
    </row>
    <row r="46" spans="1:16" ht="130.05000000000001" customHeight="1" x14ac:dyDescent="0.3">
      <c r="A46" s="268"/>
      <c r="B46" s="68"/>
      <c r="C46" s="68" t="str">
        <f t="shared" si="0"/>
        <v>2</v>
      </c>
      <c r="D46" s="68">
        <f t="shared" si="1"/>
        <v>3</v>
      </c>
      <c r="E46" s="84" t="str">
        <f t="shared" si="2"/>
        <v>233</v>
      </c>
      <c r="F46" s="66" t="s">
        <v>30</v>
      </c>
      <c r="G46" s="67" t="str">
        <f>IFERROR(IF(VLOOKUP($E46,BDD!$A$1:$S$567,MATCH(G$10,BDD!$A$1:$P$1,0),FALSE)=0,"",VLOOKUP($E46,BDD!$A$1:$S$567,MATCH(G$10,BDD!$A$1:$P$1,0),FALSE)),"")</f>
        <v>Un espace innovation (par exemple un temps spécialement dédié) est accordé aux collaborateurs de façon exclusive pour les sujets d’innovation.</v>
      </c>
      <c r="H46" s="85" t="str">
        <f>IF(VLOOKUP(E46,BDD!$A$1:$S$567,15,FALSE)=0,"Critère non évalué","")</f>
        <v>Critère non évalué</v>
      </c>
      <c r="I46" s="66" t="s">
        <v>22</v>
      </c>
      <c r="J46" s="86"/>
      <c r="K46" s="67" t="str">
        <f>IFERROR(IF(VLOOKUP($E46,BDD!$A$1:$S$567,MATCH(K$10,BDD!$A$1:$P$1,0),FALSE)=0,"",VLOOKUP($E46,BDD!$A$1:$S$567,MATCH(K$10,BDD!$A$1:$P$1,0),FALSE)),"")</f>
        <v>• L'objectif est de créer les environnements dédiés et propices à l’expression de la créativité et favorisant l’innovation (« bac à sable », Lab d’innovation, salle de coworking…), tout en assurant le respect des bonnes pratiques du SI ainsi que sa sécurité.
• Les collaborateurs ont la possibilité de se consacrer aux activités d’innovation et de développement de projets, sur un pourcentage de leur temps de travail ou un temps dédié dans la semaine. 
• Des « Centres d’Excellence » permettent de centraliser les compétences et l’expérience, de servir de dépôt de bonnes pratiques, d’exécuter des PoCs et pilotes et de former.</v>
      </c>
      <c r="L46" s="68"/>
      <c r="M46" s="87"/>
      <c r="N46" s="87"/>
      <c r="O46" s="68"/>
      <c r="P46" s="268"/>
    </row>
    <row r="47" spans="1:16" ht="120" customHeight="1" x14ac:dyDescent="0.3">
      <c r="A47" s="268"/>
      <c r="B47" s="68"/>
      <c r="C47" s="68" t="str">
        <f t="shared" si="0"/>
        <v>2</v>
      </c>
      <c r="D47" s="68">
        <f t="shared" si="1"/>
        <v>3</v>
      </c>
      <c r="E47" s="84" t="str">
        <f t="shared" si="2"/>
        <v>234</v>
      </c>
      <c r="F47" s="64" t="s">
        <v>32</v>
      </c>
      <c r="G47" s="96" t="str">
        <f>IFERROR(IF(VLOOKUP($E47,BDD!$A$1:$S$567,MATCH(G$10,BDD!$A$1:$P$1,0),FALSE)=0,"",VLOOKUP($E47,BDD!$A$1:$S$567,MATCH(G$10,BDD!$A$1:$P$1,0),FALSE)),"")</f>
        <v xml:space="preserve">La DSI a élargi son périmètre de veille à son écosystème, via la participation à des réseaux externes à l'organisation. </v>
      </c>
      <c r="H47" s="210" t="str">
        <f>IF(VLOOKUP(E47,BDD!$A$1:$S$567,15,FALSE)=0,"Critère non évalué","")</f>
        <v>Critère non évalué</v>
      </c>
      <c r="I47" s="64" t="s">
        <v>26</v>
      </c>
      <c r="J47" s="95"/>
      <c r="K47" s="96" t="str">
        <f>IFERROR(IF(VLOOKUP($E47,BDD!$A$1:$S$567,MATCH(K$10,BDD!$A$1:$P$1,0),FALSE)=0,"",VLOOKUP($E47,BDD!$A$1:$S$567,MATCH(K$10,BDD!$A$1:$P$1,0),FALSE)),"")</f>
        <v>• Des experts sont sollicités pour témoigner de leur expérience et partager leurs connaissances dans le cadre de manifestations organisées par des organismes reconnus en France et à l’étranger.
• L’organisation participe à l’évolution des normes dans les secteurs techniques stratégiques.
• Les informations issues de ces participations sont mises à disposition des collaborateurs de la DSI ainsi que des interlocuteurs métiers identifiés.</v>
      </c>
      <c r="L47" s="68"/>
      <c r="M47" s="90"/>
      <c r="N47" s="90"/>
      <c r="O47" s="68"/>
      <c r="P47" s="268"/>
    </row>
    <row r="48" spans="1:16" ht="130.05000000000001" hidden="1" customHeight="1" x14ac:dyDescent="0.3">
      <c r="A48" s="268"/>
      <c r="B48" s="68"/>
      <c r="C48" s="68" t="str">
        <f t="shared" si="0"/>
        <v>2</v>
      </c>
      <c r="D48" s="68">
        <f t="shared" si="1"/>
        <v>3</v>
      </c>
      <c r="E48" s="84" t="str">
        <f t="shared" si="2"/>
        <v>235</v>
      </c>
      <c r="F48" s="66" t="s">
        <v>33</v>
      </c>
      <c r="G48" s="67" t="str">
        <f>IFERROR(IF(VLOOKUP($E48,BDD!$A$1:$S$567,MATCH(G$10,BDD!$A$1:$P$1,0),FALSE)=0,"",VLOOKUP($E48,BDD!$A$1:$S$567,MATCH(G$10,BDD!$A$1:$P$1,0),FALSE)),"")</f>
        <v/>
      </c>
      <c r="H48" s="85" t="str">
        <f>IF(VLOOKUP(E48,BDD!$A$1:$S$567,15,FALSE)=0,"Critère non évalué","")</f>
        <v>Critère non évalué</v>
      </c>
      <c r="I48" s="66" t="s">
        <v>22</v>
      </c>
      <c r="J48" s="86"/>
      <c r="K48" s="67" t="str">
        <f>IFERROR(IF(VLOOKUP($E48,BDD!$A$1:$S$567,MATCH(K$10,BDD!$A$1:$P$1,0),FALSE)=0,"",VLOOKUP($E48,BDD!$A$1:$S$567,MATCH(K$10,BDD!$A$1:$P$1,0),FALSE)),"")</f>
        <v/>
      </c>
      <c r="L48" s="68"/>
      <c r="M48" s="87"/>
      <c r="N48" s="87"/>
      <c r="O48" s="68"/>
      <c r="P48" s="268"/>
    </row>
    <row r="49" spans="1:16" ht="120" hidden="1" customHeight="1" x14ac:dyDescent="0.3">
      <c r="A49" s="268"/>
      <c r="B49" s="68"/>
      <c r="C49" s="68" t="str">
        <f t="shared" si="0"/>
        <v>2</v>
      </c>
      <c r="D49" s="68">
        <f t="shared" si="1"/>
        <v>3</v>
      </c>
      <c r="E49" s="84" t="str">
        <f t="shared" si="2"/>
        <v>236</v>
      </c>
      <c r="F49" s="64" t="s">
        <v>34</v>
      </c>
      <c r="G49" s="96" t="str">
        <f>IFERROR(IF(VLOOKUP($E49,BDD!$A$1:$S$567,MATCH(G$10,BDD!$A$1:$P$1,0),FALSE)=0,"",VLOOKUP($E49,BDD!$A$1:$S$567,MATCH(G$10,BDD!$A$1:$P$1,0),FALSE)),"")</f>
        <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268"/>
    </row>
    <row r="50" spans="1:16" ht="130.05000000000001" hidden="1" customHeight="1" x14ac:dyDescent="0.3">
      <c r="A50" s="268"/>
      <c r="B50" s="68"/>
      <c r="C50" s="68" t="str">
        <f t="shared" si="0"/>
        <v>2</v>
      </c>
      <c r="D50" s="68">
        <f t="shared" si="1"/>
        <v>3</v>
      </c>
      <c r="E50" s="84" t="str">
        <f t="shared" si="2"/>
        <v>237</v>
      </c>
      <c r="F50" s="66" t="s">
        <v>36</v>
      </c>
      <c r="G50" s="67" t="str">
        <f>IFERROR(IF(VLOOKUP($E50,BDD!$A$1:$S$567,MATCH(G$10,BDD!$A$1:$P$1,0),FALSE)=0,"",VLOOKUP($E50,BDD!$A$1:$S$567,MATCH(G$10,BDD!$A$1:$P$1,0),FALSE)),"")</f>
        <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268"/>
    </row>
    <row r="51" spans="1:16" ht="18" x14ac:dyDescent="0.35">
      <c r="A51" s="268"/>
      <c r="B51" s="68"/>
      <c r="C51" s="68" t="str">
        <f t="shared" si="0"/>
        <v>2</v>
      </c>
      <c r="D51" s="68"/>
      <c r="E51" s="84"/>
      <c r="F51" s="68"/>
      <c r="G51" s="69"/>
      <c r="H51" s="69"/>
      <c r="I51" s="69"/>
      <c r="J51" s="69"/>
      <c r="K51" s="69"/>
      <c r="L51" s="70"/>
      <c r="M51" s="68"/>
      <c r="N51" s="68"/>
      <c r="O51" s="68"/>
      <c r="P51" s="268"/>
    </row>
    <row r="52" spans="1:16" x14ac:dyDescent="0.3">
      <c r="A52" s="268"/>
      <c r="B52" s="68"/>
      <c r="C52" s="68" t="str">
        <f t="shared" si="0"/>
        <v>2</v>
      </c>
      <c r="D52" s="68">
        <f>IF(LEFT(F52,14)="Bonne pratique",D48+1,D48)</f>
        <v>3</v>
      </c>
      <c r="E52" s="84" t="str">
        <f t="shared" si="2"/>
        <v>23</v>
      </c>
      <c r="F52" s="68"/>
      <c r="G52" s="68"/>
      <c r="H52" s="68"/>
      <c r="I52" s="68"/>
      <c r="J52" s="68"/>
      <c r="K52" s="68"/>
      <c r="L52" s="68"/>
      <c r="M52" s="68"/>
      <c r="N52" s="68"/>
      <c r="O52" s="68"/>
      <c r="P52" s="268"/>
    </row>
    <row r="53" spans="1:16" ht="25.8" x14ac:dyDescent="0.5">
      <c r="A53" s="296"/>
      <c r="B53" s="74"/>
      <c r="C53" s="68" t="str">
        <f t="shared" si="0"/>
        <v>2</v>
      </c>
      <c r="D53" s="68">
        <f t="shared" si="1"/>
        <v>4</v>
      </c>
      <c r="E53" s="84" t="str">
        <f t="shared" si="2"/>
        <v>244</v>
      </c>
      <c r="F53" s="208" t="s">
        <v>502</v>
      </c>
      <c r="G53" s="75"/>
      <c r="H53" s="205"/>
      <c r="I53" s="73"/>
      <c r="J53" s="73" t="str">
        <f>VLOOKUP(E60,BDD!$A$2:$N$567,6,FALSE)</f>
        <v>Agilité de l'organisation</v>
      </c>
      <c r="K53" s="72"/>
      <c r="L53" s="75"/>
      <c r="M53" s="75"/>
      <c r="N53" s="75"/>
      <c r="O53" s="74"/>
      <c r="P53" s="296"/>
    </row>
    <row r="54" spans="1:16" x14ac:dyDescent="0.3">
      <c r="A54" s="268"/>
      <c r="B54" s="68"/>
      <c r="C54" s="68" t="str">
        <f t="shared" si="0"/>
        <v>2</v>
      </c>
      <c r="D54" s="68">
        <f t="shared" si="1"/>
        <v>4</v>
      </c>
      <c r="E54" s="84" t="str">
        <f t="shared" si="2"/>
        <v>24</v>
      </c>
      <c r="F54" s="68"/>
      <c r="G54" s="68"/>
      <c r="H54" s="68"/>
      <c r="I54" s="68"/>
      <c r="J54" s="68"/>
      <c r="K54" s="68"/>
      <c r="L54" s="68"/>
      <c r="M54" s="68"/>
      <c r="N54" s="68"/>
      <c r="O54" s="68"/>
      <c r="P54" s="268"/>
    </row>
    <row r="55" spans="1:16" ht="18" x14ac:dyDescent="0.35">
      <c r="A55" s="297"/>
      <c r="B55" s="76"/>
      <c r="C55" s="68" t="str">
        <f t="shared" si="0"/>
        <v>2</v>
      </c>
      <c r="D55" s="68">
        <f t="shared" si="1"/>
        <v>4</v>
      </c>
      <c r="E55" s="84" t="str">
        <f t="shared" si="2"/>
        <v>24</v>
      </c>
      <c r="F55" s="76"/>
      <c r="G55" s="76"/>
      <c r="H55" s="76"/>
      <c r="I55" s="77"/>
      <c r="J55" s="207" t="str">
        <f>IFERROR(_xlfn.TEXTBEFORE(VLOOKUP(E60,BDD!$A$2:$N$567,7,FALSE)," ",30),VLOOKUP(E60,BDD!$A$2:$N$567,7,FALSE))</f>
        <v xml:space="preserve">L’organisation est structurée de façon à prendre en compte et à traiter les initiatives d’innovation de manière agile.  </v>
      </c>
      <c r="K55" s="77"/>
      <c r="L55" s="76"/>
      <c r="M55" s="76"/>
      <c r="N55" s="76"/>
      <c r="O55" s="76"/>
      <c r="P55" s="297"/>
    </row>
    <row r="56" spans="1:16" ht="18" x14ac:dyDescent="0.35">
      <c r="A56" s="268"/>
      <c r="B56" s="68"/>
      <c r="C56" s="68" t="str">
        <f t="shared" si="0"/>
        <v>2</v>
      </c>
      <c r="D56" s="68">
        <f t="shared" si="1"/>
        <v>4</v>
      </c>
      <c r="E56" s="84" t="str">
        <f t="shared" si="2"/>
        <v>24</v>
      </c>
      <c r="F56" s="68"/>
      <c r="G56" s="68"/>
      <c r="H56" s="68"/>
      <c r="I56" s="68"/>
      <c r="J56" s="207" t="str">
        <f>IFERROR(_xlfn.TEXTAFTER(VLOOKUP(E60,BDD!$A$2:$N$567,7,FALSE)," ",30),"")</f>
        <v/>
      </c>
      <c r="K56" s="68"/>
      <c r="L56" s="68"/>
      <c r="M56" s="68"/>
      <c r="N56" s="68"/>
      <c r="O56" s="68"/>
      <c r="P56" s="268"/>
    </row>
    <row r="57" spans="1:16" x14ac:dyDescent="0.3">
      <c r="A57" s="268"/>
      <c r="B57" s="68"/>
      <c r="C57" s="68" t="str">
        <f t="shared" si="0"/>
        <v>2</v>
      </c>
      <c r="D57" s="68">
        <f t="shared" si="1"/>
        <v>4</v>
      </c>
      <c r="E57" s="84" t="str">
        <f t="shared" si="2"/>
        <v>24</v>
      </c>
      <c r="F57" s="68"/>
      <c r="G57" s="68"/>
      <c r="H57" s="68"/>
      <c r="I57" s="68"/>
      <c r="J57" s="78"/>
      <c r="K57" s="68"/>
      <c r="L57" s="68"/>
      <c r="M57" s="619" t="s">
        <v>92</v>
      </c>
      <c r="N57" s="619"/>
      <c r="O57" s="68"/>
      <c r="P57" s="268"/>
    </row>
    <row r="58" spans="1:16" ht="33" x14ac:dyDescent="0.3">
      <c r="A58" s="268"/>
      <c r="B58" s="68"/>
      <c r="C58" s="68" t="str">
        <f t="shared" si="0"/>
        <v>2</v>
      </c>
      <c r="D58" s="68">
        <f t="shared" si="1"/>
        <v>4</v>
      </c>
      <c r="E58" s="84" t="str">
        <f t="shared" si="2"/>
        <v>24</v>
      </c>
      <c r="F58" s="79"/>
      <c r="G58" s="80" t="s">
        <v>561</v>
      </c>
      <c r="H58" s="80" t="s">
        <v>82</v>
      </c>
      <c r="I58" s="80" t="s">
        <v>83</v>
      </c>
      <c r="J58" s="80" t="s">
        <v>84</v>
      </c>
      <c r="K58" s="80" t="s">
        <v>85</v>
      </c>
      <c r="L58" s="78"/>
      <c r="M58" s="81" t="s">
        <v>86</v>
      </c>
      <c r="N58" s="82" t="s">
        <v>87</v>
      </c>
      <c r="O58" s="68"/>
      <c r="P58" s="268"/>
    </row>
    <row r="59" spans="1:16" x14ac:dyDescent="0.3">
      <c r="A59" s="268"/>
      <c r="B59" s="68"/>
      <c r="C59" s="68" t="str">
        <f t="shared" si="0"/>
        <v>2</v>
      </c>
      <c r="D59" s="68">
        <f t="shared" si="1"/>
        <v>4</v>
      </c>
      <c r="E59" s="84" t="str">
        <f t="shared" si="2"/>
        <v>24</v>
      </c>
      <c r="F59" s="68"/>
      <c r="G59" s="83"/>
      <c r="H59" s="83"/>
      <c r="I59" s="83"/>
      <c r="J59" s="68"/>
      <c r="K59" s="83"/>
      <c r="L59" s="68"/>
      <c r="M59" s="68"/>
      <c r="N59" s="68"/>
      <c r="O59" s="68"/>
      <c r="P59" s="268"/>
    </row>
    <row r="60" spans="1:16" ht="130.05000000000001" customHeight="1" x14ac:dyDescent="0.3">
      <c r="A60" s="268"/>
      <c r="B60" s="68"/>
      <c r="C60" s="68" t="str">
        <f t="shared" si="0"/>
        <v>2</v>
      </c>
      <c r="D60" s="68">
        <f t="shared" si="1"/>
        <v>4</v>
      </c>
      <c r="E60" s="84" t="str">
        <f t="shared" si="2"/>
        <v>241</v>
      </c>
      <c r="F60" s="66" t="s">
        <v>27</v>
      </c>
      <c r="G60" s="67" t="str">
        <f>IFERROR(IF(VLOOKUP($E60,BDD!$A$1:$S$567,MATCH(G$10,BDD!$A$1:$P$1,0),FALSE)=0,"",VLOOKUP($E60,BDD!$A$1:$S$567,MATCH(G$10,BDD!$A$1:$P$1,0),FALSE)),"")</f>
        <v>L’organisation est en capacité de mobiliser les ressources nécessaires (financières, humaines et technologiques) afin de compléter les initiatives dans un délai adéquat.</v>
      </c>
      <c r="H60" s="85" t="str">
        <f>IF(VLOOKUP(E60,BDD!$A$1:$S$567,15,FALSE)=0,"Critère non évalué","")</f>
        <v>Critère non évalué</v>
      </c>
      <c r="I60" s="66" t="str">
        <f>IFERROR(IF(VLOOKUP($E60,BDD!$A$1:$S$567,MATCH(I$10,BDD!$A$1:$P$1,0),FALSE)=0,"",VLOOKUP($E60,BDD!$A$1:$S$567,MATCH(I$10,BDD!$A$1:$P$1,0),FALSE)),"")</f>
        <v>N2</v>
      </c>
      <c r="J60" s="86"/>
      <c r="K60" s="67" t="str">
        <f>IFERROR(IF(VLOOKUP($E60,BDD!$A$1:$S$567,MATCH(K$10,BDD!$A$1:$P$1,0),FALSE)=0,"",VLOOKUP($E60,BDD!$A$1:$S$567,MATCH(K$10,BDD!$A$1:$P$1,0),FALSE)),"")</f>
        <v>• Un suivi du portefeuille d’innovation est réalisé. 
• L’avancement des initiatives et l’utilisation des ressources mobilisées sont documentés. 
• Des dispositifs de re-priorisation existent et permettent la souplesse budgétaire.</v>
      </c>
      <c r="L60" s="68"/>
      <c r="M60" s="87"/>
      <c r="N60" s="87"/>
      <c r="O60" s="68"/>
      <c r="P60" s="268"/>
    </row>
    <row r="61" spans="1:16" ht="130.05000000000001" customHeight="1" x14ac:dyDescent="0.3">
      <c r="A61" s="268"/>
      <c r="B61" s="68"/>
      <c r="C61" s="68" t="str">
        <f t="shared" si="0"/>
        <v>2</v>
      </c>
      <c r="D61" s="68">
        <f t="shared" si="1"/>
        <v>4</v>
      </c>
      <c r="E61" s="84" t="str">
        <f t="shared" si="2"/>
        <v>242</v>
      </c>
      <c r="F61" s="94" t="s">
        <v>28</v>
      </c>
      <c r="G61" s="65" t="str">
        <f>IFERROR(IF(VLOOKUP($E61,BDD!$A$1:$S$567,MATCH(G$10,BDD!$A$1:$P$1,0),FALSE)=0,"",VLOOKUP($E61,BDD!$A$1:$S$567,MATCH(G$10,BDD!$A$1:$P$1,0),FALSE)),"")</f>
        <v>L’organisation implémente et maintient un processus d’innovation à l'état de l'art.</v>
      </c>
      <c r="H61" s="88" t="str">
        <f>IF(VLOOKUP(E61,BDD!$A$1:$S$567,15,FALSE)=0,"Critère non évalué","")</f>
        <v>Critère non évalué</v>
      </c>
      <c r="I61" s="64" t="str">
        <f>IFERROR(IF(VLOOKUP($E61,BDD!$A$1:$S$567,MATCH(I$10,BDD!$A$1:$P$1,0),FALSE)=0,"",VLOOKUP($E61,BDD!$A$1:$S$567,MATCH(I$10,BDD!$A$1:$P$1,0),FALSE)),"")</f>
        <v>N3</v>
      </c>
      <c r="J61" s="89"/>
      <c r="K61" s="65" t="str">
        <f>IFERROR(IF(VLOOKUP($E61,BDD!$A$1:$S$567,MATCH(K$10,BDD!$A$1:$P$1,0),FALSE)=0,"",VLOOKUP($E61,BDD!$A$1:$S$567,MATCH(K$10,BDD!$A$1:$P$1,0),FALSE)),"")</f>
        <v>• Les méthodes agiles permettent à de petites équipes cross-fonctionnelles de travailler en petits incréments afin de construire et tester un produit ou une fonctionnalité sur un proof of concept, suivi éventuellement par un pilote sur petite échelle.</v>
      </c>
      <c r="L61" s="68"/>
      <c r="M61" s="90"/>
      <c r="N61" s="90"/>
      <c r="O61" s="68"/>
      <c r="P61" s="268"/>
    </row>
    <row r="62" spans="1:16" ht="130.05000000000001" customHeight="1" x14ac:dyDescent="0.3">
      <c r="A62" s="268"/>
      <c r="B62" s="68"/>
      <c r="C62" s="68" t="str">
        <f t="shared" si="0"/>
        <v>2</v>
      </c>
      <c r="D62" s="68">
        <f>IF(LEFT(F62,14)="Bonne pratique",D61+1,D61)</f>
        <v>4</v>
      </c>
      <c r="E62" s="84" t="str">
        <f t="shared" si="2"/>
        <v>243</v>
      </c>
      <c r="F62" s="66" t="s">
        <v>30</v>
      </c>
      <c r="G62" s="67" t="str">
        <f>IFERROR(IF(VLOOKUP($E62,BDD!$A$1:$S$567,MATCH(G$10,BDD!$A$1:$P$1,0),FALSE)=0,"",VLOOKUP($E62,BDD!$A$1:$S$567,MATCH(G$10,BDD!$A$1:$P$1,0),FALSE)),"")</f>
        <v>Les processus juridiques, achats et RH sont anticipés afin de minimiser les temps d’exécution des initiatives d’innovation.</v>
      </c>
      <c r="H62" s="85" t="str">
        <f>IF(VLOOKUP(E62,BDD!$A$1:$S$567,15,FALSE)=0,"Critère non évalué","")</f>
        <v>Critère non évalué</v>
      </c>
      <c r="I62" s="66" t="str">
        <f>IFERROR(IF(VLOOKUP($E62,BDD!$A$1:$S$567,MATCH(I$10,BDD!$A$1:$P$1,0),FALSE)=0,"",VLOOKUP($E62,BDD!$A$1:$S$567,MATCH(I$10,BDD!$A$1:$P$1,0),FALSE)),"")</f>
        <v>N4</v>
      </c>
      <c r="J62" s="86"/>
      <c r="K62" s="67" t="str">
        <f>IFERROR(IF(VLOOKUP($E62,BDD!$A$1:$S$567,MATCH(K$10,BDD!$A$1:$P$1,0),FALSE)=0,"",VLOOKUP($E62,BDD!$A$1:$S$567,MATCH(K$10,BDD!$A$1:$P$1,0),FALSE)),"")</f>
        <v/>
      </c>
      <c r="L62" s="68"/>
      <c r="M62" s="87"/>
      <c r="N62" s="87"/>
      <c r="O62" s="68"/>
      <c r="P62" s="268"/>
    </row>
    <row r="63" spans="1:16" ht="130.05000000000001" customHeight="1" x14ac:dyDescent="0.3">
      <c r="A63" s="268"/>
      <c r="B63" s="68"/>
      <c r="C63" s="68" t="str">
        <f t="shared" si="0"/>
        <v>2</v>
      </c>
      <c r="D63" s="68">
        <f t="shared" si="1"/>
        <v>4</v>
      </c>
      <c r="E63" s="84" t="str">
        <f t="shared" si="2"/>
        <v>244</v>
      </c>
      <c r="F63" s="64" t="s">
        <v>32</v>
      </c>
      <c r="G63" s="65" t="str">
        <f>IFERROR(IF(VLOOKUP($E63,BDD!$A$1:$S$567,MATCH(G$10,BDD!$A$1:$P$1,0),FALSE)=0,"",VLOOKUP($E63,BDD!$A$1:$S$567,MATCH(G$10,BDD!$A$1:$P$1,0),FALSE)),"")</f>
        <v>L’innovation est prise en compte dans la gestion des ressources humaines et notamment à travers le plan de développement des compétences.</v>
      </c>
      <c r="H63" s="88" t="str">
        <f>IF(VLOOKUP(E63,BDD!$A$1:$S$567,15,FALSE)=0,"Critère non évalué","")</f>
        <v>Critère non évalué</v>
      </c>
      <c r="I63" s="64" t="str">
        <f>IFERROR(IF(VLOOKUP($E63,BDD!$A$1:$S$567,MATCH(I$10,BDD!$A$1:$P$1,0),FALSE)=0,"",VLOOKUP($E63,BDD!$A$1:$S$567,MATCH(I$10,BDD!$A$1:$P$1,0),FALSE)),"")</f>
        <v>N3</v>
      </c>
      <c r="J63" s="91"/>
      <c r="K63" s="65" t="str">
        <f>IFERROR(IF(VLOOKUP($E63,BDD!$A$1:$S$567,MATCH(K$10,BDD!$A$1:$P$1,0),FALSE)=0,"",VLOOKUP($E63,BDD!$A$1:$S$567,MATCH(K$10,BDD!$A$1:$P$1,0),FALSE)),"")</f>
        <v/>
      </c>
      <c r="L63" s="68"/>
      <c r="M63" s="90"/>
      <c r="N63" s="90"/>
      <c r="O63" s="68"/>
      <c r="P63" s="268"/>
    </row>
    <row r="64" spans="1:16" ht="130.05000000000001" customHeight="1" x14ac:dyDescent="0.3">
      <c r="A64" s="268"/>
      <c r="B64" s="68"/>
      <c r="C64" s="68" t="str">
        <f t="shared" si="0"/>
        <v>2</v>
      </c>
      <c r="D64" s="68">
        <f t="shared" si="1"/>
        <v>4</v>
      </c>
      <c r="E64" s="84" t="str">
        <f t="shared" si="2"/>
        <v>245</v>
      </c>
      <c r="F64" s="66" t="s">
        <v>33</v>
      </c>
      <c r="G64" s="67" t="str">
        <f>IFERROR(IF(VLOOKUP($E64,BDD!$A$1:$S$567,MATCH(G$10,BDD!$A$1:$P$1,0),FALSE)=0,"",VLOOKUP($E64,BDD!$A$1:$S$567,MATCH(G$10,BDD!$A$1:$P$1,0),FALSE)),"")</f>
        <v>L’organisation met en place et organise des partenariats avec son écosystème : établissements d’enseignement supérieur, incubateurs, pôles de compétitivité, associations, clubs, etc.</v>
      </c>
      <c r="H64" s="85" t="str">
        <f>IF(VLOOKUP(E64,BDD!$A$1:$S$567,15,FALSE)=0,"Critère non évalué","")</f>
        <v>Critère non évalué</v>
      </c>
      <c r="I64" s="66" t="str">
        <f>IFERROR(IF(VLOOKUP($E64,BDD!$A$1:$S$567,MATCH(I$10,BDD!$A$1:$P$1,0),FALSE)=0,"",VLOOKUP($E64,BDD!$A$1:$S$567,MATCH(I$10,BDD!$A$1:$P$1,0),FALSE)),"")</f>
        <v>N4</v>
      </c>
      <c r="J64" s="86"/>
      <c r="K64" s="67" t="str">
        <f>IFERROR(IF(VLOOKUP($E64,BDD!$A$1:$S$567,MATCH(K$10,BDD!$A$1:$P$1,0),FALSE)=0,"",VLOOKUP($E64,BDD!$A$1:$S$567,MATCH(K$10,BDD!$A$1:$P$1,0),FALSE)),"")</f>
        <v xml:space="preserve">• Ces partenariats permettent à l’organisation de développer l’esprit d’innovation et d’attirer les talents. Des dispositifs de co-innovation peuvent être mis en place (start-ups, start-ups studios, etc.).
• Cf. Open Innovation, réponse aux challenges de l’entreprise, Cigref, 2018 </v>
      </c>
      <c r="L64" s="68"/>
      <c r="M64" s="82"/>
      <c r="N64" s="82"/>
      <c r="O64" s="68"/>
      <c r="P64" s="268"/>
    </row>
    <row r="65" spans="1:16" ht="130.05000000000001" hidden="1" customHeight="1" x14ac:dyDescent="0.3">
      <c r="A65" s="268"/>
      <c r="B65" s="68"/>
      <c r="C65" s="68" t="str">
        <f t="shared" si="0"/>
        <v>2</v>
      </c>
      <c r="D65" s="68">
        <f t="shared" si="1"/>
        <v>4</v>
      </c>
      <c r="E65" s="84" t="str">
        <f t="shared" si="2"/>
        <v>246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xml:space="preserve"> </v>
      </c>
      <c r="J65" s="206"/>
      <c r="K65" s="96" t="str">
        <f>IFERROR(IF(VLOOKUP($E65,BDD!$A$1:$S$567,MATCH(K$10,BDD!$A$1:$P$1,0),FALSE)=0,"",VLOOKUP($E65,BDD!$A$1:$S$567,MATCH(K$10,BDD!$A$1:$P$1,0),FALSE)),"")</f>
        <v/>
      </c>
      <c r="L65" s="68"/>
      <c r="M65" s="90"/>
      <c r="N65" s="90"/>
      <c r="O65" s="68"/>
      <c r="P65" s="268"/>
    </row>
    <row r="66" spans="1:16" ht="130.05000000000001" hidden="1" customHeight="1" x14ac:dyDescent="0.3">
      <c r="A66" s="268"/>
      <c r="B66" s="68"/>
      <c r="C66" s="68" t="str">
        <f t="shared" si="0"/>
        <v>2</v>
      </c>
      <c r="D66" s="68">
        <f t="shared" si="1"/>
        <v>4</v>
      </c>
      <c r="E66" s="84" t="str">
        <f t="shared" si="2"/>
        <v>247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268"/>
    </row>
    <row r="67" spans="1:16" x14ac:dyDescent="0.3">
      <c r="A67" s="268"/>
      <c r="B67" s="68"/>
      <c r="C67" s="68" t="str">
        <f t="shared" si="0"/>
        <v>2</v>
      </c>
      <c r="D67" s="68">
        <f t="shared" si="1"/>
        <v>4</v>
      </c>
      <c r="E67" s="84" t="str">
        <f t="shared" si="2"/>
        <v>24</v>
      </c>
      <c r="F67" s="68"/>
      <c r="G67" s="68"/>
      <c r="H67" s="68"/>
      <c r="I67" s="68"/>
      <c r="J67" s="68"/>
      <c r="K67" s="68"/>
      <c r="L67" s="68"/>
      <c r="M67" s="68"/>
      <c r="N67" s="68"/>
      <c r="O67" s="68"/>
      <c r="P67" s="268"/>
    </row>
    <row r="68" spans="1:16" x14ac:dyDescent="0.3">
      <c r="A68" s="268"/>
      <c r="B68" s="68"/>
      <c r="C68" s="68" t="str">
        <f t="shared" si="0"/>
        <v>2</v>
      </c>
      <c r="D68" s="68"/>
      <c r="E68" s="84"/>
      <c r="F68" s="68"/>
      <c r="G68" s="68"/>
      <c r="H68" s="68"/>
      <c r="I68" s="68"/>
      <c r="J68" s="68"/>
      <c r="K68" s="68"/>
      <c r="L68" s="68"/>
      <c r="M68" s="68"/>
      <c r="N68" s="68"/>
      <c r="O68" s="68"/>
      <c r="P68" s="268"/>
    </row>
    <row r="69" spans="1:16" x14ac:dyDescent="0.3">
      <c r="A69" s="268"/>
      <c r="B69" s="68"/>
      <c r="C69" s="68" t="str">
        <f t="shared" si="0"/>
        <v>2</v>
      </c>
      <c r="D69" s="68"/>
      <c r="E69" s="84"/>
      <c r="F69" s="68"/>
      <c r="G69" s="68"/>
      <c r="H69" s="68"/>
      <c r="I69" s="68"/>
      <c r="J69" s="68"/>
      <c r="K69" s="68"/>
      <c r="L69" s="68"/>
      <c r="M69" s="68"/>
      <c r="N69" s="68"/>
      <c r="O69" s="68"/>
      <c r="P69" s="268"/>
    </row>
    <row r="70" spans="1:16" x14ac:dyDescent="0.3">
      <c r="A70" s="268"/>
      <c r="B70" s="68"/>
      <c r="C70" s="68" t="str">
        <f t="shared" ref="C70:C115" si="3">IF(LEFT(RIGHT($B$1,2),1)=" ",RIGHT($B$1,1),RIGHT($B$1,2))</f>
        <v>2</v>
      </c>
      <c r="D70" s="68"/>
      <c r="E70" s="84"/>
      <c r="F70" s="68"/>
      <c r="G70" s="68"/>
      <c r="H70" s="68"/>
      <c r="I70" s="68"/>
      <c r="J70" s="68"/>
      <c r="K70" s="68"/>
      <c r="L70" s="68"/>
      <c r="M70" s="68"/>
      <c r="N70" s="68"/>
      <c r="O70" s="68"/>
      <c r="P70" s="268"/>
    </row>
    <row r="71" spans="1:16" ht="25.8" x14ac:dyDescent="0.5">
      <c r="A71" s="296"/>
      <c r="B71" s="74"/>
      <c r="C71" s="68" t="str">
        <f t="shared" si="3"/>
        <v>2</v>
      </c>
      <c r="D71" s="68">
        <f>IF(LEFT(F71,14)="Bonne pratique",D67+1,D67)</f>
        <v>5</v>
      </c>
      <c r="E71" s="84" t="str">
        <f t="shared" si="2"/>
        <v>255</v>
      </c>
      <c r="F71" s="208" t="s">
        <v>503</v>
      </c>
      <c r="G71" s="75"/>
      <c r="H71" s="205"/>
      <c r="I71" s="73"/>
      <c r="J71" s="73" t="str">
        <f>VLOOKUP(E78,BDD!$A$2:$N$567,6,FALSE)</f>
        <v>Performance</v>
      </c>
      <c r="K71" s="72"/>
      <c r="L71" s="75"/>
      <c r="M71" s="75"/>
      <c r="N71" s="75"/>
      <c r="O71" s="74"/>
      <c r="P71" s="296"/>
    </row>
    <row r="72" spans="1:16" x14ac:dyDescent="0.3">
      <c r="A72" s="268"/>
      <c r="B72" s="68"/>
      <c r="C72" s="68" t="str">
        <f t="shared" si="3"/>
        <v>2</v>
      </c>
      <c r="D72" s="68">
        <f t="shared" ref="D72:D84" si="4">IF(LEFT(F72,14)="Bonne pratique",D71+1,D71)</f>
        <v>5</v>
      </c>
      <c r="E72" s="84" t="str">
        <f t="shared" si="2"/>
        <v>25</v>
      </c>
      <c r="F72" s="68"/>
      <c r="G72" s="68"/>
      <c r="H72" s="68"/>
      <c r="I72" s="68"/>
      <c r="J72" s="68"/>
      <c r="K72" s="68"/>
      <c r="L72" s="68"/>
      <c r="M72" s="68"/>
      <c r="N72" s="68"/>
      <c r="O72" s="68"/>
      <c r="P72" s="268"/>
    </row>
    <row r="73" spans="1:16" ht="18" x14ac:dyDescent="0.35">
      <c r="A73" s="297"/>
      <c r="B73" s="76"/>
      <c r="C73" s="68" t="str">
        <f t="shared" si="3"/>
        <v>2</v>
      </c>
      <c r="D73" s="68">
        <f t="shared" si="4"/>
        <v>5</v>
      </c>
      <c r="E73" s="84" t="str">
        <f t="shared" si="2"/>
        <v>25</v>
      </c>
      <c r="F73" s="76"/>
      <c r="G73" s="76"/>
      <c r="H73" s="76"/>
      <c r="I73" s="77"/>
      <c r="J73" s="207" t="str">
        <f>IFERROR(_xlfn.TEXTBEFORE(VLOOKUP(E78,BDD!$A$2:$N$567,7,FALSE)," ",30),VLOOKUP(E78,BDD!$A$2:$N$567,7,FALSE))</f>
        <v>La performance du processus d'innovation fait l’objet d’un suivi dans une logique d'amélioration continue.</v>
      </c>
      <c r="K73" s="77"/>
      <c r="L73" s="76"/>
      <c r="M73" s="76"/>
      <c r="N73" s="76"/>
      <c r="O73" s="76"/>
      <c r="P73" s="297"/>
    </row>
    <row r="74" spans="1:16" ht="18" x14ac:dyDescent="0.35">
      <c r="A74" s="268"/>
      <c r="B74" s="68"/>
      <c r="C74" s="68" t="str">
        <f t="shared" si="3"/>
        <v>2</v>
      </c>
      <c r="D74" s="68">
        <f t="shared" si="4"/>
        <v>5</v>
      </c>
      <c r="E74" s="84" t="str">
        <f t="shared" si="2"/>
        <v>25</v>
      </c>
      <c r="F74" s="68"/>
      <c r="G74" s="68"/>
      <c r="H74" s="68"/>
      <c r="I74" s="68"/>
      <c r="J74" s="207" t="str">
        <f>IFERROR(_xlfn.TEXTAFTER(VLOOKUP(E78,BDD!$A$2:$N$567,7,FALSE)," ",30),"")</f>
        <v/>
      </c>
      <c r="K74" s="68"/>
      <c r="L74" s="68"/>
      <c r="M74" s="68"/>
      <c r="N74" s="68"/>
      <c r="O74" s="68"/>
      <c r="P74" s="268"/>
    </row>
    <row r="75" spans="1:16" x14ac:dyDescent="0.3">
      <c r="A75" s="268"/>
      <c r="B75" s="68"/>
      <c r="C75" s="68" t="str">
        <f t="shared" si="3"/>
        <v>2</v>
      </c>
      <c r="D75" s="68">
        <f t="shared" si="4"/>
        <v>5</v>
      </c>
      <c r="E75" s="84" t="str">
        <f t="shared" si="2"/>
        <v>25</v>
      </c>
      <c r="F75" s="68"/>
      <c r="G75" s="68"/>
      <c r="H75" s="68"/>
      <c r="I75" s="68"/>
      <c r="J75" s="78"/>
      <c r="K75" s="68"/>
      <c r="L75" s="68"/>
      <c r="M75" s="619" t="s">
        <v>92</v>
      </c>
      <c r="N75" s="619"/>
      <c r="O75" s="68"/>
      <c r="P75" s="268"/>
    </row>
    <row r="76" spans="1:16" ht="33" x14ac:dyDescent="0.3">
      <c r="A76" s="268"/>
      <c r="B76" s="68"/>
      <c r="C76" s="68" t="str">
        <f t="shared" si="3"/>
        <v>2</v>
      </c>
      <c r="D76" s="68">
        <f t="shared" si="4"/>
        <v>5</v>
      </c>
      <c r="E76" s="84" t="str">
        <f t="shared" si="2"/>
        <v>25</v>
      </c>
      <c r="F76" s="93"/>
      <c r="G76" s="80" t="s">
        <v>561</v>
      </c>
      <c r="H76" s="80" t="s">
        <v>82</v>
      </c>
      <c r="I76" s="80" t="s">
        <v>83</v>
      </c>
      <c r="J76" s="80" t="s">
        <v>84</v>
      </c>
      <c r="K76" s="80" t="s">
        <v>85</v>
      </c>
      <c r="L76" s="78"/>
      <c r="M76" s="81" t="s">
        <v>86</v>
      </c>
      <c r="N76" s="82" t="s">
        <v>87</v>
      </c>
      <c r="O76" s="68"/>
      <c r="P76" s="268"/>
    </row>
    <row r="77" spans="1:16" x14ac:dyDescent="0.3">
      <c r="A77" s="268"/>
      <c r="B77" s="68"/>
      <c r="C77" s="68" t="str">
        <f t="shared" si="3"/>
        <v>2</v>
      </c>
      <c r="D77" s="68">
        <f t="shared" si="4"/>
        <v>5</v>
      </c>
      <c r="E77" s="84" t="str">
        <f t="shared" si="2"/>
        <v>25</v>
      </c>
      <c r="F77" s="68"/>
      <c r="G77" s="83"/>
      <c r="H77" s="83"/>
      <c r="I77" s="83"/>
      <c r="J77" s="68"/>
      <c r="K77" s="83"/>
      <c r="L77" s="68"/>
      <c r="M77" s="68"/>
      <c r="N77" s="68"/>
      <c r="O77" s="68"/>
      <c r="P77" s="268"/>
    </row>
    <row r="78" spans="1:16" ht="130.05000000000001" customHeight="1" x14ac:dyDescent="0.3">
      <c r="A78" s="268"/>
      <c r="B78" s="68"/>
      <c r="C78" s="68" t="str">
        <f t="shared" si="3"/>
        <v>2</v>
      </c>
      <c r="D78" s="68">
        <f t="shared" si="4"/>
        <v>5</v>
      </c>
      <c r="E78" s="84" t="str">
        <f t="shared" si="2"/>
        <v>251</v>
      </c>
      <c r="F78" s="66" t="s">
        <v>27</v>
      </c>
      <c r="G78" s="67" t="str">
        <f>IFERROR(IF(VLOOKUP($E78,BDD!$A$1:$S$567,MATCH(G$10,BDD!$A$1:$P$1,0),FALSE)=0,"",VLOOKUP($E78,BDD!$A$1:$S$567,MATCH(G$10,BDD!$A$1:$P$1,0),FALSE)),"")</f>
        <v>Des critères d’évaluation de l’efficacité du processus d'innovation sont définis, en lien avec les besoins de performance de l’organisation.</v>
      </c>
      <c r="H78" s="85" t="str">
        <f>IF(VLOOKUP(E78,BDD!$A$1:$S$567,15,FALSE)=0,"Critère non évalué","")</f>
        <v>Critère non évalué</v>
      </c>
      <c r="I78" s="66" t="str">
        <f>IFERROR(IF(VLOOKUP($E78,BDD!$A$1:$S$567,MATCH(I$10,BDD!$A$1:$P$1,0),FALSE)=0,"",VLOOKUP($E78,BDD!$A$1:$S$567,MATCH(I$10,BDD!$A$1:$P$1,0),FALSE)),"")</f>
        <v>N2</v>
      </c>
      <c r="J78" s="86"/>
      <c r="K78" s="67" t="str">
        <f>IFERROR(IF(VLOOKUP($E78,BDD!$A$1:$S$567,MATCH(K$10,BDD!$A$1:$P$1,0),FALSE)=0,"",VLOOKUP($E78,BDD!$A$1:$S$567,MATCH(K$10,BDD!$A$1:$P$1,0),FALSE)),"")</f>
        <v>• Les critères d’évaluation de l’efficacité du processus d’innovation couvrent à la fois des dimensions quantitatives (coûts, ressources, délais, performance) et qualitatives (pertinence, satisfaction, appropriation). Ils sont définis sur une échelle de temps adaptée au rythme d’adoption des innovations.</v>
      </c>
      <c r="L78" s="68"/>
      <c r="M78" s="87"/>
      <c r="N78" s="87"/>
      <c r="O78" s="68"/>
      <c r="P78" s="268"/>
    </row>
    <row r="79" spans="1:16" ht="130.05000000000001" customHeight="1" x14ac:dyDescent="0.3">
      <c r="A79" s="268"/>
      <c r="B79" s="68"/>
      <c r="C79" s="68" t="str">
        <f t="shared" si="3"/>
        <v>2</v>
      </c>
      <c r="D79" s="68">
        <f t="shared" si="4"/>
        <v>5</v>
      </c>
      <c r="E79" s="84" t="str">
        <f t="shared" si="2"/>
        <v>252</v>
      </c>
      <c r="F79" s="94" t="s">
        <v>28</v>
      </c>
      <c r="G79" s="65" t="str">
        <f>IFERROR(IF(VLOOKUP($E79,BDD!$A$1:$S$567,MATCH(G$10,BDD!$A$1:$P$1,0),FALSE)=0,"",VLOOKUP($E79,BDD!$A$1:$S$567,MATCH(G$10,BDD!$A$1:$P$1,0),FALSE)),"")</f>
        <v>Une part significative du portefeuille des projets informatiques est porteuse d’innovation et cette part est régulièrement évaluée.</v>
      </c>
      <c r="H79" s="88" t="str">
        <f>IF(VLOOKUP(E79,BDD!$A$1:$S$567,15,FALSE)=0,"Critère non évalué","")</f>
        <v>Critère non évalué</v>
      </c>
      <c r="I79" s="64" t="str">
        <f>IFERROR(IF(VLOOKUP($E79,BDD!$A$1:$S$567,MATCH(I$10,BDD!$A$1:$P$1,0),FALSE)=0,"",VLOOKUP($E79,BDD!$A$1:$S$567,MATCH(I$10,BDD!$A$1:$P$1,0),FALSE)),"")</f>
        <v>N4</v>
      </c>
      <c r="J79" s="89"/>
      <c r="K79" s="65" t="str">
        <f>IFERROR(IF(VLOOKUP($E79,BDD!$A$1:$S$567,MATCH(K$10,BDD!$A$1:$P$1,0),FALSE)=0,"",VLOOKUP($E79,BDD!$A$1:$S$567,MATCH(K$10,BDD!$A$1:$P$1,0),FALSE)),"")</f>
        <v/>
      </c>
      <c r="L79" s="68"/>
      <c r="M79" s="90"/>
      <c r="N79" s="90"/>
      <c r="O79" s="68"/>
      <c r="P79" s="268"/>
    </row>
    <row r="80" spans="1:16" ht="130.05000000000001" customHeight="1" x14ac:dyDescent="0.3">
      <c r="A80" s="268"/>
      <c r="B80" s="68"/>
      <c r="C80" s="68" t="str">
        <f t="shared" si="3"/>
        <v>2</v>
      </c>
      <c r="D80" s="68">
        <f t="shared" si="4"/>
        <v>5</v>
      </c>
      <c r="E80" s="84" t="str">
        <f t="shared" si="2"/>
        <v>253</v>
      </c>
      <c r="F80" s="66" t="s">
        <v>30</v>
      </c>
      <c r="G80" s="67" t="str">
        <f>IFERROR(IF(VLOOKUP($E80,BDD!$A$1:$S$567,MATCH(G$10,BDD!$A$1:$P$1,0),FALSE)=0,"",VLOOKUP($E80,BDD!$A$1:$S$567,MATCH(G$10,BDD!$A$1:$P$1,0),FALSE)),"")</f>
        <v>Les différents critères d’évaluation font l’objet d’une revue par la direction générale.</v>
      </c>
      <c r="H80" s="85" t="str">
        <f>IF(VLOOKUP(E80,BDD!$A$1:$S$567,15,FALSE)=0,"Critère non évalué","")</f>
        <v>Critère non évalué</v>
      </c>
      <c r="I80" s="66" t="str">
        <f>IFERROR(IF(VLOOKUP($E80,BDD!$A$1:$S$567,MATCH(I$10,BDD!$A$1:$P$1,0),FALSE)=0,"",VLOOKUP($E80,BDD!$A$1:$S$567,MATCH(I$10,BDD!$A$1:$P$1,0),FALSE)),"")</f>
        <v>N3</v>
      </c>
      <c r="J80" s="86"/>
      <c r="K80" s="67" t="str">
        <f>IFERROR(IF(VLOOKUP($E80,BDD!$A$1:$S$567,MATCH(K$10,BDD!$A$1:$P$1,0),FALSE)=0,"",VLOOKUP($E80,BDD!$A$1:$S$567,MATCH(K$10,BDD!$A$1:$P$1,0),FALSE)),"")</f>
        <v/>
      </c>
      <c r="L80" s="68"/>
      <c r="M80" s="87"/>
      <c r="N80" s="87"/>
      <c r="O80" s="68"/>
      <c r="P80" s="268"/>
    </row>
    <row r="81" spans="1:16" ht="130.05000000000001" customHeight="1" x14ac:dyDescent="0.3">
      <c r="A81" s="268"/>
      <c r="B81" s="68"/>
      <c r="C81" s="68" t="str">
        <f t="shared" si="3"/>
        <v>2</v>
      </c>
      <c r="D81" s="68">
        <f t="shared" si="4"/>
        <v>5</v>
      </c>
      <c r="E81" s="84" t="str">
        <f t="shared" si="2"/>
        <v>254</v>
      </c>
      <c r="F81" s="64" t="s">
        <v>32</v>
      </c>
      <c r="G81" s="96" t="str">
        <f>IFERROR(IF(VLOOKUP($E81,BDD!$A$1:$S$567,MATCH(G$10,BDD!$A$1:$P$1,0),FALSE)=0,"",VLOOKUP($E81,BDD!$A$1:$S$567,MATCH(G$10,BDD!$A$1:$P$1,0),FALSE)),"")</f>
        <v>Les résultats de ces  évaluations donnent lieu à une évolution régulière du processus d’innovation visant à l'amélioration continue.</v>
      </c>
      <c r="H81" s="210" t="str">
        <f>IF(VLOOKUP(E81,BDD!$A$1:$S$567,15,FALSE)=0,"Critère non évalué","")</f>
        <v>Critère non évalué</v>
      </c>
      <c r="I81" s="64" t="str">
        <f>IFERROR(IF(VLOOKUP($E81,BDD!$A$1:$S$567,MATCH(I$10,BDD!$A$1:$P$1,0),FALSE)=0,"",VLOOKUP($E81,BDD!$A$1:$S$567,MATCH(I$10,BDD!$A$1:$P$1,0),FALSE)),"")</f>
        <v>N5</v>
      </c>
      <c r="J81" s="95"/>
      <c r="K81" s="96" t="str">
        <f>IFERROR(IF(VLOOKUP($E81,BDD!$A$1:$S$567,MATCH(K$10,BDD!$A$1:$P$1,0),FALSE)=0,"",VLOOKUP($E81,BDD!$A$1:$S$567,MATCH(K$10,BDD!$A$1:$P$1,0),FALSE)),"")</f>
        <v/>
      </c>
      <c r="L81" s="68"/>
      <c r="M81" s="90"/>
      <c r="N81" s="90"/>
      <c r="O81" s="68"/>
      <c r="P81" s="268"/>
    </row>
    <row r="82" spans="1:16" ht="130.05000000000001" hidden="1" customHeight="1" x14ac:dyDescent="0.3">
      <c r="A82" s="268"/>
      <c r="B82" s="68"/>
      <c r="C82" s="68" t="str">
        <f t="shared" si="3"/>
        <v>2</v>
      </c>
      <c r="D82" s="68">
        <f t="shared" si="4"/>
        <v>5</v>
      </c>
      <c r="E82" s="84" t="str">
        <f t="shared" si="2"/>
        <v>255</v>
      </c>
      <c r="F82" s="66" t="s">
        <v>33</v>
      </c>
      <c r="G82" s="67" t="str">
        <f>IFERROR(IF(VLOOKUP($E82,BDD!$A$1:$S$567,MATCH(G$10,BDD!$A$1:$P$1,0),FALSE)=0,"",VLOOKUP($E82,BDD!$A$1:$S$567,MATCH(G$10,BDD!$A$1:$P$1,0),FALSE)),"")</f>
        <v/>
      </c>
      <c r="H82" s="85" t="str">
        <f>IF(VLOOKUP(E82,BDD!$A$1:$S$567,15,FALSE)=0,"Critère non évalué","")</f>
        <v>Critère non évalué</v>
      </c>
      <c r="I82" s="66" t="str">
        <f>IFERROR(IF(VLOOKUP($E82,BDD!$A$1:$S$567,MATCH(I$10,BDD!$A$1:$P$1,0),FALSE)=0,"",VLOOKUP($E82,BDD!$A$1:$S$567,MATCH(I$10,BDD!$A$1:$P$1,0),FALSE)),"")</f>
        <v xml:space="preserve"> </v>
      </c>
      <c r="J82" s="86"/>
      <c r="K82" s="67" t="str">
        <f>IFERROR(IF(VLOOKUP($E82,BDD!$A$1:$S$567,MATCH(K$10,BDD!$A$1:$P$1,0),FALSE)=0,"",VLOOKUP($E82,BDD!$A$1:$S$567,MATCH(K$10,BDD!$A$1:$P$1,0),FALSE)),"")</f>
        <v/>
      </c>
      <c r="L82" s="68"/>
      <c r="M82" s="82"/>
      <c r="N82" s="82"/>
      <c r="O82" s="68"/>
      <c r="P82" s="268"/>
    </row>
    <row r="83" spans="1:16" ht="130.05000000000001" hidden="1" customHeight="1" x14ac:dyDescent="0.3">
      <c r="A83" s="268"/>
      <c r="B83" s="68"/>
      <c r="C83" s="68" t="str">
        <f t="shared" si="3"/>
        <v>2</v>
      </c>
      <c r="D83" s="68">
        <f t="shared" si="4"/>
        <v>5</v>
      </c>
      <c r="E83" s="84" t="str">
        <f>C83&amp;D83&amp;RIGHT(F83,1)</f>
        <v>256</v>
      </c>
      <c r="F83" s="64" t="s">
        <v>34</v>
      </c>
      <c r="G83" s="65" t="str">
        <f>IFERROR(IF(VLOOKUP($E83,BDD!$A$1:$S$567,MATCH(G$10,BDD!$A$1:$P$1,0),FALSE)=0,"",VLOOKUP($E83,BDD!$A$1:$S$567,MATCH(G$10,BDD!$A$1:$P$1,0),FALSE)),"")</f>
        <v/>
      </c>
      <c r="H83" s="88" t="str">
        <f>IF(VLOOKUP(E83,BDD!$A$1:$S$567,15,FALSE)=0,"Critère non évalué","")</f>
        <v>Critère non évalué</v>
      </c>
      <c r="I83" s="64" t="str">
        <f>IFERROR(IF(VLOOKUP($E83,BDD!$A$1:$S$567,MATCH(I$10,BDD!$A$1:$P$1,0),FALSE)=0,"",VLOOKUP($E83,BDD!$A$1:$S$567,MATCH(I$10,BDD!$A$1:$P$1,0),FALSE)),"")</f>
        <v xml:space="preserve"> </v>
      </c>
      <c r="J83" s="91"/>
      <c r="K83" s="65" t="str">
        <f>IFERROR(IF(VLOOKUP($E83,BDD!$A$1:$S$567,MATCH(K$10,BDD!$A$1:$P$1,0),FALSE)=0,"",VLOOKUP($E83,BDD!$A$1:$S$567,MATCH(K$10,BDD!$A$1:$P$1,0),FALSE)),"")</f>
        <v/>
      </c>
      <c r="L83" s="68"/>
      <c r="M83" s="90"/>
      <c r="N83" s="90"/>
      <c r="O83" s="68"/>
      <c r="P83" s="268"/>
    </row>
    <row r="84" spans="1:16" ht="130.05000000000001" hidden="1" customHeight="1" x14ac:dyDescent="0.3">
      <c r="A84" s="268"/>
      <c r="B84" s="68"/>
      <c r="C84" s="68" t="str">
        <f t="shared" si="3"/>
        <v>2</v>
      </c>
      <c r="D84" s="68">
        <f t="shared" si="4"/>
        <v>5</v>
      </c>
      <c r="E84" s="84" t="str">
        <f>C84&amp;D84&amp;RIGHT(F84,1)</f>
        <v>257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268"/>
    </row>
    <row r="85" spans="1:16" x14ac:dyDescent="0.3">
      <c r="A85" s="268"/>
      <c r="B85" s="68"/>
      <c r="C85" s="68" t="str">
        <f t="shared" si="3"/>
        <v>2</v>
      </c>
      <c r="D85" s="68"/>
      <c r="E85" s="68"/>
      <c r="F85" s="68"/>
      <c r="G85" s="68"/>
      <c r="H85" s="68"/>
      <c r="I85" s="68"/>
      <c r="J85" s="68"/>
      <c r="K85" s="68"/>
      <c r="L85" s="68"/>
      <c r="M85" s="68"/>
      <c r="N85" s="68"/>
      <c r="O85" s="68"/>
      <c r="P85" s="268"/>
    </row>
    <row r="86" spans="1:16" x14ac:dyDescent="0.3">
      <c r="A86" s="268"/>
      <c r="B86" s="68"/>
      <c r="C86" s="68" t="str">
        <f t="shared" si="3"/>
        <v>2</v>
      </c>
      <c r="D86" s="68"/>
      <c r="E86" s="68"/>
      <c r="F86" s="68"/>
      <c r="G86" s="68"/>
      <c r="H86" s="68"/>
      <c r="I86" s="68"/>
      <c r="J86" s="68"/>
      <c r="K86" s="68"/>
      <c r="L86" s="68"/>
      <c r="M86" s="68"/>
      <c r="N86" s="68"/>
      <c r="O86" s="68"/>
      <c r="P86" s="268"/>
    </row>
    <row r="87" spans="1:16" ht="25.8" x14ac:dyDescent="0.5">
      <c r="A87" s="296"/>
      <c r="B87" s="74"/>
      <c r="C87" s="68" t="str">
        <f t="shared" si="3"/>
        <v>2</v>
      </c>
      <c r="D87" s="68">
        <f>IF(LEFT(F87,14)="Bonne pratique",D83+1,D83)</f>
        <v>6</v>
      </c>
      <c r="E87" s="84" t="str">
        <f t="shared" ref="E87:E100" si="5">C87&amp;D87&amp;RIGHT(F87,1)</f>
        <v>266</v>
      </c>
      <c r="F87" s="208" t="s">
        <v>556</v>
      </c>
      <c r="G87" s="75"/>
      <c r="H87" s="205"/>
      <c r="I87" s="73"/>
      <c r="J87" s="73" t="str">
        <f>VLOOKUP(E94,BDD!$A$2:$N$567,6,FALSE)</f>
        <v>Communication</v>
      </c>
      <c r="K87" s="72"/>
      <c r="L87" s="75"/>
      <c r="M87" s="75"/>
      <c r="N87" s="75"/>
      <c r="O87" s="74"/>
      <c r="P87" s="296"/>
    </row>
    <row r="88" spans="1:16" x14ac:dyDescent="0.3">
      <c r="A88" s="268"/>
      <c r="B88" s="68"/>
      <c r="C88" s="68" t="str">
        <f t="shared" si="3"/>
        <v>2</v>
      </c>
      <c r="D88" s="68">
        <f t="shared" ref="D88:D100" si="6">IF(LEFT(F88,14)="Bonne pratique",D87+1,D87)</f>
        <v>6</v>
      </c>
      <c r="E88" s="84" t="str">
        <f t="shared" si="5"/>
        <v>26</v>
      </c>
      <c r="F88" s="68"/>
      <c r="G88" s="68"/>
      <c r="H88" s="68"/>
      <c r="I88" s="68"/>
      <c r="J88" s="68"/>
      <c r="K88" s="68"/>
      <c r="L88" s="68"/>
      <c r="M88" s="68"/>
      <c r="N88" s="68"/>
      <c r="O88" s="68"/>
      <c r="P88" s="268"/>
    </row>
    <row r="89" spans="1:16" ht="18" x14ac:dyDescent="0.35">
      <c r="A89" s="297"/>
      <c r="B89" s="76"/>
      <c r="C89" s="68" t="str">
        <f t="shared" si="3"/>
        <v>2</v>
      </c>
      <c r="D89" s="68">
        <f t="shared" si="6"/>
        <v>6</v>
      </c>
      <c r="E89" s="84" t="str">
        <f t="shared" si="5"/>
        <v>26</v>
      </c>
      <c r="F89" s="76"/>
      <c r="G89" s="76"/>
      <c r="H89" s="76"/>
      <c r="I89" s="77"/>
      <c r="J89" s="207" t="str">
        <f>IFERROR(_xlfn.TEXTBEFORE(VLOOKUP(E94,BDD!$A$2:$N$567,7,FALSE)," ",30),VLOOKUP(E94,BDD!$A$2:$N$567,7,FALSE))</f>
        <v>L’innovation fait l’objet d’une communication clairement définie.</v>
      </c>
      <c r="K89" s="77"/>
      <c r="L89" s="76"/>
      <c r="M89" s="76"/>
      <c r="N89" s="76"/>
      <c r="O89" s="76"/>
      <c r="P89" s="297"/>
    </row>
    <row r="90" spans="1:16" ht="18" x14ac:dyDescent="0.35">
      <c r="A90" s="268"/>
      <c r="B90" s="68"/>
      <c r="C90" s="68" t="str">
        <f t="shared" si="3"/>
        <v>2</v>
      </c>
      <c r="D90" s="68">
        <f t="shared" si="6"/>
        <v>6</v>
      </c>
      <c r="E90" s="84" t="str">
        <f t="shared" si="5"/>
        <v>26</v>
      </c>
      <c r="F90" s="68"/>
      <c r="G90" s="68"/>
      <c r="H90" s="68"/>
      <c r="I90" s="68"/>
      <c r="J90" s="207" t="str">
        <f>IFERROR(_xlfn.TEXTAFTER(VLOOKUP(E94,BDD!$A$2:$N$567,7,FALSE)," ",30),"")</f>
        <v/>
      </c>
      <c r="K90" s="68"/>
      <c r="L90" s="68"/>
      <c r="M90" s="68"/>
      <c r="N90" s="68"/>
      <c r="O90" s="68"/>
      <c r="P90" s="268"/>
    </row>
    <row r="91" spans="1:16" x14ac:dyDescent="0.3">
      <c r="A91" s="268"/>
      <c r="B91" s="68"/>
      <c r="C91" s="68" t="str">
        <f t="shared" si="3"/>
        <v>2</v>
      </c>
      <c r="D91" s="68">
        <f t="shared" si="6"/>
        <v>6</v>
      </c>
      <c r="E91" s="84" t="str">
        <f t="shared" si="5"/>
        <v>26</v>
      </c>
      <c r="F91" s="68"/>
      <c r="G91" s="68"/>
      <c r="H91" s="68"/>
      <c r="I91" s="68"/>
      <c r="J91" s="78"/>
      <c r="K91" s="68"/>
      <c r="L91" s="68"/>
      <c r="M91" s="619" t="s">
        <v>92</v>
      </c>
      <c r="N91" s="619"/>
      <c r="O91" s="68"/>
      <c r="P91" s="268"/>
    </row>
    <row r="92" spans="1:16" ht="33" x14ac:dyDescent="0.3">
      <c r="A92" s="268"/>
      <c r="B92" s="68"/>
      <c r="C92" s="68" t="str">
        <f t="shared" si="3"/>
        <v>2</v>
      </c>
      <c r="D92" s="68">
        <f t="shared" si="6"/>
        <v>6</v>
      </c>
      <c r="E92" s="84" t="str">
        <f t="shared" si="5"/>
        <v>26</v>
      </c>
      <c r="F92" s="93"/>
      <c r="G92" s="80" t="s">
        <v>561</v>
      </c>
      <c r="H92" s="80" t="s">
        <v>82</v>
      </c>
      <c r="I92" s="80" t="s">
        <v>83</v>
      </c>
      <c r="J92" s="80" t="s">
        <v>84</v>
      </c>
      <c r="K92" s="80" t="s">
        <v>85</v>
      </c>
      <c r="L92" s="78"/>
      <c r="M92" s="81" t="s">
        <v>86</v>
      </c>
      <c r="N92" s="82" t="s">
        <v>87</v>
      </c>
      <c r="O92" s="68"/>
      <c r="P92" s="268"/>
    </row>
    <row r="93" spans="1:16" x14ac:dyDescent="0.3">
      <c r="A93" s="268"/>
      <c r="B93" s="68"/>
      <c r="C93" s="68" t="str">
        <f t="shared" si="3"/>
        <v>2</v>
      </c>
      <c r="D93" s="68">
        <f t="shared" si="6"/>
        <v>6</v>
      </c>
      <c r="E93" s="84" t="str">
        <f t="shared" si="5"/>
        <v>26</v>
      </c>
      <c r="F93" s="68"/>
      <c r="G93" s="83"/>
      <c r="H93" s="83"/>
      <c r="I93" s="83"/>
      <c r="J93" s="68"/>
      <c r="K93" s="83"/>
      <c r="L93" s="68"/>
      <c r="M93" s="68"/>
      <c r="N93" s="68"/>
      <c r="O93" s="68"/>
      <c r="P93" s="268"/>
    </row>
    <row r="94" spans="1:16" ht="130.05000000000001" customHeight="1" x14ac:dyDescent="0.3">
      <c r="A94" s="268"/>
      <c r="B94" s="68"/>
      <c r="C94" s="68" t="str">
        <f t="shared" si="3"/>
        <v>2</v>
      </c>
      <c r="D94" s="68">
        <f t="shared" si="6"/>
        <v>6</v>
      </c>
      <c r="E94" s="84" t="str">
        <f t="shared" si="5"/>
        <v>261</v>
      </c>
      <c r="F94" s="66" t="s">
        <v>27</v>
      </c>
      <c r="G94" s="67" t="str">
        <f>IFERROR(IF(VLOOKUP($E94,BDD!$A$1:$S$567,MATCH(G$10,BDD!$A$1:$P$1,0),FALSE)=0,"",VLOOKUP($E94,BDD!$A$1:$S$567,MATCH(G$10,BDD!$A$1:$P$1,0),FALSE)),"")</f>
        <v>Les enjeux et la population cible de la communication sur l'innovation sont explicitement définis. </v>
      </c>
      <c r="H94" s="85" t="str">
        <f>IF(VLOOKUP(E94,BDD!$A$1:$S$567,15,FALSE)=0,"Critère non évalué","")</f>
        <v>Critère non évalué</v>
      </c>
      <c r="I94" s="66" t="str">
        <f>IFERROR(IF(VLOOKUP($E94,BDD!$A$1:$S$567,MATCH(I$10,BDD!$A$1:$P$1,0),FALSE)=0,"",VLOOKUP($E94,BDD!$A$1:$S$567,MATCH(I$10,BDD!$A$1:$P$1,0),FALSE)),"")</f>
        <v>N2</v>
      </c>
      <c r="J94" s="86"/>
      <c r="K94" s="67" t="str">
        <f>IFERROR(IF(VLOOKUP($E94,BDD!$A$1:$S$567,MATCH(K$10,BDD!$A$1:$P$1,0),FALSE)=0,"",VLOOKUP($E94,BDD!$A$1:$S$567,MATCH(K$10,BDD!$A$1:$P$1,0),FALSE)),"")</f>
        <v/>
      </c>
      <c r="L94" s="68"/>
      <c r="M94" s="87"/>
      <c r="N94" s="87"/>
      <c r="O94" s="68"/>
      <c r="P94" s="268"/>
    </row>
    <row r="95" spans="1:16" ht="130.05000000000001" customHeight="1" x14ac:dyDescent="0.3">
      <c r="A95" s="268"/>
      <c r="B95" s="68"/>
      <c r="C95" s="68" t="str">
        <f t="shared" si="3"/>
        <v>2</v>
      </c>
      <c r="D95" s="68">
        <f t="shared" si="6"/>
        <v>6</v>
      </c>
      <c r="E95" s="84" t="str">
        <f t="shared" si="5"/>
        <v>262</v>
      </c>
      <c r="F95" s="94" t="s">
        <v>28</v>
      </c>
      <c r="G95" s="65" t="str">
        <f>IFERROR(IF(VLOOKUP($E95,BDD!$A$1:$S$567,MATCH(G$10,BDD!$A$1:$P$1,0),FALSE)=0,"",VLOOKUP($E95,BDD!$A$1:$S$567,MATCH(G$10,BDD!$A$1:$P$1,0),FALSE)),"")</f>
        <v>La communication de l’innovation est structurée selon un plan de communication interne et externe. Les actions sont relayées et les acteurs mis en avant. Cette communication est effectuée au niveau des services et des directions.</v>
      </c>
      <c r="H95" s="88" t="str">
        <f>IF(VLOOKUP(E95,BDD!$A$1:$S$567,15,FALSE)=0,"Critère non évalué","")</f>
        <v>Critère non évalué</v>
      </c>
      <c r="I95" s="64" t="str">
        <f>IFERROR(IF(VLOOKUP($E95,BDD!$A$1:$S$567,MATCH(I$10,BDD!$A$1:$P$1,0),FALSE)=0,"",VLOOKUP($E95,BDD!$A$1:$S$567,MATCH(I$10,BDD!$A$1:$P$1,0),FALSE)),"")</f>
        <v>N3</v>
      </c>
      <c r="J95" s="89"/>
      <c r="K95" s="65" t="str">
        <f>IFERROR(IF(VLOOKUP($E95,BDD!$A$1:$S$567,MATCH(K$10,BDD!$A$1:$P$1,0),FALSE)=0,"",VLOOKUP($E95,BDD!$A$1:$S$567,MATCH(K$10,BDD!$A$1:$P$1,0),FALSE)),"")</f>
        <v xml:space="preserve">• Cette communication est établie entre les différents acteurs, coordonnée par la direction de la communication de l’organisation.
• Le périmètre de communication prend en compte la stratégie de l'organisation et l'impact de cette communication sur l'image de l'organisation. </v>
      </c>
      <c r="L95" s="68"/>
      <c r="M95" s="90"/>
      <c r="N95" s="90"/>
      <c r="O95" s="68"/>
      <c r="P95" s="268"/>
    </row>
    <row r="96" spans="1:16" ht="130.05000000000001" customHeight="1" x14ac:dyDescent="0.3">
      <c r="A96" s="268"/>
      <c r="B96" s="68"/>
      <c r="C96" s="68" t="str">
        <f t="shared" si="3"/>
        <v>2</v>
      </c>
      <c r="D96" s="68">
        <f t="shared" si="6"/>
        <v>6</v>
      </c>
      <c r="E96" s="84" t="str">
        <f t="shared" si="5"/>
        <v>263</v>
      </c>
      <c r="F96" s="66" t="s">
        <v>30</v>
      </c>
      <c r="G96" s="67" t="str">
        <f>IFERROR(IF(VLOOKUP($E96,BDD!$A$1:$S$567,MATCH(G$10,BDD!$A$1:$P$1,0),FALSE)=0,"",VLOOKUP($E96,BDD!$A$1:$S$567,MATCH(G$10,BDD!$A$1:$P$1,0),FALSE)),"")</f>
        <v>Les progrès et résultats du processus d’innovation sont communiqués à l’organisation.</v>
      </c>
      <c r="H96" s="85" t="str">
        <f>IF(VLOOKUP(E96,BDD!$A$1:$S$567,15,FALSE)=0,"Critère non évalué","")</f>
        <v>Critère non évalué</v>
      </c>
      <c r="I96" s="66" t="str">
        <f>IFERROR(IF(VLOOKUP($E96,BDD!$A$1:$S$567,MATCH(I$10,BDD!$A$1:$P$1,0),FALSE)=0,"",VLOOKUP($E96,BDD!$A$1:$S$567,MATCH(I$10,BDD!$A$1:$P$1,0),FALSE)),"")</f>
        <v>N4</v>
      </c>
      <c r="J96" s="86"/>
      <c r="K96" s="67" t="str">
        <f>IFERROR(IF(VLOOKUP($E96,BDD!$A$1:$S$567,MATCH(K$10,BDD!$A$1:$P$1,0),FALSE)=0,"",VLOOKUP($E96,BDD!$A$1:$S$567,MATCH(K$10,BDD!$A$1:$P$1,0),FALSE)),"")</f>
        <v>• L’instance responsable du processus développe et maintient un tableau de bord permettant de suivre les indicateurs clés et de communiquer sur les progrès et performances.</v>
      </c>
      <c r="L96" s="68"/>
      <c r="M96" s="87"/>
      <c r="N96" s="87"/>
      <c r="O96" s="68"/>
      <c r="P96" s="268"/>
    </row>
    <row r="97" spans="1:16" ht="130.05000000000001" customHeight="1" x14ac:dyDescent="0.3">
      <c r="A97" s="268"/>
      <c r="B97" s="68"/>
      <c r="C97" s="68" t="str">
        <f t="shared" si="3"/>
        <v>2</v>
      </c>
      <c r="D97" s="68">
        <f t="shared" si="6"/>
        <v>6</v>
      </c>
      <c r="E97" s="84" t="str">
        <f t="shared" si="5"/>
        <v>264</v>
      </c>
      <c r="F97" s="64" t="s">
        <v>32</v>
      </c>
      <c r="G97" s="96" t="str">
        <f>IFERROR(IF(VLOOKUP($E97,BDD!$A$1:$S$567,MATCH(G$10,BDD!$A$1:$P$1,0),FALSE)=0,"",VLOOKUP($E97,BDD!$A$1:$S$567,MATCH(G$10,BDD!$A$1:$P$1,0),FALSE)),"")</f>
        <v>L’impact de la communication sur la culture d’innovation de l’organisation est mesuré régulièrement.</v>
      </c>
      <c r="H97" s="210" t="str">
        <f>IF(VLOOKUP(E97,BDD!$A$1:$S$567,15,FALSE)=0,"Critère non évalué","")</f>
        <v>Critère non évalué</v>
      </c>
      <c r="I97" s="64" t="str">
        <f>IFERROR(IF(VLOOKUP($E97,BDD!$A$1:$S$567,MATCH(I$10,BDD!$A$1:$P$1,0),FALSE)=0,"",VLOOKUP($E97,BDD!$A$1:$S$567,MATCH(I$10,BDD!$A$1:$P$1,0),FALSE)),"")</f>
        <v>N5</v>
      </c>
      <c r="J97" s="95"/>
      <c r="K97" s="96" t="str">
        <f>IFERROR(IF(VLOOKUP($E97,BDD!$A$1:$S$567,MATCH(K$10,BDD!$A$1:$P$1,0),FALSE)=0,"",VLOOKUP($E97,BDD!$A$1:$S$567,MATCH(K$10,BDD!$A$1:$P$1,0),FALSE)),"")</f>
        <v/>
      </c>
      <c r="L97" s="68"/>
      <c r="M97" s="90"/>
      <c r="N97" s="90"/>
      <c r="O97" s="68"/>
      <c r="P97" s="268"/>
    </row>
    <row r="98" spans="1:16" ht="130.05000000000001" hidden="1" customHeight="1" x14ac:dyDescent="0.3">
      <c r="A98" s="268"/>
      <c r="B98" s="68"/>
      <c r="C98" s="68" t="str">
        <f t="shared" si="3"/>
        <v>2</v>
      </c>
      <c r="D98" s="68">
        <f t="shared" si="6"/>
        <v>6</v>
      </c>
      <c r="E98" s="84" t="str">
        <f t="shared" si="5"/>
        <v>265</v>
      </c>
      <c r="F98" s="66" t="s">
        <v>33</v>
      </c>
      <c r="G98" s="67" t="str">
        <f>IFERROR(IF(VLOOKUP($E98,BDD!$A$1:$S$567,MATCH(G$10,BDD!$A$1:$P$1,0),FALSE)=0,"",VLOOKUP($E98,BDD!$A$1:$S$567,MATCH(G$10,BDD!$A$1:$P$1,0),FALSE)),"")</f>
        <v/>
      </c>
      <c r="H98" s="85" t="str">
        <f>IF(VLOOKUP(E98,BDD!$A$1:$S$567,15,FALSE)=0,"Critère non évalué","")</f>
        <v>Critère non évalué</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268"/>
    </row>
    <row r="99" spans="1:16" ht="130.05000000000001" hidden="1" customHeight="1" x14ac:dyDescent="0.3">
      <c r="A99" s="268"/>
      <c r="B99" s="68"/>
      <c r="C99" s="68" t="str">
        <f t="shared" si="3"/>
        <v>2</v>
      </c>
      <c r="D99" s="68">
        <f t="shared" si="6"/>
        <v>6</v>
      </c>
      <c r="E99" s="84" t="str">
        <f t="shared" si="5"/>
        <v>266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268"/>
    </row>
    <row r="100" spans="1:16" ht="130.05000000000001" hidden="1" customHeight="1" x14ac:dyDescent="0.3">
      <c r="A100" s="268"/>
      <c r="B100" s="68"/>
      <c r="C100" s="68" t="str">
        <f t="shared" si="3"/>
        <v>2</v>
      </c>
      <c r="D100" s="68">
        <f t="shared" si="6"/>
        <v>6</v>
      </c>
      <c r="E100" s="84" t="str">
        <f t="shared" si="5"/>
        <v>267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268"/>
    </row>
    <row r="101" spans="1:16" hidden="1" x14ac:dyDescent="0.3">
      <c r="A101" s="268"/>
      <c r="B101" s="68"/>
      <c r="C101" s="68" t="str">
        <f t="shared" si="3"/>
        <v>2</v>
      </c>
      <c r="D101" s="68"/>
      <c r="E101" s="68"/>
      <c r="F101" s="68"/>
      <c r="G101" s="68"/>
      <c r="H101" s="68"/>
      <c r="I101" s="68"/>
      <c r="J101" s="68"/>
      <c r="K101" s="68"/>
      <c r="L101" s="68"/>
      <c r="M101" s="68"/>
      <c r="N101" s="68"/>
      <c r="O101" s="68"/>
      <c r="P101" s="268"/>
    </row>
    <row r="102" spans="1:16" hidden="1" x14ac:dyDescent="0.3">
      <c r="A102" s="268"/>
      <c r="B102" s="68"/>
      <c r="C102" s="68" t="str">
        <f t="shared" si="3"/>
        <v>2</v>
      </c>
      <c r="D102" s="68"/>
      <c r="E102" s="68"/>
      <c r="F102" s="68"/>
      <c r="G102" s="68"/>
      <c r="H102" s="68"/>
      <c r="I102" s="68"/>
      <c r="J102" s="68"/>
      <c r="K102" s="68"/>
      <c r="L102" s="68"/>
      <c r="M102" s="68"/>
      <c r="N102" s="68"/>
      <c r="O102" s="68"/>
      <c r="P102" s="268"/>
    </row>
    <row r="103" spans="1:16" ht="30" hidden="1" x14ac:dyDescent="0.5">
      <c r="A103" s="296"/>
      <c r="B103" s="74"/>
      <c r="C103" s="68" t="str">
        <f t="shared" si="3"/>
        <v>2</v>
      </c>
      <c r="D103" s="68">
        <f>IF(LEFT(F103,14)="Bonne pratique",D99+1,D99)</f>
        <v>7</v>
      </c>
      <c r="E103" s="84" t="str">
        <f t="shared" ref="E103:E116" si="7">C103&amp;D103&amp;RIGHT(F103,1)</f>
        <v>277</v>
      </c>
      <c r="F103" s="208" t="s">
        <v>557</v>
      </c>
      <c r="G103" s="75"/>
      <c r="H103" s="205"/>
      <c r="I103" s="73"/>
      <c r="J103" s="73" t="e">
        <f>VLOOKUP(E110,BDD!$A$2:$N$567,6,FALSE)</f>
        <v>#N/A</v>
      </c>
      <c r="K103" s="72"/>
      <c r="L103" s="75"/>
      <c r="M103" s="75"/>
      <c r="N103" s="75"/>
      <c r="O103" s="74"/>
      <c r="P103" s="296"/>
    </row>
    <row r="104" spans="1:16" hidden="1" x14ac:dyDescent="0.3">
      <c r="A104" s="268"/>
      <c r="B104" s="68"/>
      <c r="C104" s="68" t="str">
        <f t="shared" si="3"/>
        <v>2</v>
      </c>
      <c r="D104" s="68">
        <f t="shared" ref="D104:D116" si="8">IF(LEFT(F104,14)="Bonne pratique",D103+1,D103)</f>
        <v>7</v>
      </c>
      <c r="E104" s="84" t="str">
        <f t="shared" si="7"/>
        <v>27</v>
      </c>
      <c r="F104" s="68"/>
      <c r="G104" s="68"/>
      <c r="H104" s="68"/>
      <c r="I104" s="68"/>
      <c r="J104" s="68"/>
      <c r="K104" s="68"/>
      <c r="L104" s="68"/>
      <c r="M104" s="68"/>
      <c r="N104" s="68"/>
      <c r="O104" s="68"/>
      <c r="P104" s="268"/>
    </row>
    <row r="105" spans="1:16" ht="18" hidden="1" x14ac:dyDescent="0.35">
      <c r="A105" s="297"/>
      <c r="B105" s="76"/>
      <c r="C105" s="68" t="str">
        <f t="shared" si="3"/>
        <v>2</v>
      </c>
      <c r="D105" s="68">
        <f t="shared" si="8"/>
        <v>7</v>
      </c>
      <c r="E105" s="84" t="str">
        <f t="shared" si="7"/>
        <v>27</v>
      </c>
      <c r="F105" s="76"/>
      <c r="G105" s="76"/>
      <c r="H105" s="76"/>
      <c r="I105" s="77"/>
      <c r="J105" s="207" t="e">
        <f>IFERROR(_xlfn.TEXTBEFORE(VLOOKUP(E110,BDD!$A$2:$N$567,7,FALSE)," ",30),VLOOKUP(E110,BDD!$A$2:$N$567,7,FALSE))</f>
        <v>#N/A</v>
      </c>
      <c r="K105" s="77"/>
      <c r="L105" s="76"/>
      <c r="M105" s="76"/>
      <c r="N105" s="76"/>
      <c r="O105" s="76"/>
      <c r="P105" s="297"/>
    </row>
    <row r="106" spans="1:16" ht="18" hidden="1" x14ac:dyDescent="0.35">
      <c r="A106" s="268"/>
      <c r="B106" s="68"/>
      <c r="C106" s="68" t="str">
        <f t="shared" si="3"/>
        <v>2</v>
      </c>
      <c r="D106" s="68">
        <f t="shared" si="8"/>
        <v>7</v>
      </c>
      <c r="E106" s="84" t="str">
        <f t="shared" si="7"/>
        <v>27</v>
      </c>
      <c r="F106" s="68"/>
      <c r="G106" s="68"/>
      <c r="H106" s="68"/>
      <c r="I106" s="68"/>
      <c r="J106" s="207" t="str">
        <f>IFERROR(_xlfn.TEXTAFTER(VLOOKUP(E110,BDD!$A$2:$N$567,7,FALSE)," ",30),"")</f>
        <v/>
      </c>
      <c r="K106" s="68"/>
      <c r="L106" s="68"/>
      <c r="M106" s="68"/>
      <c r="N106" s="68"/>
      <c r="O106" s="68"/>
      <c r="P106" s="268"/>
    </row>
    <row r="107" spans="1:16" hidden="1" x14ac:dyDescent="0.3">
      <c r="A107" s="268"/>
      <c r="B107" s="68"/>
      <c r="C107" s="68" t="str">
        <f t="shared" si="3"/>
        <v>2</v>
      </c>
      <c r="D107" s="68">
        <f t="shared" si="8"/>
        <v>7</v>
      </c>
      <c r="E107" s="84" t="str">
        <f t="shared" si="7"/>
        <v>27</v>
      </c>
      <c r="F107" s="68"/>
      <c r="G107" s="68"/>
      <c r="H107" s="68"/>
      <c r="I107" s="68"/>
      <c r="J107" s="78"/>
      <c r="K107" s="68"/>
      <c r="L107" s="68"/>
      <c r="M107" s="619" t="s">
        <v>92</v>
      </c>
      <c r="N107" s="619"/>
      <c r="O107" s="68"/>
      <c r="P107" s="268"/>
    </row>
    <row r="108" spans="1:16" ht="33" hidden="1" x14ac:dyDescent="0.3">
      <c r="A108" s="268"/>
      <c r="B108" s="68"/>
      <c r="C108" s="68" t="str">
        <f t="shared" si="3"/>
        <v>2</v>
      </c>
      <c r="D108" s="68">
        <f t="shared" si="8"/>
        <v>7</v>
      </c>
      <c r="E108" s="84" t="str">
        <f t="shared" si="7"/>
        <v>27</v>
      </c>
      <c r="F108" s="93"/>
      <c r="G108" s="80" t="s">
        <v>561</v>
      </c>
      <c r="H108" s="80" t="s">
        <v>82</v>
      </c>
      <c r="I108" s="80" t="s">
        <v>83</v>
      </c>
      <c r="J108" s="80" t="s">
        <v>84</v>
      </c>
      <c r="K108" s="80" t="s">
        <v>85</v>
      </c>
      <c r="L108" s="78"/>
      <c r="M108" s="81" t="s">
        <v>86</v>
      </c>
      <c r="N108" s="82" t="s">
        <v>87</v>
      </c>
      <c r="O108" s="68"/>
      <c r="P108" s="268"/>
    </row>
    <row r="109" spans="1:16" hidden="1" x14ac:dyDescent="0.3">
      <c r="A109" s="268"/>
      <c r="B109" s="68"/>
      <c r="C109" s="68" t="str">
        <f t="shared" si="3"/>
        <v>2</v>
      </c>
      <c r="D109" s="68">
        <f t="shared" si="8"/>
        <v>7</v>
      </c>
      <c r="E109" s="84" t="str">
        <f t="shared" si="7"/>
        <v>27</v>
      </c>
      <c r="F109" s="68"/>
      <c r="G109" s="83"/>
      <c r="H109" s="83"/>
      <c r="I109" s="83"/>
      <c r="J109" s="68"/>
      <c r="K109" s="83"/>
      <c r="L109" s="68"/>
      <c r="M109" s="68"/>
      <c r="N109" s="68"/>
      <c r="O109" s="68"/>
      <c r="P109" s="268"/>
    </row>
    <row r="110" spans="1:16" ht="130.05000000000001" hidden="1" customHeight="1" x14ac:dyDescent="0.3">
      <c r="A110" s="268"/>
      <c r="B110" s="68"/>
      <c r="C110" s="68" t="str">
        <f t="shared" si="3"/>
        <v>2</v>
      </c>
      <c r="D110" s="68">
        <f t="shared" si="8"/>
        <v>7</v>
      </c>
      <c r="E110" s="84" t="str">
        <f t="shared" si="7"/>
        <v>271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268"/>
    </row>
    <row r="111" spans="1:16" ht="130.05000000000001" hidden="1" customHeight="1" x14ac:dyDescent="0.3">
      <c r="A111" s="268"/>
      <c r="B111" s="68"/>
      <c r="C111" s="68" t="str">
        <f t="shared" si="3"/>
        <v>2</v>
      </c>
      <c r="D111" s="68">
        <f t="shared" si="8"/>
        <v>7</v>
      </c>
      <c r="E111" s="84" t="str">
        <f t="shared" si="7"/>
        <v>272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268"/>
    </row>
    <row r="112" spans="1:16" ht="130.05000000000001" hidden="1" customHeight="1" x14ac:dyDescent="0.3">
      <c r="A112" s="268"/>
      <c r="B112" s="68"/>
      <c r="C112" s="68" t="str">
        <f t="shared" si="3"/>
        <v>2</v>
      </c>
      <c r="D112" s="68">
        <f t="shared" si="8"/>
        <v>7</v>
      </c>
      <c r="E112" s="84" t="str">
        <f t="shared" si="7"/>
        <v>273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268"/>
    </row>
    <row r="113" spans="1:16" ht="130.05000000000001" hidden="1" customHeight="1" x14ac:dyDescent="0.3">
      <c r="A113" s="268"/>
      <c r="B113" s="68"/>
      <c r="C113" s="68" t="str">
        <f t="shared" si="3"/>
        <v>2</v>
      </c>
      <c r="D113" s="68">
        <f t="shared" si="8"/>
        <v>7</v>
      </c>
      <c r="E113" s="84" t="str">
        <f t="shared" si="7"/>
        <v>274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268"/>
    </row>
    <row r="114" spans="1:16" ht="130.05000000000001" hidden="1" customHeight="1" x14ac:dyDescent="0.3">
      <c r="A114" s="268"/>
      <c r="B114" s="68"/>
      <c r="C114" s="68" t="str">
        <f t="shared" si="3"/>
        <v>2</v>
      </c>
      <c r="D114" s="68">
        <f t="shared" si="8"/>
        <v>7</v>
      </c>
      <c r="E114" s="84" t="str">
        <f t="shared" si="7"/>
        <v>275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268"/>
    </row>
    <row r="115" spans="1:16" ht="130.05000000000001" hidden="1" customHeight="1" x14ac:dyDescent="0.3">
      <c r="A115" s="268"/>
      <c r="B115" s="68"/>
      <c r="C115" s="68" t="str">
        <f t="shared" si="3"/>
        <v>2</v>
      </c>
      <c r="D115" s="68">
        <f t="shared" si="8"/>
        <v>7</v>
      </c>
      <c r="E115" s="84" t="str">
        <f t="shared" si="7"/>
        <v>276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268"/>
    </row>
    <row r="116" spans="1:16" ht="130.05000000000001" hidden="1" customHeight="1" x14ac:dyDescent="0.3">
      <c r="A116" s="268"/>
      <c r="B116" s="68"/>
      <c r="C116" s="68" t="str">
        <f t="shared" ref="C116" si="9">RIGHT($B$1,1)</f>
        <v>2</v>
      </c>
      <c r="D116" s="68">
        <f t="shared" si="8"/>
        <v>7</v>
      </c>
      <c r="E116" s="84" t="str">
        <f t="shared" si="7"/>
        <v>277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68"/>
    </row>
    <row r="117" spans="1:16" x14ac:dyDescent="0.3">
      <c r="A117" s="268"/>
      <c r="B117" s="68"/>
      <c r="C117" s="68"/>
      <c r="D117" s="68"/>
      <c r="E117" s="68"/>
      <c r="F117" s="68"/>
      <c r="G117" s="68"/>
      <c r="H117" s="68"/>
      <c r="I117" s="68"/>
      <c r="J117" s="68"/>
      <c r="K117" s="68"/>
      <c r="L117" s="68"/>
      <c r="M117" s="68"/>
      <c r="N117" s="68"/>
      <c r="O117" s="68"/>
      <c r="P117" s="268"/>
    </row>
    <row r="118" spans="1:16" x14ac:dyDescent="0.3">
      <c r="A118" s="268" t="s">
        <v>164</v>
      </c>
      <c r="B118" s="268"/>
      <c r="C118" s="268"/>
      <c r="D118" s="268"/>
      <c r="E118" s="268"/>
      <c r="F118" s="268"/>
      <c r="G118" s="268"/>
      <c r="H118" s="268"/>
      <c r="I118" s="268"/>
      <c r="J118" s="268"/>
      <c r="K118" s="268"/>
      <c r="L118" s="268"/>
      <c r="M118" s="268"/>
      <c r="N118" s="268"/>
      <c r="O118" s="268"/>
      <c r="P118" s="268" t="s">
        <v>164</v>
      </c>
    </row>
  </sheetData>
  <sheetProtection algorithmName="SHA-512" hashValue="H7iYe0YbZziyZs9pHFBdjKylO3nKNxixcuYMCH10yTMa7FCzSk5B4F92JBzUWG4fXUlri0lB+rblNVVk8kqKlw==" saltValue="kaSaHSOmTcH/Qd5JtdCAMg=="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F46D5383-1389-4C1A-97FD-89D7A032D5F5}"/>
    <hyperlink ref="F29" location="V2Quest!A1" display="(Cf. Vecteur 2 - Innovation)" xr:uid="{90944DCB-0F32-4C8F-825F-E7CA9BB6CEF3}"/>
    <hyperlink ref="F45" location="V2Quest!A1" display="(Cf. Vecteur 2 - Innovation)" xr:uid="{47F02F25-C6C5-4B89-959F-50DAA1A20EB4}"/>
    <hyperlink ref="F61" location="V2Quest!A1" display="(Cf. Vecteur 2 - Innovation)" xr:uid="{04922A18-AAEE-4016-BC68-DFB8C10D37C7}"/>
    <hyperlink ref="F79" location="V2Quest!A1" display="(Cf. Vecteur 2 - Innovation)" xr:uid="{3CEFD368-80BC-4C95-9806-498961574363}"/>
    <hyperlink ref="F95" location="V2Quest!A1" display="(Cf. Vecteur 2 - Innovation)" xr:uid="{60E23BDC-8F81-41AD-869C-14B503D57004}"/>
    <hyperlink ref="F111" location="V2Quest!A1" display="(Cf. Vecteur 2 - Innovation)" xr:uid="{BCC75FD3-5A60-434B-BE69-C33BC2A2A83F}"/>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0641" r:id="rId3" name="Option Button 1">
              <controlPr defaultSize="0" autoFill="0" autoLine="0" autoPict="0">
                <anchor moveWithCells="1">
                  <from>
                    <xdr:col>7</xdr:col>
                    <xdr:colOff>114300</xdr:colOff>
                    <xdr:row>12</xdr:row>
                    <xdr:rowOff>144780</xdr:rowOff>
                  </from>
                  <to>
                    <xdr:col>7</xdr:col>
                    <xdr:colOff>1958340</xdr:colOff>
                    <xdr:row>12</xdr:row>
                    <xdr:rowOff>320040</xdr:rowOff>
                  </to>
                </anchor>
              </controlPr>
            </control>
          </mc:Choice>
        </mc:AlternateContent>
        <mc:AlternateContent xmlns:mc="http://schemas.openxmlformats.org/markup-compatibility/2006">
          <mc:Choice Requires="x14">
            <control shapeId="240642" r:id="rId4" name="Option Button 2">
              <controlPr defaultSize="0" autoFill="0" autoLine="0" autoPict="0">
                <anchor moveWithCells="1">
                  <from>
                    <xdr:col>7</xdr:col>
                    <xdr:colOff>114300</xdr:colOff>
                    <xdr:row>12</xdr:row>
                    <xdr:rowOff>396240</xdr:rowOff>
                  </from>
                  <to>
                    <xdr:col>7</xdr:col>
                    <xdr:colOff>1958340</xdr:colOff>
                    <xdr:row>12</xdr:row>
                    <xdr:rowOff>586740</xdr:rowOff>
                  </to>
                </anchor>
              </controlPr>
            </control>
          </mc:Choice>
        </mc:AlternateContent>
        <mc:AlternateContent xmlns:mc="http://schemas.openxmlformats.org/markup-compatibility/2006">
          <mc:Choice Requires="x14">
            <control shapeId="240643" r:id="rId5" name="Option Button 3">
              <controlPr defaultSize="0" autoFill="0" autoLine="0" autoPict="0">
                <anchor moveWithCells="1">
                  <from>
                    <xdr:col>7</xdr:col>
                    <xdr:colOff>114300</xdr:colOff>
                    <xdr:row>12</xdr:row>
                    <xdr:rowOff>640080</xdr:rowOff>
                  </from>
                  <to>
                    <xdr:col>7</xdr:col>
                    <xdr:colOff>1958340</xdr:colOff>
                    <xdr:row>12</xdr:row>
                    <xdr:rowOff>830580</xdr:rowOff>
                  </to>
                </anchor>
              </controlPr>
            </control>
          </mc:Choice>
        </mc:AlternateContent>
        <mc:AlternateContent xmlns:mc="http://schemas.openxmlformats.org/markup-compatibility/2006">
          <mc:Choice Requires="x14">
            <control shapeId="240644" r:id="rId6" name="Option Button 4">
              <controlPr defaultSize="0" autoFill="0" autoLine="0" autoPict="0">
                <anchor moveWithCells="1">
                  <from>
                    <xdr:col>7</xdr:col>
                    <xdr:colOff>114300</xdr:colOff>
                    <xdr:row>12</xdr:row>
                    <xdr:rowOff>922020</xdr:rowOff>
                  </from>
                  <to>
                    <xdr:col>7</xdr:col>
                    <xdr:colOff>1958340</xdr:colOff>
                    <xdr:row>12</xdr:row>
                    <xdr:rowOff>1120140</xdr:rowOff>
                  </to>
                </anchor>
              </controlPr>
            </control>
          </mc:Choice>
        </mc:AlternateContent>
        <mc:AlternateContent xmlns:mc="http://schemas.openxmlformats.org/markup-compatibility/2006">
          <mc:Choice Requires="x14">
            <control shapeId="240645"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240647"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240648"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240649" r:id="rId10" name="Option Button 9">
              <controlPr defaultSize="0" autoFill="0" autoLine="0" autoPict="0">
                <anchor moveWithCells="1">
                  <from>
                    <xdr:col>7</xdr:col>
                    <xdr:colOff>106680</xdr:colOff>
                    <xdr:row>11</xdr:row>
                    <xdr:rowOff>304800</xdr:rowOff>
                  </from>
                  <to>
                    <xdr:col>7</xdr:col>
                    <xdr:colOff>1965960</xdr:colOff>
                    <xdr:row>11</xdr:row>
                    <xdr:rowOff>502920</xdr:rowOff>
                  </to>
                </anchor>
              </controlPr>
            </control>
          </mc:Choice>
        </mc:AlternateContent>
        <mc:AlternateContent xmlns:mc="http://schemas.openxmlformats.org/markup-compatibility/2006">
          <mc:Choice Requires="x14">
            <control shapeId="240650"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240651"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240677" r:id="rId13" name="Option Button 37">
              <controlPr defaultSize="0" autoFill="0" autoLine="0" autoPict="0">
                <anchor moveWithCells="1">
                  <from>
                    <xdr:col>7</xdr:col>
                    <xdr:colOff>114300</xdr:colOff>
                    <xdr:row>28</xdr:row>
                    <xdr:rowOff>144780</xdr:rowOff>
                  </from>
                  <to>
                    <xdr:col>7</xdr:col>
                    <xdr:colOff>1958340</xdr:colOff>
                    <xdr:row>28</xdr:row>
                    <xdr:rowOff>320040</xdr:rowOff>
                  </to>
                </anchor>
              </controlPr>
            </control>
          </mc:Choice>
        </mc:AlternateContent>
        <mc:AlternateContent xmlns:mc="http://schemas.openxmlformats.org/markup-compatibility/2006">
          <mc:Choice Requires="x14">
            <control shapeId="240678" r:id="rId14" name="Option Button 38">
              <controlPr defaultSize="0" autoFill="0" autoLine="0" autoPict="0">
                <anchor moveWithCells="1">
                  <from>
                    <xdr:col>7</xdr:col>
                    <xdr:colOff>114300</xdr:colOff>
                    <xdr:row>28</xdr:row>
                    <xdr:rowOff>396240</xdr:rowOff>
                  </from>
                  <to>
                    <xdr:col>7</xdr:col>
                    <xdr:colOff>1958340</xdr:colOff>
                    <xdr:row>28</xdr:row>
                    <xdr:rowOff>586740</xdr:rowOff>
                  </to>
                </anchor>
              </controlPr>
            </control>
          </mc:Choice>
        </mc:AlternateContent>
        <mc:AlternateContent xmlns:mc="http://schemas.openxmlformats.org/markup-compatibility/2006">
          <mc:Choice Requires="x14">
            <control shapeId="240679" r:id="rId15" name="Option Button 39">
              <controlPr defaultSize="0" autoFill="0" autoLine="0" autoPict="0">
                <anchor moveWithCells="1">
                  <from>
                    <xdr:col>7</xdr:col>
                    <xdr:colOff>114300</xdr:colOff>
                    <xdr:row>28</xdr:row>
                    <xdr:rowOff>640080</xdr:rowOff>
                  </from>
                  <to>
                    <xdr:col>7</xdr:col>
                    <xdr:colOff>1958340</xdr:colOff>
                    <xdr:row>28</xdr:row>
                    <xdr:rowOff>830580</xdr:rowOff>
                  </to>
                </anchor>
              </controlPr>
            </control>
          </mc:Choice>
        </mc:AlternateContent>
        <mc:AlternateContent xmlns:mc="http://schemas.openxmlformats.org/markup-compatibility/2006">
          <mc:Choice Requires="x14">
            <control shapeId="240680" r:id="rId16" name="Option Button 40">
              <controlPr defaultSize="0" autoFill="0" autoLine="0" autoPict="0">
                <anchor moveWithCells="1">
                  <from>
                    <xdr:col>7</xdr:col>
                    <xdr:colOff>114300</xdr:colOff>
                    <xdr:row>28</xdr:row>
                    <xdr:rowOff>922020</xdr:rowOff>
                  </from>
                  <to>
                    <xdr:col>7</xdr:col>
                    <xdr:colOff>1958340</xdr:colOff>
                    <xdr:row>28</xdr:row>
                    <xdr:rowOff>1120140</xdr:rowOff>
                  </to>
                </anchor>
              </controlPr>
            </control>
          </mc:Choice>
        </mc:AlternateContent>
        <mc:AlternateContent xmlns:mc="http://schemas.openxmlformats.org/markup-compatibility/2006">
          <mc:Choice Requires="x14">
            <control shapeId="240681" r:id="rId17"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240688" r:id="rId18"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240689" r:id="rId19"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240690" r:id="rId20"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240691" r:id="rId21"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240692" r:id="rId22"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240693" r:id="rId23" name="Option Button 53">
              <controlPr defaultSize="0" autoFill="0" autoLine="0" autoPict="0">
                <anchor moveWithCells="1">
                  <from>
                    <xdr:col>7</xdr:col>
                    <xdr:colOff>114300</xdr:colOff>
                    <xdr:row>31</xdr:row>
                    <xdr:rowOff>144780</xdr:rowOff>
                  </from>
                  <to>
                    <xdr:col>7</xdr:col>
                    <xdr:colOff>1958340</xdr:colOff>
                    <xdr:row>31</xdr:row>
                    <xdr:rowOff>320040</xdr:rowOff>
                  </to>
                </anchor>
              </controlPr>
            </control>
          </mc:Choice>
        </mc:AlternateContent>
        <mc:AlternateContent xmlns:mc="http://schemas.openxmlformats.org/markup-compatibility/2006">
          <mc:Choice Requires="x14">
            <control shapeId="240694" r:id="rId24" name="Option Button 54">
              <controlPr defaultSize="0" autoFill="0" autoLine="0" autoPict="0">
                <anchor moveWithCells="1">
                  <from>
                    <xdr:col>7</xdr:col>
                    <xdr:colOff>114300</xdr:colOff>
                    <xdr:row>31</xdr:row>
                    <xdr:rowOff>396240</xdr:rowOff>
                  </from>
                  <to>
                    <xdr:col>7</xdr:col>
                    <xdr:colOff>1958340</xdr:colOff>
                    <xdr:row>31</xdr:row>
                    <xdr:rowOff>586740</xdr:rowOff>
                  </to>
                </anchor>
              </controlPr>
            </control>
          </mc:Choice>
        </mc:AlternateContent>
        <mc:AlternateContent xmlns:mc="http://schemas.openxmlformats.org/markup-compatibility/2006">
          <mc:Choice Requires="x14">
            <control shapeId="240695" r:id="rId25" name="Option Button 55">
              <controlPr defaultSize="0" autoFill="0" autoLine="0" autoPict="0">
                <anchor moveWithCells="1">
                  <from>
                    <xdr:col>7</xdr:col>
                    <xdr:colOff>114300</xdr:colOff>
                    <xdr:row>31</xdr:row>
                    <xdr:rowOff>640080</xdr:rowOff>
                  </from>
                  <to>
                    <xdr:col>7</xdr:col>
                    <xdr:colOff>1958340</xdr:colOff>
                    <xdr:row>31</xdr:row>
                    <xdr:rowOff>830580</xdr:rowOff>
                  </to>
                </anchor>
              </controlPr>
            </control>
          </mc:Choice>
        </mc:AlternateContent>
        <mc:AlternateContent xmlns:mc="http://schemas.openxmlformats.org/markup-compatibility/2006">
          <mc:Choice Requires="x14">
            <control shapeId="240696" r:id="rId26" name="Option Button 56">
              <controlPr defaultSize="0" autoFill="0" autoLine="0" autoPict="0">
                <anchor moveWithCells="1">
                  <from>
                    <xdr:col>7</xdr:col>
                    <xdr:colOff>114300</xdr:colOff>
                    <xdr:row>31</xdr:row>
                    <xdr:rowOff>922020</xdr:rowOff>
                  </from>
                  <to>
                    <xdr:col>7</xdr:col>
                    <xdr:colOff>1958340</xdr:colOff>
                    <xdr:row>31</xdr:row>
                    <xdr:rowOff>1120140</xdr:rowOff>
                  </to>
                </anchor>
              </controlPr>
            </control>
          </mc:Choice>
        </mc:AlternateContent>
        <mc:AlternateContent xmlns:mc="http://schemas.openxmlformats.org/markup-compatibility/2006">
          <mc:Choice Requires="x14">
            <control shapeId="240697" r:id="rId27"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240698" r:id="rId28" name="Option Button 58">
              <controlPr defaultSize="0" autoFill="0" autoLine="0" autoPict="0" altText="Case d'option 47">
                <anchor moveWithCells="1">
                  <from>
                    <xdr:col>7</xdr:col>
                    <xdr:colOff>114300</xdr:colOff>
                    <xdr:row>30</xdr:row>
                    <xdr:rowOff>68580</xdr:rowOff>
                  </from>
                  <to>
                    <xdr:col>7</xdr:col>
                    <xdr:colOff>1554480</xdr:colOff>
                    <xdr:row>30</xdr:row>
                    <xdr:rowOff>259080</xdr:rowOff>
                  </to>
                </anchor>
              </controlPr>
            </control>
          </mc:Choice>
        </mc:AlternateContent>
        <mc:AlternateContent xmlns:mc="http://schemas.openxmlformats.org/markup-compatibility/2006">
          <mc:Choice Requires="x14">
            <control shapeId="240699" r:id="rId29" name="Option Button 59">
              <controlPr defaultSize="0" autoFill="0" autoLine="0" autoPict="0">
                <anchor moveWithCells="1">
                  <from>
                    <xdr:col>7</xdr:col>
                    <xdr:colOff>114300</xdr:colOff>
                    <xdr:row>30</xdr:row>
                    <xdr:rowOff>304800</xdr:rowOff>
                  </from>
                  <to>
                    <xdr:col>8</xdr:col>
                    <xdr:colOff>60960</xdr:colOff>
                    <xdr:row>30</xdr:row>
                    <xdr:rowOff>502920</xdr:rowOff>
                  </to>
                </anchor>
              </controlPr>
            </control>
          </mc:Choice>
        </mc:AlternateContent>
        <mc:AlternateContent xmlns:mc="http://schemas.openxmlformats.org/markup-compatibility/2006">
          <mc:Choice Requires="x14">
            <control shapeId="240700" r:id="rId30" name="Option Button 60">
              <controlPr defaultSize="0" autoFill="0" autoLine="0" autoPict="0">
                <anchor moveWithCells="1">
                  <from>
                    <xdr:col>7</xdr:col>
                    <xdr:colOff>114300</xdr:colOff>
                    <xdr:row>30</xdr:row>
                    <xdr:rowOff>579120</xdr:rowOff>
                  </from>
                  <to>
                    <xdr:col>8</xdr:col>
                    <xdr:colOff>68580</xdr:colOff>
                    <xdr:row>30</xdr:row>
                    <xdr:rowOff>754380</xdr:rowOff>
                  </to>
                </anchor>
              </controlPr>
            </control>
          </mc:Choice>
        </mc:AlternateContent>
        <mc:AlternateContent xmlns:mc="http://schemas.openxmlformats.org/markup-compatibility/2006">
          <mc:Choice Requires="x14">
            <control shapeId="240701" r:id="rId31" name="Option Button 61">
              <controlPr defaultSize="0" autoFill="0" autoLine="0" autoPict="0">
                <anchor moveWithCells="1">
                  <from>
                    <xdr:col>7</xdr:col>
                    <xdr:colOff>114300</xdr:colOff>
                    <xdr:row>30</xdr:row>
                    <xdr:rowOff>822960</xdr:rowOff>
                  </from>
                  <to>
                    <xdr:col>7</xdr:col>
                    <xdr:colOff>967740</xdr:colOff>
                    <xdr:row>30</xdr:row>
                    <xdr:rowOff>1013460</xdr:rowOff>
                  </to>
                </anchor>
              </controlPr>
            </control>
          </mc:Choice>
        </mc:AlternateContent>
        <mc:AlternateContent xmlns:mc="http://schemas.openxmlformats.org/markup-compatibility/2006">
          <mc:Choice Requires="x14">
            <control shapeId="240702" r:id="rId32" name="Group Box 62">
              <controlPr defaultSize="0" autoFill="0" autoPict="0">
                <anchor moveWithCells="1">
                  <from>
                    <xdr:col>7</xdr:col>
                    <xdr:colOff>0</xdr:colOff>
                    <xdr:row>30</xdr:row>
                    <xdr:rowOff>0</xdr:rowOff>
                  </from>
                  <to>
                    <xdr:col>7</xdr:col>
                    <xdr:colOff>1965960</xdr:colOff>
                    <xdr:row>31</xdr:row>
                    <xdr:rowOff>0</xdr:rowOff>
                  </to>
                </anchor>
              </controlPr>
            </control>
          </mc:Choice>
        </mc:AlternateContent>
        <mc:AlternateContent xmlns:mc="http://schemas.openxmlformats.org/markup-compatibility/2006">
          <mc:Choice Requires="x14">
            <control shapeId="240703" r:id="rId33" name="Option Button 63">
              <controlPr defaultSize="0" autoFill="0" autoLine="0" autoPict="0" altText="Case d'option 47">
                <anchor moveWithCells="1">
                  <from>
                    <xdr:col>7</xdr:col>
                    <xdr:colOff>106680</xdr:colOff>
                    <xdr:row>29</xdr:row>
                    <xdr:rowOff>83820</xdr:rowOff>
                  </from>
                  <to>
                    <xdr:col>7</xdr:col>
                    <xdr:colOff>1501140</xdr:colOff>
                    <xdr:row>29</xdr:row>
                    <xdr:rowOff>327660</xdr:rowOff>
                  </to>
                </anchor>
              </controlPr>
            </control>
          </mc:Choice>
        </mc:AlternateContent>
        <mc:AlternateContent xmlns:mc="http://schemas.openxmlformats.org/markup-compatibility/2006">
          <mc:Choice Requires="x14">
            <control shapeId="240704" r:id="rId34" name="Option Button 64">
              <controlPr defaultSize="0" autoFill="0" autoLine="0" autoPict="0">
                <anchor moveWithCells="1">
                  <from>
                    <xdr:col>7</xdr:col>
                    <xdr:colOff>106680</xdr:colOff>
                    <xdr:row>29</xdr:row>
                    <xdr:rowOff>381000</xdr:rowOff>
                  </from>
                  <to>
                    <xdr:col>7</xdr:col>
                    <xdr:colOff>1958340</xdr:colOff>
                    <xdr:row>29</xdr:row>
                    <xdr:rowOff>632460</xdr:rowOff>
                  </to>
                </anchor>
              </controlPr>
            </control>
          </mc:Choice>
        </mc:AlternateContent>
        <mc:AlternateContent xmlns:mc="http://schemas.openxmlformats.org/markup-compatibility/2006">
          <mc:Choice Requires="x14">
            <control shapeId="240705" r:id="rId35" name="Option Button 65">
              <controlPr defaultSize="0" autoFill="0" autoLine="0" autoPict="0">
                <anchor moveWithCells="1">
                  <from>
                    <xdr:col>7</xdr:col>
                    <xdr:colOff>106680</xdr:colOff>
                    <xdr:row>29</xdr:row>
                    <xdr:rowOff>723900</xdr:rowOff>
                  </from>
                  <to>
                    <xdr:col>7</xdr:col>
                    <xdr:colOff>1965960</xdr:colOff>
                    <xdr:row>29</xdr:row>
                    <xdr:rowOff>944880</xdr:rowOff>
                  </to>
                </anchor>
              </controlPr>
            </control>
          </mc:Choice>
        </mc:AlternateContent>
        <mc:AlternateContent xmlns:mc="http://schemas.openxmlformats.org/markup-compatibility/2006">
          <mc:Choice Requires="x14">
            <control shapeId="240706" r:id="rId36" name="Option Button 66">
              <controlPr defaultSize="0" autoFill="0" autoLine="0" autoPict="0">
                <anchor moveWithCells="1">
                  <from>
                    <xdr:col>7</xdr:col>
                    <xdr:colOff>106680</xdr:colOff>
                    <xdr:row>29</xdr:row>
                    <xdr:rowOff>1036320</xdr:rowOff>
                  </from>
                  <to>
                    <xdr:col>7</xdr:col>
                    <xdr:colOff>937260</xdr:colOff>
                    <xdr:row>29</xdr:row>
                    <xdr:rowOff>1264920</xdr:rowOff>
                  </to>
                </anchor>
              </controlPr>
            </control>
          </mc:Choice>
        </mc:AlternateContent>
        <mc:AlternateContent xmlns:mc="http://schemas.openxmlformats.org/markup-compatibility/2006">
          <mc:Choice Requires="x14">
            <control shapeId="240707" r:id="rId37"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240708" r:id="rId38"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240709" r:id="rId39" name="Option Button 69">
              <controlPr defaultSize="0" autoFill="0" autoLine="0" autoPict="0">
                <anchor moveWithCells="1">
                  <from>
                    <xdr:col>7</xdr:col>
                    <xdr:colOff>106680</xdr:colOff>
                    <xdr:row>43</xdr:row>
                    <xdr:rowOff>304800</xdr:rowOff>
                  </from>
                  <to>
                    <xdr:col>7</xdr:col>
                    <xdr:colOff>1958340</xdr:colOff>
                    <xdr:row>43</xdr:row>
                    <xdr:rowOff>502920</xdr:rowOff>
                  </to>
                </anchor>
              </controlPr>
            </control>
          </mc:Choice>
        </mc:AlternateContent>
        <mc:AlternateContent xmlns:mc="http://schemas.openxmlformats.org/markup-compatibility/2006">
          <mc:Choice Requires="x14">
            <control shapeId="240710" r:id="rId40" name="Option Button 70">
              <controlPr defaultSize="0" autoFill="0" autoLine="0" autoPict="0">
                <anchor moveWithCells="1">
                  <from>
                    <xdr:col>7</xdr:col>
                    <xdr:colOff>106680</xdr:colOff>
                    <xdr:row>43</xdr:row>
                    <xdr:rowOff>579120</xdr:rowOff>
                  </from>
                  <to>
                    <xdr:col>7</xdr:col>
                    <xdr:colOff>1965960</xdr:colOff>
                    <xdr:row>43</xdr:row>
                    <xdr:rowOff>754380</xdr:rowOff>
                  </to>
                </anchor>
              </controlPr>
            </control>
          </mc:Choice>
        </mc:AlternateContent>
        <mc:AlternateContent xmlns:mc="http://schemas.openxmlformats.org/markup-compatibility/2006">
          <mc:Choice Requires="x14">
            <control shapeId="240711" r:id="rId41"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240712" r:id="rId42"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240713" r:id="rId43" name="Option Button 73">
              <controlPr defaultSize="0" autoFill="0" autoLine="0" autoPict="0">
                <anchor moveWithCells="1">
                  <from>
                    <xdr:col>7</xdr:col>
                    <xdr:colOff>114300</xdr:colOff>
                    <xdr:row>44</xdr:row>
                    <xdr:rowOff>167640</xdr:rowOff>
                  </from>
                  <to>
                    <xdr:col>7</xdr:col>
                    <xdr:colOff>1958340</xdr:colOff>
                    <xdr:row>44</xdr:row>
                    <xdr:rowOff>373380</xdr:rowOff>
                  </to>
                </anchor>
              </controlPr>
            </control>
          </mc:Choice>
        </mc:AlternateContent>
        <mc:AlternateContent xmlns:mc="http://schemas.openxmlformats.org/markup-compatibility/2006">
          <mc:Choice Requires="x14">
            <control shapeId="240714" r:id="rId44" name="Option Button 74">
              <controlPr defaultSize="0" autoFill="0" autoLine="0" autoPict="0">
                <anchor moveWithCells="1">
                  <from>
                    <xdr:col>7</xdr:col>
                    <xdr:colOff>114300</xdr:colOff>
                    <xdr:row>44</xdr:row>
                    <xdr:rowOff>457200</xdr:rowOff>
                  </from>
                  <to>
                    <xdr:col>7</xdr:col>
                    <xdr:colOff>1958340</xdr:colOff>
                    <xdr:row>44</xdr:row>
                    <xdr:rowOff>678180</xdr:rowOff>
                  </to>
                </anchor>
              </controlPr>
            </control>
          </mc:Choice>
        </mc:AlternateContent>
        <mc:AlternateContent xmlns:mc="http://schemas.openxmlformats.org/markup-compatibility/2006">
          <mc:Choice Requires="x14">
            <control shapeId="240715" r:id="rId45" name="Option Button 75">
              <controlPr defaultSize="0" autoFill="0" autoLine="0" autoPict="0">
                <anchor moveWithCells="1">
                  <from>
                    <xdr:col>7</xdr:col>
                    <xdr:colOff>114300</xdr:colOff>
                    <xdr:row>44</xdr:row>
                    <xdr:rowOff>739140</xdr:rowOff>
                  </from>
                  <to>
                    <xdr:col>7</xdr:col>
                    <xdr:colOff>1958340</xdr:colOff>
                    <xdr:row>44</xdr:row>
                    <xdr:rowOff>960120</xdr:rowOff>
                  </to>
                </anchor>
              </controlPr>
            </control>
          </mc:Choice>
        </mc:AlternateContent>
        <mc:AlternateContent xmlns:mc="http://schemas.openxmlformats.org/markup-compatibility/2006">
          <mc:Choice Requires="x14">
            <control shapeId="240716" r:id="rId46" name="Option Button 76">
              <controlPr defaultSize="0" autoFill="0" autoLine="0" autoPict="0">
                <anchor moveWithCells="1">
                  <from>
                    <xdr:col>7</xdr:col>
                    <xdr:colOff>114300</xdr:colOff>
                    <xdr:row>44</xdr:row>
                    <xdr:rowOff>1066800</xdr:rowOff>
                  </from>
                  <to>
                    <xdr:col>7</xdr:col>
                    <xdr:colOff>1958340</xdr:colOff>
                    <xdr:row>44</xdr:row>
                    <xdr:rowOff>1287780</xdr:rowOff>
                  </to>
                </anchor>
              </controlPr>
            </control>
          </mc:Choice>
        </mc:AlternateContent>
        <mc:AlternateContent xmlns:mc="http://schemas.openxmlformats.org/markup-compatibility/2006">
          <mc:Choice Requires="x14">
            <control shapeId="240717" r:id="rId47"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240718" r:id="rId48"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240719" r:id="rId49" name="Option Button 79">
              <controlPr defaultSize="0" autoFill="0" autoLine="0" autoPict="0">
                <anchor moveWithCells="1">
                  <from>
                    <xdr:col>7</xdr:col>
                    <xdr:colOff>106680</xdr:colOff>
                    <xdr:row>46</xdr:row>
                    <xdr:rowOff>281940</xdr:rowOff>
                  </from>
                  <to>
                    <xdr:col>7</xdr:col>
                    <xdr:colOff>1958340</xdr:colOff>
                    <xdr:row>46</xdr:row>
                    <xdr:rowOff>464820</xdr:rowOff>
                  </to>
                </anchor>
              </controlPr>
            </control>
          </mc:Choice>
        </mc:AlternateContent>
        <mc:AlternateContent xmlns:mc="http://schemas.openxmlformats.org/markup-compatibility/2006">
          <mc:Choice Requires="x14">
            <control shapeId="240720" r:id="rId50" name="Option Button 80">
              <controlPr defaultSize="0" autoFill="0" autoLine="0" autoPict="0">
                <anchor moveWithCells="1">
                  <from>
                    <xdr:col>7</xdr:col>
                    <xdr:colOff>106680</xdr:colOff>
                    <xdr:row>46</xdr:row>
                    <xdr:rowOff>533400</xdr:rowOff>
                  </from>
                  <to>
                    <xdr:col>7</xdr:col>
                    <xdr:colOff>1965960</xdr:colOff>
                    <xdr:row>46</xdr:row>
                    <xdr:rowOff>693420</xdr:rowOff>
                  </to>
                </anchor>
              </controlPr>
            </control>
          </mc:Choice>
        </mc:AlternateContent>
        <mc:AlternateContent xmlns:mc="http://schemas.openxmlformats.org/markup-compatibility/2006">
          <mc:Choice Requires="x14">
            <control shapeId="240721" r:id="rId51"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240722" r:id="rId52"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240723" r:id="rId53"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240724" r:id="rId54" name="Option Button 84">
              <controlPr defaultSize="0" autoFill="0" autoLine="0" autoPict="0">
                <anchor moveWithCells="1">
                  <from>
                    <xdr:col>7</xdr:col>
                    <xdr:colOff>106680</xdr:colOff>
                    <xdr:row>45</xdr:row>
                    <xdr:rowOff>304800</xdr:rowOff>
                  </from>
                  <to>
                    <xdr:col>7</xdr:col>
                    <xdr:colOff>1958340</xdr:colOff>
                    <xdr:row>45</xdr:row>
                    <xdr:rowOff>502920</xdr:rowOff>
                  </to>
                </anchor>
              </controlPr>
            </control>
          </mc:Choice>
        </mc:AlternateContent>
        <mc:AlternateContent xmlns:mc="http://schemas.openxmlformats.org/markup-compatibility/2006">
          <mc:Choice Requires="x14">
            <control shapeId="240725" r:id="rId55" name="Option Button 85">
              <controlPr defaultSize="0" autoFill="0" autoLine="0" autoPict="0">
                <anchor moveWithCells="1">
                  <from>
                    <xdr:col>7</xdr:col>
                    <xdr:colOff>106680</xdr:colOff>
                    <xdr:row>45</xdr:row>
                    <xdr:rowOff>579120</xdr:rowOff>
                  </from>
                  <to>
                    <xdr:col>7</xdr:col>
                    <xdr:colOff>1965960</xdr:colOff>
                    <xdr:row>45</xdr:row>
                    <xdr:rowOff>754380</xdr:rowOff>
                  </to>
                </anchor>
              </controlPr>
            </control>
          </mc:Choice>
        </mc:AlternateContent>
        <mc:AlternateContent xmlns:mc="http://schemas.openxmlformats.org/markup-compatibility/2006">
          <mc:Choice Requires="x14">
            <control shapeId="240726" r:id="rId56"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240727" r:id="rId57"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240728" r:id="rId58" name="Option Button 88">
              <controlPr defaultSize="0" autoFill="0" autoLine="0" autoPict="0">
                <anchor moveWithCells="1">
                  <from>
                    <xdr:col>7</xdr:col>
                    <xdr:colOff>114300</xdr:colOff>
                    <xdr:row>60</xdr:row>
                    <xdr:rowOff>144780</xdr:rowOff>
                  </from>
                  <to>
                    <xdr:col>7</xdr:col>
                    <xdr:colOff>1958340</xdr:colOff>
                    <xdr:row>60</xdr:row>
                    <xdr:rowOff>320040</xdr:rowOff>
                  </to>
                </anchor>
              </controlPr>
            </control>
          </mc:Choice>
        </mc:AlternateContent>
        <mc:AlternateContent xmlns:mc="http://schemas.openxmlformats.org/markup-compatibility/2006">
          <mc:Choice Requires="x14">
            <control shapeId="240729" r:id="rId59" name="Option Button 89">
              <controlPr defaultSize="0" autoFill="0" autoLine="0" autoPict="0">
                <anchor moveWithCells="1">
                  <from>
                    <xdr:col>7</xdr:col>
                    <xdr:colOff>114300</xdr:colOff>
                    <xdr:row>60</xdr:row>
                    <xdr:rowOff>396240</xdr:rowOff>
                  </from>
                  <to>
                    <xdr:col>7</xdr:col>
                    <xdr:colOff>1958340</xdr:colOff>
                    <xdr:row>60</xdr:row>
                    <xdr:rowOff>586740</xdr:rowOff>
                  </to>
                </anchor>
              </controlPr>
            </control>
          </mc:Choice>
        </mc:AlternateContent>
        <mc:AlternateContent xmlns:mc="http://schemas.openxmlformats.org/markup-compatibility/2006">
          <mc:Choice Requires="x14">
            <control shapeId="240730" r:id="rId60" name="Option Button 90">
              <controlPr defaultSize="0" autoFill="0" autoLine="0" autoPict="0">
                <anchor moveWithCells="1">
                  <from>
                    <xdr:col>7</xdr:col>
                    <xdr:colOff>114300</xdr:colOff>
                    <xdr:row>60</xdr:row>
                    <xdr:rowOff>640080</xdr:rowOff>
                  </from>
                  <to>
                    <xdr:col>7</xdr:col>
                    <xdr:colOff>1958340</xdr:colOff>
                    <xdr:row>60</xdr:row>
                    <xdr:rowOff>830580</xdr:rowOff>
                  </to>
                </anchor>
              </controlPr>
            </control>
          </mc:Choice>
        </mc:AlternateContent>
        <mc:AlternateContent xmlns:mc="http://schemas.openxmlformats.org/markup-compatibility/2006">
          <mc:Choice Requires="x14">
            <control shapeId="240731" r:id="rId61" name="Option Button 91">
              <controlPr defaultSize="0" autoFill="0" autoLine="0" autoPict="0">
                <anchor moveWithCells="1">
                  <from>
                    <xdr:col>7</xdr:col>
                    <xdr:colOff>114300</xdr:colOff>
                    <xdr:row>60</xdr:row>
                    <xdr:rowOff>922020</xdr:rowOff>
                  </from>
                  <to>
                    <xdr:col>7</xdr:col>
                    <xdr:colOff>1958340</xdr:colOff>
                    <xdr:row>60</xdr:row>
                    <xdr:rowOff>1120140</xdr:rowOff>
                  </to>
                </anchor>
              </controlPr>
            </control>
          </mc:Choice>
        </mc:AlternateContent>
        <mc:AlternateContent xmlns:mc="http://schemas.openxmlformats.org/markup-compatibility/2006">
          <mc:Choice Requires="x14">
            <control shapeId="240732" r:id="rId62"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240733" r:id="rId63"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240734" r:id="rId64" name="Option Button 94">
              <controlPr defaultSize="0" autoFill="0" autoLine="0" autoPict="0">
                <anchor moveWithCells="1">
                  <from>
                    <xdr:col>7</xdr:col>
                    <xdr:colOff>106680</xdr:colOff>
                    <xdr:row>59</xdr:row>
                    <xdr:rowOff>304800</xdr:rowOff>
                  </from>
                  <to>
                    <xdr:col>7</xdr:col>
                    <xdr:colOff>1958340</xdr:colOff>
                    <xdr:row>59</xdr:row>
                    <xdr:rowOff>502920</xdr:rowOff>
                  </to>
                </anchor>
              </controlPr>
            </control>
          </mc:Choice>
        </mc:AlternateContent>
        <mc:AlternateContent xmlns:mc="http://schemas.openxmlformats.org/markup-compatibility/2006">
          <mc:Choice Requires="x14">
            <control shapeId="240735" r:id="rId65" name="Option Button 95">
              <controlPr defaultSize="0" autoFill="0" autoLine="0" autoPict="0">
                <anchor moveWithCells="1">
                  <from>
                    <xdr:col>7</xdr:col>
                    <xdr:colOff>106680</xdr:colOff>
                    <xdr:row>59</xdr:row>
                    <xdr:rowOff>579120</xdr:rowOff>
                  </from>
                  <to>
                    <xdr:col>7</xdr:col>
                    <xdr:colOff>1965960</xdr:colOff>
                    <xdr:row>59</xdr:row>
                    <xdr:rowOff>754380</xdr:rowOff>
                  </to>
                </anchor>
              </controlPr>
            </control>
          </mc:Choice>
        </mc:AlternateContent>
        <mc:AlternateContent xmlns:mc="http://schemas.openxmlformats.org/markup-compatibility/2006">
          <mc:Choice Requires="x14">
            <control shapeId="240736" r:id="rId66"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240737" r:id="rId67"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240739" r:id="rId68" name="Option Button 99">
              <controlPr defaultSize="0" autoFill="0" autoLine="0" autoPict="0">
                <anchor moveWithCells="1">
                  <from>
                    <xdr:col>7</xdr:col>
                    <xdr:colOff>114300</xdr:colOff>
                    <xdr:row>63</xdr:row>
                    <xdr:rowOff>144780</xdr:rowOff>
                  </from>
                  <to>
                    <xdr:col>7</xdr:col>
                    <xdr:colOff>1958340</xdr:colOff>
                    <xdr:row>63</xdr:row>
                    <xdr:rowOff>320040</xdr:rowOff>
                  </to>
                </anchor>
              </controlPr>
            </control>
          </mc:Choice>
        </mc:AlternateContent>
        <mc:AlternateContent xmlns:mc="http://schemas.openxmlformats.org/markup-compatibility/2006">
          <mc:Choice Requires="x14">
            <control shapeId="240740" r:id="rId69" name="Option Button 100">
              <controlPr defaultSize="0" autoFill="0" autoLine="0" autoPict="0">
                <anchor moveWithCells="1">
                  <from>
                    <xdr:col>7</xdr:col>
                    <xdr:colOff>114300</xdr:colOff>
                    <xdr:row>63</xdr:row>
                    <xdr:rowOff>396240</xdr:rowOff>
                  </from>
                  <to>
                    <xdr:col>7</xdr:col>
                    <xdr:colOff>1958340</xdr:colOff>
                    <xdr:row>63</xdr:row>
                    <xdr:rowOff>586740</xdr:rowOff>
                  </to>
                </anchor>
              </controlPr>
            </control>
          </mc:Choice>
        </mc:AlternateContent>
        <mc:AlternateContent xmlns:mc="http://schemas.openxmlformats.org/markup-compatibility/2006">
          <mc:Choice Requires="x14">
            <control shapeId="240741" r:id="rId70" name="Option Button 101">
              <controlPr defaultSize="0" autoFill="0" autoLine="0" autoPict="0">
                <anchor moveWithCells="1">
                  <from>
                    <xdr:col>7</xdr:col>
                    <xdr:colOff>114300</xdr:colOff>
                    <xdr:row>63</xdr:row>
                    <xdr:rowOff>640080</xdr:rowOff>
                  </from>
                  <to>
                    <xdr:col>7</xdr:col>
                    <xdr:colOff>1958340</xdr:colOff>
                    <xdr:row>63</xdr:row>
                    <xdr:rowOff>830580</xdr:rowOff>
                  </to>
                </anchor>
              </controlPr>
            </control>
          </mc:Choice>
        </mc:AlternateContent>
        <mc:AlternateContent xmlns:mc="http://schemas.openxmlformats.org/markup-compatibility/2006">
          <mc:Choice Requires="x14">
            <control shapeId="240742" r:id="rId71" name="Option Button 102">
              <controlPr defaultSize="0" autoFill="0" autoLine="0" autoPict="0">
                <anchor moveWithCells="1">
                  <from>
                    <xdr:col>7</xdr:col>
                    <xdr:colOff>114300</xdr:colOff>
                    <xdr:row>63</xdr:row>
                    <xdr:rowOff>922020</xdr:rowOff>
                  </from>
                  <to>
                    <xdr:col>7</xdr:col>
                    <xdr:colOff>1958340</xdr:colOff>
                    <xdr:row>63</xdr:row>
                    <xdr:rowOff>1120140</xdr:rowOff>
                  </to>
                </anchor>
              </controlPr>
            </control>
          </mc:Choice>
        </mc:AlternateContent>
        <mc:AlternateContent xmlns:mc="http://schemas.openxmlformats.org/markup-compatibility/2006">
          <mc:Choice Requires="x14">
            <control shapeId="240743" r:id="rId72"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240744" r:id="rId73" name="Option Button 104">
              <controlPr defaultSize="0" autoFill="0" autoLine="0" autoPict="0" altText="Case d'option 47">
                <anchor moveWithCells="1">
                  <from>
                    <xdr:col>7</xdr:col>
                    <xdr:colOff>114300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240745" r:id="rId74" name="Option Button 105">
              <controlPr defaultSize="0" autoFill="0" autoLine="0" autoPict="0">
                <anchor moveWithCells="1">
                  <from>
                    <xdr:col>7</xdr:col>
                    <xdr:colOff>114300</xdr:colOff>
                    <xdr:row>62</xdr:row>
                    <xdr:rowOff>304800</xdr:rowOff>
                  </from>
                  <to>
                    <xdr:col>7</xdr:col>
                    <xdr:colOff>1958340</xdr:colOff>
                    <xdr:row>62</xdr:row>
                    <xdr:rowOff>502920</xdr:rowOff>
                  </to>
                </anchor>
              </controlPr>
            </control>
          </mc:Choice>
        </mc:AlternateContent>
        <mc:AlternateContent xmlns:mc="http://schemas.openxmlformats.org/markup-compatibility/2006">
          <mc:Choice Requires="x14">
            <control shapeId="240746" r:id="rId75" name="Option Button 106">
              <controlPr defaultSize="0" autoFill="0" autoLine="0" autoPict="0">
                <anchor moveWithCells="1">
                  <from>
                    <xdr:col>7</xdr:col>
                    <xdr:colOff>114300</xdr:colOff>
                    <xdr:row>62</xdr:row>
                    <xdr:rowOff>579120</xdr:rowOff>
                  </from>
                  <to>
                    <xdr:col>7</xdr:col>
                    <xdr:colOff>1965960</xdr:colOff>
                    <xdr:row>62</xdr:row>
                    <xdr:rowOff>754380</xdr:rowOff>
                  </to>
                </anchor>
              </controlPr>
            </control>
          </mc:Choice>
        </mc:AlternateContent>
        <mc:AlternateContent xmlns:mc="http://schemas.openxmlformats.org/markup-compatibility/2006">
          <mc:Choice Requires="x14">
            <control shapeId="240747" r:id="rId76" name="Option Button 107">
              <controlPr defaultSize="0" autoFill="0" autoLine="0" autoPict="0">
                <anchor moveWithCells="1">
                  <from>
                    <xdr:col>7</xdr:col>
                    <xdr:colOff>114300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240748" r:id="rId77"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240749" r:id="rId78"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240750" r:id="rId79" name="Option Button 110">
              <controlPr defaultSize="0" autoFill="0" autoLine="0" autoPict="0">
                <anchor moveWithCells="1">
                  <from>
                    <xdr:col>7</xdr:col>
                    <xdr:colOff>106680</xdr:colOff>
                    <xdr:row>61</xdr:row>
                    <xdr:rowOff>304800</xdr:rowOff>
                  </from>
                  <to>
                    <xdr:col>7</xdr:col>
                    <xdr:colOff>1958340</xdr:colOff>
                    <xdr:row>61</xdr:row>
                    <xdr:rowOff>502920</xdr:rowOff>
                  </to>
                </anchor>
              </controlPr>
            </control>
          </mc:Choice>
        </mc:AlternateContent>
        <mc:AlternateContent xmlns:mc="http://schemas.openxmlformats.org/markup-compatibility/2006">
          <mc:Choice Requires="x14">
            <control shapeId="240751" r:id="rId80" name="Option Button 111">
              <controlPr defaultSize="0" autoFill="0" autoLine="0" autoPict="0">
                <anchor moveWithCells="1">
                  <from>
                    <xdr:col>7</xdr:col>
                    <xdr:colOff>106680</xdr:colOff>
                    <xdr:row>61</xdr:row>
                    <xdr:rowOff>579120</xdr:rowOff>
                  </from>
                  <to>
                    <xdr:col>7</xdr:col>
                    <xdr:colOff>1965960</xdr:colOff>
                    <xdr:row>61</xdr:row>
                    <xdr:rowOff>754380</xdr:rowOff>
                  </to>
                </anchor>
              </controlPr>
            </control>
          </mc:Choice>
        </mc:AlternateContent>
        <mc:AlternateContent xmlns:mc="http://schemas.openxmlformats.org/markup-compatibility/2006">
          <mc:Choice Requires="x14">
            <control shapeId="240752" r:id="rId81"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240753" r:id="rId82"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240759" r:id="rId83" name="Option Button 119">
              <controlPr defaultSize="0" autoFill="0" autoLine="0" autoPict="0">
                <anchor moveWithCells="1">
                  <from>
                    <xdr:col>7</xdr:col>
                    <xdr:colOff>114300</xdr:colOff>
                    <xdr:row>78</xdr:row>
                    <xdr:rowOff>144780</xdr:rowOff>
                  </from>
                  <to>
                    <xdr:col>7</xdr:col>
                    <xdr:colOff>1958340</xdr:colOff>
                    <xdr:row>78</xdr:row>
                    <xdr:rowOff>320040</xdr:rowOff>
                  </to>
                </anchor>
              </controlPr>
            </control>
          </mc:Choice>
        </mc:AlternateContent>
        <mc:AlternateContent xmlns:mc="http://schemas.openxmlformats.org/markup-compatibility/2006">
          <mc:Choice Requires="x14">
            <control shapeId="240760" r:id="rId84" name="Option Button 120">
              <controlPr defaultSize="0" autoFill="0" autoLine="0" autoPict="0">
                <anchor moveWithCells="1">
                  <from>
                    <xdr:col>7</xdr:col>
                    <xdr:colOff>114300</xdr:colOff>
                    <xdr:row>78</xdr:row>
                    <xdr:rowOff>396240</xdr:rowOff>
                  </from>
                  <to>
                    <xdr:col>7</xdr:col>
                    <xdr:colOff>1958340</xdr:colOff>
                    <xdr:row>78</xdr:row>
                    <xdr:rowOff>586740</xdr:rowOff>
                  </to>
                </anchor>
              </controlPr>
            </control>
          </mc:Choice>
        </mc:AlternateContent>
        <mc:AlternateContent xmlns:mc="http://schemas.openxmlformats.org/markup-compatibility/2006">
          <mc:Choice Requires="x14">
            <control shapeId="240761" r:id="rId85" name="Option Button 121">
              <controlPr defaultSize="0" autoFill="0" autoLine="0" autoPict="0">
                <anchor moveWithCells="1">
                  <from>
                    <xdr:col>7</xdr:col>
                    <xdr:colOff>114300</xdr:colOff>
                    <xdr:row>78</xdr:row>
                    <xdr:rowOff>640080</xdr:rowOff>
                  </from>
                  <to>
                    <xdr:col>7</xdr:col>
                    <xdr:colOff>1958340</xdr:colOff>
                    <xdr:row>78</xdr:row>
                    <xdr:rowOff>830580</xdr:rowOff>
                  </to>
                </anchor>
              </controlPr>
            </control>
          </mc:Choice>
        </mc:AlternateContent>
        <mc:AlternateContent xmlns:mc="http://schemas.openxmlformats.org/markup-compatibility/2006">
          <mc:Choice Requires="x14">
            <control shapeId="240762" r:id="rId86" name="Option Button 122">
              <controlPr defaultSize="0" autoFill="0" autoLine="0" autoPict="0">
                <anchor moveWithCells="1">
                  <from>
                    <xdr:col>7</xdr:col>
                    <xdr:colOff>114300</xdr:colOff>
                    <xdr:row>78</xdr:row>
                    <xdr:rowOff>922020</xdr:rowOff>
                  </from>
                  <to>
                    <xdr:col>7</xdr:col>
                    <xdr:colOff>1958340</xdr:colOff>
                    <xdr:row>78</xdr:row>
                    <xdr:rowOff>1120140</xdr:rowOff>
                  </to>
                </anchor>
              </controlPr>
            </control>
          </mc:Choice>
        </mc:AlternateContent>
        <mc:AlternateContent xmlns:mc="http://schemas.openxmlformats.org/markup-compatibility/2006">
          <mc:Choice Requires="x14">
            <control shapeId="240763" r:id="rId87"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240764" r:id="rId88"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240765" r:id="rId89" name="Option Button 125">
              <controlPr defaultSize="0" autoFill="0" autoLine="0" autoPict="0">
                <anchor moveWithCells="1">
                  <from>
                    <xdr:col>7</xdr:col>
                    <xdr:colOff>106680</xdr:colOff>
                    <xdr:row>77</xdr:row>
                    <xdr:rowOff>304800</xdr:rowOff>
                  </from>
                  <to>
                    <xdr:col>7</xdr:col>
                    <xdr:colOff>1958340</xdr:colOff>
                    <xdr:row>77</xdr:row>
                    <xdr:rowOff>502920</xdr:rowOff>
                  </to>
                </anchor>
              </controlPr>
            </control>
          </mc:Choice>
        </mc:AlternateContent>
        <mc:AlternateContent xmlns:mc="http://schemas.openxmlformats.org/markup-compatibility/2006">
          <mc:Choice Requires="x14">
            <control shapeId="240766" r:id="rId90" name="Option Button 126">
              <controlPr defaultSize="0" autoFill="0" autoLine="0" autoPict="0">
                <anchor moveWithCells="1">
                  <from>
                    <xdr:col>7</xdr:col>
                    <xdr:colOff>106680</xdr:colOff>
                    <xdr:row>77</xdr:row>
                    <xdr:rowOff>579120</xdr:rowOff>
                  </from>
                  <to>
                    <xdr:col>7</xdr:col>
                    <xdr:colOff>1965960</xdr:colOff>
                    <xdr:row>77</xdr:row>
                    <xdr:rowOff>754380</xdr:rowOff>
                  </to>
                </anchor>
              </controlPr>
            </control>
          </mc:Choice>
        </mc:AlternateContent>
        <mc:AlternateContent xmlns:mc="http://schemas.openxmlformats.org/markup-compatibility/2006">
          <mc:Choice Requires="x14">
            <control shapeId="240767" r:id="rId91"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240768" r:id="rId92"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240774" r:id="rId93" name="Option Button 134">
              <controlPr defaultSize="0" autoFill="0" autoLine="0" autoPict="0" altText="Case d'option 47">
                <anchor moveWithCells="1">
                  <from>
                    <xdr:col>7</xdr:col>
                    <xdr:colOff>114300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240775" r:id="rId94" name="Option Button 135">
              <controlPr defaultSize="0" autoFill="0" autoLine="0" autoPict="0">
                <anchor moveWithCells="1">
                  <from>
                    <xdr:col>7</xdr:col>
                    <xdr:colOff>114300</xdr:colOff>
                    <xdr:row>80</xdr:row>
                    <xdr:rowOff>304800</xdr:rowOff>
                  </from>
                  <to>
                    <xdr:col>7</xdr:col>
                    <xdr:colOff>1958340</xdr:colOff>
                    <xdr:row>80</xdr:row>
                    <xdr:rowOff>502920</xdr:rowOff>
                  </to>
                </anchor>
              </controlPr>
            </control>
          </mc:Choice>
        </mc:AlternateContent>
        <mc:AlternateContent xmlns:mc="http://schemas.openxmlformats.org/markup-compatibility/2006">
          <mc:Choice Requires="x14">
            <control shapeId="240776" r:id="rId95" name="Option Button 136">
              <controlPr defaultSize="0" autoFill="0" autoLine="0" autoPict="0">
                <anchor moveWithCells="1">
                  <from>
                    <xdr:col>7</xdr:col>
                    <xdr:colOff>114300</xdr:colOff>
                    <xdr:row>80</xdr:row>
                    <xdr:rowOff>579120</xdr:rowOff>
                  </from>
                  <to>
                    <xdr:col>7</xdr:col>
                    <xdr:colOff>1965960</xdr:colOff>
                    <xdr:row>80</xdr:row>
                    <xdr:rowOff>754380</xdr:rowOff>
                  </to>
                </anchor>
              </controlPr>
            </control>
          </mc:Choice>
        </mc:AlternateContent>
        <mc:AlternateContent xmlns:mc="http://schemas.openxmlformats.org/markup-compatibility/2006">
          <mc:Choice Requires="x14">
            <control shapeId="240777" r:id="rId96" name="Option Button 137">
              <controlPr defaultSize="0" autoFill="0" autoLine="0" autoPict="0">
                <anchor moveWithCells="1">
                  <from>
                    <xdr:col>7</xdr:col>
                    <xdr:colOff>114300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240778" r:id="rId97"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240779" r:id="rId98"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240780" r:id="rId99" name="Option Button 140">
              <controlPr defaultSize="0" autoFill="0" autoLine="0" autoPict="0">
                <anchor moveWithCells="1">
                  <from>
                    <xdr:col>7</xdr:col>
                    <xdr:colOff>106680</xdr:colOff>
                    <xdr:row>79</xdr:row>
                    <xdr:rowOff>304800</xdr:rowOff>
                  </from>
                  <to>
                    <xdr:col>7</xdr:col>
                    <xdr:colOff>1958340</xdr:colOff>
                    <xdr:row>79</xdr:row>
                    <xdr:rowOff>502920</xdr:rowOff>
                  </to>
                </anchor>
              </controlPr>
            </control>
          </mc:Choice>
        </mc:AlternateContent>
        <mc:AlternateContent xmlns:mc="http://schemas.openxmlformats.org/markup-compatibility/2006">
          <mc:Choice Requires="x14">
            <control shapeId="240781" r:id="rId100" name="Option Button 141">
              <controlPr defaultSize="0" autoFill="0" autoLine="0" autoPict="0">
                <anchor moveWithCells="1">
                  <from>
                    <xdr:col>7</xdr:col>
                    <xdr:colOff>106680</xdr:colOff>
                    <xdr:row>79</xdr:row>
                    <xdr:rowOff>579120</xdr:rowOff>
                  </from>
                  <to>
                    <xdr:col>7</xdr:col>
                    <xdr:colOff>1965960</xdr:colOff>
                    <xdr:row>79</xdr:row>
                    <xdr:rowOff>754380</xdr:rowOff>
                  </to>
                </anchor>
              </controlPr>
            </control>
          </mc:Choice>
        </mc:AlternateContent>
        <mc:AlternateContent xmlns:mc="http://schemas.openxmlformats.org/markup-compatibility/2006">
          <mc:Choice Requires="x14">
            <control shapeId="240782" r:id="rId101"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240783" r:id="rId102"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240784" r:id="rId103"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11" r:id="rId104" name="Option Button 145">
              <controlPr defaultSize="0" autoFill="0" autoLine="0" autoPict="0">
                <anchor moveWithCells="1">
                  <from>
                    <xdr:col>7</xdr:col>
                    <xdr:colOff>114300</xdr:colOff>
                    <xdr:row>27</xdr:row>
                    <xdr:rowOff>144780</xdr:rowOff>
                  </from>
                  <to>
                    <xdr:col>7</xdr:col>
                    <xdr:colOff>1958340</xdr:colOff>
                    <xdr:row>27</xdr:row>
                    <xdr:rowOff>320040</xdr:rowOff>
                  </to>
                </anchor>
              </controlPr>
            </control>
          </mc:Choice>
        </mc:AlternateContent>
        <mc:AlternateContent xmlns:mc="http://schemas.openxmlformats.org/markup-compatibility/2006">
          <mc:Choice Requires="x14">
            <control shapeId="240786" r:id="rId105" name="Option Button 146">
              <controlPr defaultSize="0" autoFill="0" autoLine="0" autoPict="0">
                <anchor moveWithCells="1">
                  <from>
                    <xdr:col>7</xdr:col>
                    <xdr:colOff>114300</xdr:colOff>
                    <xdr:row>27</xdr:row>
                    <xdr:rowOff>396240</xdr:rowOff>
                  </from>
                  <to>
                    <xdr:col>7</xdr:col>
                    <xdr:colOff>1958340</xdr:colOff>
                    <xdr:row>27</xdr:row>
                    <xdr:rowOff>586740</xdr:rowOff>
                  </to>
                </anchor>
              </controlPr>
            </control>
          </mc:Choice>
        </mc:AlternateContent>
        <mc:AlternateContent xmlns:mc="http://schemas.openxmlformats.org/markup-compatibility/2006">
          <mc:Choice Requires="x14">
            <control shapeId="240787" r:id="rId106" name="Option Button 147">
              <controlPr defaultSize="0" autoFill="0" autoLine="0" autoPict="0">
                <anchor moveWithCells="1">
                  <from>
                    <xdr:col>7</xdr:col>
                    <xdr:colOff>114300</xdr:colOff>
                    <xdr:row>27</xdr:row>
                    <xdr:rowOff>640080</xdr:rowOff>
                  </from>
                  <to>
                    <xdr:col>7</xdr:col>
                    <xdr:colOff>1958340</xdr:colOff>
                    <xdr:row>27</xdr:row>
                    <xdr:rowOff>830580</xdr:rowOff>
                  </to>
                </anchor>
              </controlPr>
            </control>
          </mc:Choice>
        </mc:AlternateContent>
        <mc:AlternateContent xmlns:mc="http://schemas.openxmlformats.org/markup-compatibility/2006">
          <mc:Choice Requires="x14">
            <control shapeId="240788" r:id="rId107" name="Option Button 148">
              <controlPr defaultSize="0" autoFill="0" autoLine="0" autoPict="0">
                <anchor moveWithCells="1">
                  <from>
                    <xdr:col>7</xdr:col>
                    <xdr:colOff>114300</xdr:colOff>
                    <xdr:row>27</xdr:row>
                    <xdr:rowOff>922020</xdr:rowOff>
                  </from>
                  <to>
                    <xdr:col>7</xdr:col>
                    <xdr:colOff>1958340</xdr:colOff>
                    <xdr:row>27</xdr:row>
                    <xdr:rowOff>1120140</xdr:rowOff>
                  </to>
                </anchor>
              </controlPr>
            </control>
          </mc:Choice>
        </mc:AlternateContent>
        <mc:AlternateContent xmlns:mc="http://schemas.openxmlformats.org/markup-compatibility/2006">
          <mc:Choice Requires="x14">
            <control shapeId="240789" r:id="rId108"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2" r:id="rId109" name="Option Button 175">
              <controlPr defaultSize="0" autoFill="0" autoLine="0" autoPict="0">
                <anchor moveWithCells="1">
                  <from>
                    <xdr:col>7</xdr:col>
                    <xdr:colOff>114300</xdr:colOff>
                    <xdr:row>94</xdr:row>
                    <xdr:rowOff>144780</xdr:rowOff>
                  </from>
                  <to>
                    <xdr:col>7</xdr:col>
                    <xdr:colOff>1958340</xdr:colOff>
                    <xdr:row>94</xdr:row>
                    <xdr:rowOff>320040</xdr:rowOff>
                  </to>
                </anchor>
              </controlPr>
            </control>
          </mc:Choice>
        </mc:AlternateContent>
        <mc:AlternateContent xmlns:mc="http://schemas.openxmlformats.org/markup-compatibility/2006">
          <mc:Choice Requires="x14">
            <control shapeId="240816" r:id="rId110" name="Option Button 176">
              <controlPr defaultSize="0" autoFill="0" autoLine="0" autoPict="0">
                <anchor moveWithCells="1">
                  <from>
                    <xdr:col>7</xdr:col>
                    <xdr:colOff>114300</xdr:colOff>
                    <xdr:row>94</xdr:row>
                    <xdr:rowOff>396240</xdr:rowOff>
                  </from>
                  <to>
                    <xdr:col>7</xdr:col>
                    <xdr:colOff>1958340</xdr:colOff>
                    <xdr:row>94</xdr:row>
                    <xdr:rowOff>586740</xdr:rowOff>
                  </to>
                </anchor>
              </controlPr>
            </control>
          </mc:Choice>
        </mc:AlternateContent>
        <mc:AlternateContent xmlns:mc="http://schemas.openxmlformats.org/markup-compatibility/2006">
          <mc:Choice Requires="x14">
            <control shapeId="240817" r:id="rId111" name="Option Button 177">
              <controlPr defaultSize="0" autoFill="0" autoLine="0" autoPict="0">
                <anchor moveWithCells="1">
                  <from>
                    <xdr:col>7</xdr:col>
                    <xdr:colOff>114300</xdr:colOff>
                    <xdr:row>94</xdr:row>
                    <xdr:rowOff>640080</xdr:rowOff>
                  </from>
                  <to>
                    <xdr:col>7</xdr:col>
                    <xdr:colOff>1958340</xdr:colOff>
                    <xdr:row>94</xdr:row>
                    <xdr:rowOff>830580</xdr:rowOff>
                  </to>
                </anchor>
              </controlPr>
            </control>
          </mc:Choice>
        </mc:AlternateContent>
        <mc:AlternateContent xmlns:mc="http://schemas.openxmlformats.org/markup-compatibility/2006">
          <mc:Choice Requires="x14">
            <control shapeId="240818" r:id="rId112" name="Option Button 178">
              <controlPr defaultSize="0" autoFill="0" autoLine="0" autoPict="0">
                <anchor moveWithCells="1">
                  <from>
                    <xdr:col>7</xdr:col>
                    <xdr:colOff>114300</xdr:colOff>
                    <xdr:row>94</xdr:row>
                    <xdr:rowOff>922020</xdr:rowOff>
                  </from>
                  <to>
                    <xdr:col>7</xdr:col>
                    <xdr:colOff>1958340</xdr:colOff>
                    <xdr:row>94</xdr:row>
                    <xdr:rowOff>1120140</xdr:rowOff>
                  </to>
                </anchor>
              </controlPr>
            </control>
          </mc:Choice>
        </mc:AlternateContent>
        <mc:AlternateContent xmlns:mc="http://schemas.openxmlformats.org/markup-compatibility/2006">
          <mc:Choice Requires="x14">
            <control shapeId="240819" r:id="rId113"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240820" r:id="rId114"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240821" r:id="rId115" name="Option Button 181">
              <controlPr defaultSize="0" autoFill="0" autoLine="0" autoPict="0">
                <anchor moveWithCells="1">
                  <from>
                    <xdr:col>7</xdr:col>
                    <xdr:colOff>106680</xdr:colOff>
                    <xdr:row>93</xdr:row>
                    <xdr:rowOff>304800</xdr:rowOff>
                  </from>
                  <to>
                    <xdr:col>7</xdr:col>
                    <xdr:colOff>1958340</xdr:colOff>
                    <xdr:row>93</xdr:row>
                    <xdr:rowOff>502920</xdr:rowOff>
                  </to>
                </anchor>
              </controlPr>
            </control>
          </mc:Choice>
        </mc:AlternateContent>
        <mc:AlternateContent xmlns:mc="http://schemas.openxmlformats.org/markup-compatibility/2006">
          <mc:Choice Requires="x14">
            <control shapeId="240822" r:id="rId116" name="Option Button 182">
              <controlPr defaultSize="0" autoFill="0" autoLine="0" autoPict="0">
                <anchor moveWithCells="1">
                  <from>
                    <xdr:col>7</xdr:col>
                    <xdr:colOff>106680</xdr:colOff>
                    <xdr:row>93</xdr:row>
                    <xdr:rowOff>579120</xdr:rowOff>
                  </from>
                  <to>
                    <xdr:col>7</xdr:col>
                    <xdr:colOff>1965960</xdr:colOff>
                    <xdr:row>93</xdr:row>
                    <xdr:rowOff>754380</xdr:rowOff>
                  </to>
                </anchor>
              </controlPr>
            </control>
          </mc:Choice>
        </mc:AlternateContent>
        <mc:AlternateContent xmlns:mc="http://schemas.openxmlformats.org/markup-compatibility/2006">
          <mc:Choice Requires="x14">
            <control shapeId="240823" r:id="rId117"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240824" r:id="rId118"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13" r:id="rId119" name="Option Button 190">
              <controlPr defaultSize="0" autoFill="0" autoLine="0" autoPict="0" altText="Case d'option 47">
                <anchor moveWithCells="1">
                  <from>
                    <xdr:col>7</xdr:col>
                    <xdr:colOff>114300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240831" r:id="rId120" name="Option Button 191">
              <controlPr defaultSize="0" autoFill="0" autoLine="0" autoPict="0">
                <anchor moveWithCells="1">
                  <from>
                    <xdr:col>7</xdr:col>
                    <xdr:colOff>114300</xdr:colOff>
                    <xdr:row>96</xdr:row>
                    <xdr:rowOff>304800</xdr:rowOff>
                  </from>
                  <to>
                    <xdr:col>7</xdr:col>
                    <xdr:colOff>1958340</xdr:colOff>
                    <xdr:row>96</xdr:row>
                    <xdr:rowOff>502920</xdr:rowOff>
                  </to>
                </anchor>
              </controlPr>
            </control>
          </mc:Choice>
        </mc:AlternateContent>
        <mc:AlternateContent xmlns:mc="http://schemas.openxmlformats.org/markup-compatibility/2006">
          <mc:Choice Requires="x14">
            <control shapeId="240832" r:id="rId121" name="Option Button 192">
              <controlPr defaultSize="0" autoFill="0" autoLine="0" autoPict="0">
                <anchor moveWithCells="1">
                  <from>
                    <xdr:col>7</xdr:col>
                    <xdr:colOff>114300</xdr:colOff>
                    <xdr:row>96</xdr:row>
                    <xdr:rowOff>579120</xdr:rowOff>
                  </from>
                  <to>
                    <xdr:col>7</xdr:col>
                    <xdr:colOff>1965960</xdr:colOff>
                    <xdr:row>96</xdr:row>
                    <xdr:rowOff>754380</xdr:rowOff>
                  </to>
                </anchor>
              </controlPr>
            </control>
          </mc:Choice>
        </mc:AlternateContent>
        <mc:AlternateContent xmlns:mc="http://schemas.openxmlformats.org/markup-compatibility/2006">
          <mc:Choice Requires="x14">
            <control shapeId="240833" r:id="rId122" name="Option Button 193">
              <controlPr defaultSize="0" autoFill="0" autoLine="0" autoPict="0">
                <anchor moveWithCells="1">
                  <from>
                    <xdr:col>7</xdr:col>
                    <xdr:colOff>114300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240834" r:id="rId123"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240835" r:id="rId124"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14" r:id="rId125" name="Option Button 196">
              <controlPr defaultSize="0" autoFill="0" autoLine="0" autoPict="0">
                <anchor moveWithCells="1">
                  <from>
                    <xdr:col>7</xdr:col>
                    <xdr:colOff>106680</xdr:colOff>
                    <xdr:row>95</xdr:row>
                    <xdr:rowOff>304800</xdr:rowOff>
                  </from>
                  <to>
                    <xdr:col>7</xdr:col>
                    <xdr:colOff>1958340</xdr:colOff>
                    <xdr:row>95</xdr:row>
                    <xdr:rowOff>502920</xdr:rowOff>
                  </to>
                </anchor>
              </controlPr>
            </control>
          </mc:Choice>
        </mc:AlternateContent>
        <mc:AlternateContent xmlns:mc="http://schemas.openxmlformats.org/markup-compatibility/2006">
          <mc:Choice Requires="x14">
            <control shapeId="240837" r:id="rId126" name="Option Button 197">
              <controlPr defaultSize="0" autoFill="0" autoLine="0" autoPict="0">
                <anchor moveWithCells="1">
                  <from>
                    <xdr:col>7</xdr:col>
                    <xdr:colOff>106680</xdr:colOff>
                    <xdr:row>95</xdr:row>
                    <xdr:rowOff>579120</xdr:rowOff>
                  </from>
                  <to>
                    <xdr:col>7</xdr:col>
                    <xdr:colOff>1965960</xdr:colOff>
                    <xdr:row>95</xdr:row>
                    <xdr:rowOff>754380</xdr:rowOff>
                  </to>
                </anchor>
              </controlPr>
            </control>
          </mc:Choice>
        </mc:AlternateContent>
        <mc:AlternateContent xmlns:mc="http://schemas.openxmlformats.org/markup-compatibility/2006">
          <mc:Choice Requires="x14">
            <control shapeId="240838" r:id="rId127"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240839" r:id="rId128"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5BBEA-5209-4670-AB93-5C33A6AAC23E}">
  <sheetPr codeName="Feuil18">
    <tabColor rgb="FF0097CC"/>
  </sheetPr>
  <dimension ref="A1:AI62"/>
  <sheetViews>
    <sheetView showGridLines="0" showRowColHeaders="0" zoomScale="53" zoomScaleNormal="53" workbookViewId="0">
      <selection activeCell="W20" sqref="W20"/>
    </sheetView>
  </sheetViews>
  <sheetFormatPr baseColWidth="10" defaultColWidth="8.88671875" defaultRowHeight="14.4" x14ac:dyDescent="0.3"/>
  <cols>
    <col min="1" max="2" width="5.77734375" style="31" customWidth="1"/>
    <col min="3" max="5" width="5.77734375" style="31" hidden="1" customWidth="1"/>
    <col min="6" max="6" width="25.5546875" style="31" bestFit="1" customWidth="1"/>
    <col min="7" max="7" width="73.5546875" style="31" customWidth="1"/>
    <col min="8" max="12" width="5.77734375" style="31" customWidth="1"/>
    <col min="13" max="13" width="3.5546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60"/>
      <c r="B1" s="261" t="s">
        <v>558</v>
      </c>
      <c r="C1" s="260"/>
      <c r="D1" s="260"/>
      <c r="E1" s="262"/>
      <c r="F1" s="262"/>
      <c r="G1" s="262"/>
      <c r="H1" s="262"/>
      <c r="I1" s="262"/>
      <c r="J1" s="263"/>
      <c r="K1" s="264"/>
      <c r="L1" s="262"/>
      <c r="M1" s="262"/>
      <c r="N1" s="265"/>
      <c r="O1" s="265"/>
      <c r="P1" s="265"/>
      <c r="Q1" s="265" t="str">
        <f>VLOOKUP($E$27,BDD!$A$2:$N$567,3,FALSE)</f>
        <v>Innovation</v>
      </c>
      <c r="R1" s="268"/>
      <c r="S1" s="269"/>
      <c r="T1" s="269"/>
      <c r="U1" s="269"/>
      <c r="V1" s="269"/>
      <c r="W1" s="269"/>
      <c r="X1" s="269"/>
      <c r="Y1" s="269"/>
      <c r="Z1" s="269"/>
      <c r="AA1" s="269"/>
      <c r="AB1" s="269"/>
      <c r="AC1" s="269"/>
      <c r="AD1" s="269"/>
      <c r="AE1" s="269"/>
      <c r="AF1" s="269"/>
      <c r="AG1" s="269"/>
      <c r="AH1" s="269"/>
      <c r="AI1" s="30"/>
    </row>
    <row r="2" spans="1:35" ht="45" customHeight="1" x14ac:dyDescent="0.3">
      <c r="A2" s="268"/>
      <c r="B2" s="268"/>
      <c r="C2" s="268"/>
      <c r="D2" s="268"/>
      <c r="E2" s="268"/>
      <c r="F2" s="268"/>
      <c r="G2" s="268"/>
      <c r="H2" s="268"/>
      <c r="I2" s="268"/>
      <c r="J2" s="268"/>
      <c r="K2" s="268"/>
      <c r="L2" s="268"/>
      <c r="M2" s="268"/>
      <c r="N2" s="270"/>
      <c r="O2" s="270"/>
      <c r="P2" s="270"/>
      <c r="Q2" s="270" t="str">
        <f>VLOOKUP($E$27,BDD!$A$2:$N$567,4,FALSE)</f>
        <v>Explorer et promouvoir les nouvelles technologies et usages numériques</v>
      </c>
      <c r="R2" s="268"/>
      <c r="S2" s="271"/>
      <c r="T2" s="271"/>
      <c r="U2" s="271"/>
      <c r="V2" s="271"/>
      <c r="W2" s="271"/>
      <c r="X2" s="271"/>
      <c r="Y2" s="271"/>
      <c r="Z2" s="271"/>
      <c r="AA2" s="271"/>
      <c r="AB2" s="271"/>
      <c r="AC2" s="271"/>
      <c r="AD2" s="271"/>
      <c r="AE2" s="271"/>
      <c r="AF2" s="271"/>
      <c r="AG2" s="271"/>
      <c r="AH2" s="271"/>
      <c r="AI2" s="30"/>
    </row>
    <row r="3" spans="1:35" ht="45" customHeight="1" thickBot="1" x14ac:dyDescent="0.35">
      <c r="A3" s="267"/>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267"/>
      <c r="AI3" s="30"/>
    </row>
    <row r="4" spans="1:35" ht="26.4" thickBot="1" x14ac:dyDescent="0.55000000000000004">
      <c r="A4" s="267"/>
      <c r="B4" s="30"/>
      <c r="C4" s="30"/>
      <c r="D4" s="30"/>
      <c r="E4" s="30"/>
      <c r="F4" s="30"/>
      <c r="G4" s="36" t="s">
        <v>1</v>
      </c>
      <c r="H4" s="34"/>
      <c r="I4" s="32"/>
      <c r="J4" s="34"/>
      <c r="K4" s="34"/>
      <c r="L4" s="34"/>
      <c r="M4" s="34"/>
      <c r="N4" s="30"/>
      <c r="O4" s="30"/>
      <c r="P4" s="30"/>
      <c r="Q4" s="30"/>
      <c r="R4" s="30"/>
      <c r="S4" s="30"/>
      <c r="T4" s="30"/>
      <c r="U4" s="30"/>
      <c r="V4" s="30"/>
      <c r="W4" s="320" t="s">
        <v>0</v>
      </c>
      <c r="X4" s="30"/>
      <c r="Y4" s="30"/>
      <c r="Z4" s="30"/>
      <c r="AA4" s="417"/>
      <c r="AB4" s="418" t="s">
        <v>1079</v>
      </c>
      <c r="AC4" s="30"/>
      <c r="AD4" s="30"/>
      <c r="AE4" s="30"/>
      <c r="AF4" s="35"/>
      <c r="AG4" s="35"/>
      <c r="AH4" s="291"/>
      <c r="AI4" s="30"/>
    </row>
    <row r="5" spans="1:35" ht="30" customHeight="1" thickBot="1" x14ac:dyDescent="0.35">
      <c r="A5" s="267"/>
      <c r="B5" s="30"/>
      <c r="C5" s="30"/>
      <c r="D5" s="30"/>
      <c r="E5" s="30" t="str">
        <f>RIGHT($B$1,1)&amp;"11"</f>
        <v>211</v>
      </c>
      <c r="F5" s="30"/>
      <c r="G5" s="196" t="str">
        <f>IF(VLOOKUP(E5,BDD!$A$2:$N$567,13,FALSE)=0,"",VLOOKUP(E5,BDD!$A$2:$N$567,13,FALSE))</f>
        <v>Anticiper les évolutions des technologies et des nouveaux usages au service de la performance et de la croissance.</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267"/>
      <c r="AI5" s="30"/>
    </row>
    <row r="6" spans="1:35" ht="30" customHeight="1" x14ac:dyDescent="0.3">
      <c r="A6" s="290"/>
      <c r="B6" s="38"/>
      <c r="C6" s="38"/>
      <c r="D6" s="38"/>
      <c r="E6" s="38" t="str">
        <f>RIGHT($B$1,1)&amp;"12"</f>
        <v>212</v>
      </c>
      <c r="F6" s="38"/>
      <c r="G6" s="196" t="str">
        <f>IF(VLOOKUP(E6,BDD!$A$2:$N$567,13,FALSE)=0,"",VLOOKUP(E6,BDD!$A$2:$N$567,13,FALSE))</f>
        <v>Assurer l'acculturation autour de l’innovation technologique et des usages au sein de l’organisation et auprès des instances décisionnelles.</v>
      </c>
      <c r="H6" s="39"/>
      <c r="I6" s="32"/>
      <c r="K6" s="39"/>
      <c r="L6" s="452"/>
      <c r="M6" s="453"/>
      <c r="N6" s="454"/>
      <c r="O6" s="455"/>
      <c r="P6" s="455"/>
      <c r="Q6" s="455"/>
      <c r="R6" s="455"/>
      <c r="S6" s="455"/>
      <c r="T6" s="455"/>
      <c r="U6" s="455"/>
      <c r="V6" s="455"/>
      <c r="W6" s="455"/>
      <c r="X6" s="455"/>
      <c r="Y6" s="455"/>
      <c r="Z6" s="455"/>
      <c r="AA6" s="455"/>
      <c r="AB6" s="456"/>
      <c r="AC6" s="35"/>
      <c r="AD6" s="35"/>
      <c r="AE6" s="35"/>
      <c r="AF6" s="32"/>
      <c r="AG6" s="32"/>
      <c r="AH6" s="292"/>
      <c r="AI6" s="38"/>
    </row>
    <row r="7" spans="1:35" ht="31.8" thickBot="1" x14ac:dyDescent="0.35">
      <c r="A7" s="290"/>
      <c r="B7" s="38"/>
      <c r="C7" s="38"/>
      <c r="D7" s="38"/>
      <c r="E7" s="38" t="str">
        <f>RIGHT($B$1,1)&amp;"13"</f>
        <v>213</v>
      </c>
      <c r="F7" s="38"/>
      <c r="G7" s="196" t="str">
        <f>IF(VLOOKUP(E7,BDD!$A$2:$N$567,13,FALSE)=0,"",VLOOKUP(E7,BDD!$A$2:$N$567,13,FALSE))</f>
        <v>Intégrer les dimensions de responsabilité et d’éthique dans le processus d'innovation.</v>
      </c>
      <c r="H7" s="39"/>
      <c r="I7" s="32"/>
      <c r="K7" s="39"/>
      <c r="L7" s="457"/>
      <c r="M7" s="458"/>
      <c r="N7" s="420" t="s">
        <v>2</v>
      </c>
      <c r="O7" s="421" t="s">
        <v>3</v>
      </c>
      <c r="P7" s="421" t="s">
        <v>4</v>
      </c>
      <c r="Q7" s="421" t="s">
        <v>5</v>
      </c>
      <c r="R7" s="421" t="s">
        <v>6</v>
      </c>
      <c r="S7" s="421" t="s">
        <v>7</v>
      </c>
      <c r="T7" s="421" t="s">
        <v>8</v>
      </c>
      <c r="U7" s="421" t="s">
        <v>9</v>
      </c>
      <c r="V7" s="459"/>
      <c r="W7" s="460" t="s">
        <v>10</v>
      </c>
      <c r="X7" s="461" t="s">
        <v>11</v>
      </c>
      <c r="Y7" s="462"/>
      <c r="Z7" s="463" t="s">
        <v>12</v>
      </c>
      <c r="AA7" s="464" t="s">
        <v>13</v>
      </c>
      <c r="AB7" s="465"/>
      <c r="AC7" s="40"/>
      <c r="AD7" s="637" t="s">
        <v>14</v>
      </c>
      <c r="AE7" s="41" t="s">
        <v>15</v>
      </c>
      <c r="AF7" s="32"/>
      <c r="AG7" s="32"/>
      <c r="AH7" s="292"/>
      <c r="AI7" s="38"/>
    </row>
    <row r="8" spans="1:35" ht="32.4" customHeight="1" x14ac:dyDescent="0.3">
      <c r="A8" s="290"/>
      <c r="B8" s="38"/>
      <c r="C8" s="38"/>
      <c r="D8" s="38"/>
      <c r="E8" s="38" t="str">
        <f>RIGHT($B$1,1)&amp;"14"</f>
        <v>214</v>
      </c>
      <c r="F8" s="38"/>
      <c r="G8" s="196" t="str">
        <f>IF(VLOOKUP(E8,BDD!$A$2:$N$567,13,FALSE)=0,"",VLOOKUP(E8,BDD!$A$2:$N$567,13,FALSE))</f>
        <v/>
      </c>
      <c r="H8" s="39"/>
      <c r="I8" s="32"/>
      <c r="K8" s="39"/>
      <c r="L8" s="457"/>
      <c r="M8" s="466" t="str">
        <f>IF(LEFT(RIGHT($B$1,2),1)=" ",RIGHT($B$1,1),RIGHT($B$1,2))&amp;1</f>
        <v>21</v>
      </c>
      <c r="N8" s="422" t="str">
        <f>RIGHT(M8,1)&amp;" : "&amp;VLOOKUP($M8&amp;"1",BDD!$A$2:$N$567,6,FALSE)</f>
        <v>1 : Vision Globale</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75"/>
      <c r="R8" s="475"/>
      <c r="S8" s="475"/>
      <c r="T8" s="475"/>
      <c r="U8" s="475"/>
      <c r="V8" s="459"/>
      <c r="W8" s="441" t="s">
        <v>16</v>
      </c>
      <c r="X8" s="442"/>
      <c r="Y8" s="467"/>
      <c r="Z8" s="468">
        <f>O25</f>
        <v>0</v>
      </c>
      <c r="AA8" s="469">
        <f>S25</f>
        <v>0</v>
      </c>
      <c r="AB8" s="465"/>
      <c r="AC8" s="40"/>
      <c r="AD8" s="638"/>
      <c r="AE8" s="44" t="s">
        <v>17</v>
      </c>
      <c r="AF8" s="32"/>
      <c r="AG8" s="32"/>
      <c r="AH8" s="292"/>
      <c r="AI8" s="38"/>
    </row>
    <row r="9" spans="1:35" ht="30" customHeight="1" x14ac:dyDescent="0.3">
      <c r="A9" s="290"/>
      <c r="B9" s="38"/>
      <c r="C9" s="38"/>
      <c r="D9" s="38"/>
      <c r="E9" s="38" t="str">
        <f>RIGHT($B$1,1)&amp;"15"</f>
        <v>215</v>
      </c>
      <c r="F9" s="38"/>
      <c r="G9" s="196" t="str">
        <f>IF(VLOOKUP(E9,BDD!$A$2:$N$567,13,FALSE)=0,"",VLOOKUP(E9,BDD!$A$2:$N$567,13,FALSE))</f>
        <v/>
      </c>
      <c r="H9" s="39"/>
      <c r="I9" s="32"/>
      <c r="K9" s="39"/>
      <c r="L9" s="457"/>
      <c r="M9" s="466" t="str">
        <f>IF(LEFT(RIGHT($B$1,2),1)=" ",RIGHT($B$1,1),RIGHT($B$1,2))&amp;2</f>
        <v>22</v>
      </c>
      <c r="N9" s="424" t="str">
        <f>RIGHT(M9,1)&amp;" : "&amp;VLOOKUP($M9&amp;"1",BDD!$A$2:$N$567,6,FALSE)</f>
        <v xml:space="preserve">2 : Gouvernance et cadre de référence </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5" t="str">
        <f>IF(VLOOKUP($M9&amp;RIGHT(R$7,1),BDD!$A$1:$S$428,15,FALSE)=4,"NE",IF(VLOOKUP($M9&amp;RIGHT(R$7,1),BDD!$A$1:$S$428,15,FALSE)=0,"NE",VLOOKUP($M9&amp;RIGHT(R$7,1),BDD!$A$1:$S$428,15,FALSE)))</f>
        <v>NE</v>
      </c>
      <c r="S9" s="425" t="str">
        <f>IF(VLOOKUP($M9&amp;RIGHT(S$7,1),BDD!$A$1:$S$428,15,FALSE)=4,"NE",IF(VLOOKUP($M9&amp;RIGHT(S$7,1),BDD!$A$1:$S$428,15,FALSE)=0,"NE",VLOOKUP($M9&amp;RIGHT(S$7,1),BDD!$A$1:$S$428,15,FALSE)))</f>
        <v>NE</v>
      </c>
      <c r="T9" s="425" t="str">
        <f>IF(VLOOKUP($M9&amp;RIGHT(T$7,1),BDD!$A$1:$S$428,15,FALSE)=4,"NE",IF(VLOOKUP($M9&amp;RIGHT(T$7,1),BDD!$A$1:$S$428,15,FALSE)=0,"NE",VLOOKUP($M9&amp;RIGHT(T$7,1),BDD!$A$1:$S$428,15,FALSE)))</f>
        <v>NE</v>
      </c>
      <c r="U9" s="427"/>
      <c r="V9" s="459"/>
      <c r="W9" s="443" t="s">
        <v>16</v>
      </c>
      <c r="X9" s="444"/>
      <c r="Y9" s="471"/>
      <c r="Z9" s="472">
        <f>O29</f>
        <v>0</v>
      </c>
      <c r="AA9" s="473">
        <f>S29</f>
        <v>0</v>
      </c>
      <c r="AB9" s="465"/>
      <c r="AC9" s="40"/>
      <c r="AD9" s="638"/>
      <c r="AE9" s="48" t="s">
        <v>18</v>
      </c>
      <c r="AF9" s="32"/>
      <c r="AG9" s="32"/>
      <c r="AH9" s="292"/>
      <c r="AI9" s="38"/>
    </row>
    <row r="10" spans="1:35" ht="30" customHeight="1" x14ac:dyDescent="0.3">
      <c r="A10" s="290"/>
      <c r="B10" s="38"/>
      <c r="C10" s="38"/>
      <c r="D10" s="38"/>
      <c r="E10" s="38" t="str">
        <f>RIGHT($B$1,1)&amp;"16"</f>
        <v>216</v>
      </c>
      <c r="F10" s="38"/>
      <c r="G10" s="31" t="str">
        <f>IF(VLOOKUP(E10,BDD!$A$2:$N$567,13,FALSE)=0,"",VLOOKUP(E10,BDD!$A$2:$N$567,13,FALSE))</f>
        <v/>
      </c>
      <c r="H10" s="39"/>
      <c r="I10" s="32"/>
      <c r="K10" s="39"/>
      <c r="L10" s="457"/>
      <c r="M10" s="466" t="str">
        <f>IF(LEFT(RIGHT($B$1,2),1)=" ",RIGHT($B$1,1),RIGHT($B$1,2))&amp;3</f>
        <v>23</v>
      </c>
      <c r="N10" s="422" t="str">
        <f>RIGHT(M10,1)&amp;" : "&amp;VLOOKUP($M10&amp;"1",BDD!$A$2:$N$567,6,FALSE)</f>
        <v>3 : Veille technologique</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23" t="str">
        <f>IF(VLOOKUP($M10&amp;RIGHT(Q$7,1),BDD!$A$1:$S$428,15,FALSE)=4,"NE",IF(VLOOKUP($M10&amp;RIGHT(Q$7,1),BDD!$A$1:$S$428,15,FALSE)=0,"NE",VLOOKUP($M10&amp;RIGHT(Q$7,1),BDD!$A$1:$S$428,15,FALSE)))</f>
        <v>NE</v>
      </c>
      <c r="R10" s="428" t="str">
        <f>IF(VLOOKUP($M10&amp;RIGHT(R$7,1),BDD!$A$1:$S$428,15,FALSE)=4,"NE",IF(VLOOKUP($M10&amp;RIGHT(R$7,1),BDD!$A$1:$S$428,15,FALSE)=0,"NE",VLOOKUP($M10&amp;RIGHT(R$7,1),BDD!$A$1:$S$428,15,FALSE)))</f>
        <v>NE</v>
      </c>
      <c r="S10" s="475"/>
      <c r="T10" s="475"/>
      <c r="U10" s="430"/>
      <c r="V10" s="459"/>
      <c r="W10" s="445" t="s">
        <v>16</v>
      </c>
      <c r="X10" s="446"/>
      <c r="Y10" s="467"/>
      <c r="Z10" s="468">
        <f>O37</f>
        <v>0</v>
      </c>
      <c r="AA10" s="469">
        <f>S37</f>
        <v>0</v>
      </c>
      <c r="AB10" s="465"/>
      <c r="AC10" s="40"/>
      <c r="AD10" s="638"/>
      <c r="AE10" s="53" t="s">
        <v>19</v>
      </c>
      <c r="AF10" s="51"/>
      <c r="AG10" s="52"/>
      <c r="AH10" s="293"/>
      <c r="AI10" s="38"/>
    </row>
    <row r="11" spans="1:35" ht="30" customHeight="1" x14ac:dyDescent="0.3">
      <c r="A11" s="267"/>
      <c r="B11" s="30"/>
      <c r="C11" s="30"/>
      <c r="D11" s="30"/>
      <c r="E11" s="30" t="str">
        <f>RIGHT($B$1,1)&amp;"17"</f>
        <v>217</v>
      </c>
      <c r="F11" s="30"/>
      <c r="G11" s="31" t="str">
        <f>IF(VLOOKUP(E11,BDD!$A$2:$N$567,13,FALSE)=0,"",VLOOKUP(E11,BDD!$A$2:$N$567,13,FALSE))</f>
        <v/>
      </c>
      <c r="H11" s="52"/>
      <c r="I11" s="32"/>
      <c r="K11" s="52"/>
      <c r="L11" s="476"/>
      <c r="M11" s="477" t="str">
        <f>IF(LEFT(RIGHT($B$1,2),1)=" ",RIGHT($B$1,1),RIGHT($B$1,2))&amp;4</f>
        <v>24</v>
      </c>
      <c r="N11" s="424" t="str">
        <f>RIGHT(M11,1)&amp;" : "&amp;VLOOKUP($M11&amp;"1",BDD!$A$2:$N$567,6,FALSE)</f>
        <v>4 : Agilité de l'organisation</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5" t="str">
        <f>IF(VLOOKUP($M11&amp;RIGHT(Q$7,1),BDD!$A$1:$S$428,15,FALSE)=4,"NE",IF(VLOOKUP($M11&amp;RIGHT(Q$7,1),BDD!$A$1:$S$428,15,FALSE)=0,"NE",VLOOKUP($M11&amp;RIGHT(Q$7,1),BDD!$A$1:$S$428,15,FALSE)))</f>
        <v>NE</v>
      </c>
      <c r="R11" s="425" t="str">
        <f>IF(VLOOKUP($M11&amp;RIGHT(R$7,1),BDD!$A$1:$S$428,15,FALSE)=4,"NE",IF(VLOOKUP($M11&amp;RIGHT(R$7,1),BDD!$A$1:$S$428,15,FALSE)=0,"NE",VLOOKUP($M11&amp;RIGHT(R$7,1),BDD!$A$1:$S$428,15,FALSE)))</f>
        <v>NE</v>
      </c>
      <c r="S11" s="425" t="str">
        <f>IF(VLOOKUP($M11&amp;RIGHT(S$7,1),BDD!$A$1:$S$428,15,FALSE)=4,"NE",IF(VLOOKUP($M11&amp;RIGHT(S$7,1),BDD!$A$1:$S$428,15,FALSE)=0,"NE",VLOOKUP($M11&amp;RIGHT(S$7,1),BDD!$A$1:$S$428,15,FALSE)))</f>
        <v>NE</v>
      </c>
      <c r="T11" s="426"/>
      <c r="U11" s="427"/>
      <c r="V11" s="459"/>
      <c r="W11" s="443" t="s">
        <v>16</v>
      </c>
      <c r="X11" s="444"/>
      <c r="Y11" s="467"/>
      <c r="Z11" s="472">
        <f>O43</f>
        <v>0</v>
      </c>
      <c r="AA11" s="473">
        <f>S43</f>
        <v>0</v>
      </c>
      <c r="AB11" s="465"/>
      <c r="AC11" s="40"/>
      <c r="AD11" s="212"/>
      <c r="AF11" s="51"/>
      <c r="AG11" s="52"/>
      <c r="AH11" s="293"/>
      <c r="AI11" s="30"/>
    </row>
    <row r="12" spans="1:35" ht="30" customHeight="1" x14ac:dyDescent="0.3">
      <c r="A12" s="267"/>
      <c r="B12" s="30"/>
      <c r="C12" s="30"/>
      <c r="D12" s="30"/>
      <c r="E12" s="30"/>
      <c r="F12" s="30"/>
      <c r="G12" s="54" t="s">
        <v>20</v>
      </c>
      <c r="H12" s="32"/>
      <c r="I12" s="32"/>
      <c r="K12" s="32"/>
      <c r="L12" s="478"/>
      <c r="M12" s="479" t="str">
        <f>IF(LEFT(RIGHT($B$1,2),1)=" ",RIGHT($B$1,1),RIGHT($B$1,2))&amp;5</f>
        <v>25</v>
      </c>
      <c r="N12" s="422" t="str">
        <f>RIGHT(M12,1)&amp;" : "&amp;VLOOKUP($M12&amp;"1",BDD!$A$2:$N$567,6,FALSE)</f>
        <v>5 : Performance</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23" t="str">
        <f>IF(VLOOKUP($M12&amp;RIGHT(R$7,1),BDD!$A$1:$S$428,15,FALSE)=4,"NE",IF(VLOOKUP($M12&amp;RIGHT(R$7,1),BDD!$A$1:$S$428,15,FALSE)=0,"NE",VLOOKUP($M12&amp;RIGHT(R$7,1),BDD!$A$1:$S$428,15,FALSE)))</f>
        <v>NE</v>
      </c>
      <c r="S12" s="475"/>
      <c r="T12" s="475"/>
      <c r="U12" s="430"/>
      <c r="V12" s="459"/>
      <c r="W12" s="445" t="s">
        <v>16</v>
      </c>
      <c r="X12" s="446"/>
      <c r="Y12" s="467"/>
      <c r="Z12" s="468">
        <f>O49</f>
        <v>0</v>
      </c>
      <c r="AA12" s="469">
        <f>S49</f>
        <v>0</v>
      </c>
      <c r="AB12" s="465"/>
      <c r="AC12" s="40"/>
      <c r="AD12" s="213"/>
      <c r="AF12" s="55"/>
      <c r="AG12" s="30"/>
      <c r="AH12" s="267"/>
      <c r="AI12" s="30"/>
    </row>
    <row r="13" spans="1:35" ht="30" customHeight="1" thickBot="1" x14ac:dyDescent="0.35">
      <c r="A13" s="267"/>
      <c r="B13" s="30"/>
      <c r="C13" s="30"/>
      <c r="D13" s="30"/>
      <c r="E13" s="30" t="str">
        <f>RIGHT($B$1,1)&amp;"11"</f>
        <v>211</v>
      </c>
      <c r="F13" s="30"/>
      <c r="G13" s="197" t="str">
        <f>IF(VLOOKUP(E13,BDD!$A$2:$N$567,14,FALSE)=0,"",VLOOKUP(E13,BDD!$A$2:$N$567,14,FALSE))</f>
        <v>Offre de services ou produits obsolètes, décalée par rapport à la concurrence.</v>
      </c>
      <c r="H13" s="34"/>
      <c r="I13" s="32"/>
      <c r="K13" s="52"/>
      <c r="L13" s="476"/>
      <c r="M13" s="477" t="str">
        <f>IF(LEFT(RIGHT($B$1,2),1)=" ",RIGHT($B$1,1),RIGHT($B$1,2))&amp;6</f>
        <v>26</v>
      </c>
      <c r="N13" s="424" t="str">
        <f>RIGHT(M13,1)&amp;" : "&amp;VLOOKUP($M13&amp;"1",BDD!$A$2:$N$567,6,FALSE)</f>
        <v>6 : Communication</v>
      </c>
      <c r="O13" s="425" t="str">
        <f>IF(VLOOKUP($M13&amp;RIGHT(O$7,1),BDD!$A$1:$S$428,15,FALSE)=4,"NE",IF(VLOOKUP($M13&amp;RIGHT(O$7,1),BDD!$A$1:$S$428,15,FALSE)=0,"NE",VLOOKUP($M13&amp;RIGHT(O$7,1),BDD!$A$1:$S$428,15,FALSE)))</f>
        <v>NE</v>
      </c>
      <c r="P13" s="425" t="str">
        <f>IF(VLOOKUP($M13&amp;RIGHT(P$7,1),BDD!$A$1:$S$428,15,FALSE)=4,"NE",IF(VLOOKUP($M13&amp;RIGHT(P$7,1),BDD!$A$1:$S$428,15,FALSE)=0,"NE",VLOOKUP($M13&amp;RIGHT(P$7,1),BDD!$A$1:$S$428,15,FALSE)))</f>
        <v>NE</v>
      </c>
      <c r="Q13" s="425" t="str">
        <f>IF(VLOOKUP($M13&amp;RIGHT(Q$7,1),BDD!$A$1:$S$428,15,FALSE)=4,"NE",IF(VLOOKUP($M13&amp;RIGHT(Q$7,1),BDD!$A$1:$S$428,15,FALSE)=0,"NE",VLOOKUP($M13&amp;RIGHT(Q$7,1),BDD!$A$1:$S$428,15,FALSE)))</f>
        <v>NE</v>
      </c>
      <c r="R13" s="425" t="str">
        <f>IF(VLOOKUP($M13&amp;RIGHT(R$7,1),BDD!$A$1:$S$428,15,FALSE)=4,"NE",IF(VLOOKUP($M13&amp;RIGHT(R$7,1),BDD!$A$1:$S$428,15,FALSE)=0,"NE",VLOOKUP($M13&amp;RIGHT(R$7,1),BDD!$A$1:$S$428,15,FALSE)))</f>
        <v>NE</v>
      </c>
      <c r="S13" s="426"/>
      <c r="T13" s="426"/>
      <c r="U13" s="427"/>
      <c r="V13" s="459"/>
      <c r="W13" s="447" t="s">
        <v>16</v>
      </c>
      <c r="X13" s="448"/>
      <c r="Y13" s="467"/>
      <c r="Z13" s="472">
        <f>O55</f>
        <v>0</v>
      </c>
      <c r="AA13" s="473">
        <f>S55</f>
        <v>0</v>
      </c>
      <c r="AB13" s="465"/>
      <c r="AC13" s="40"/>
      <c r="AD13" s="30"/>
      <c r="AE13" s="55"/>
      <c r="AF13" s="56"/>
      <c r="AG13" s="40"/>
      <c r="AH13" s="294"/>
      <c r="AI13" s="30"/>
    </row>
    <row r="14" spans="1:35" ht="30" customHeight="1" x14ac:dyDescent="0.3">
      <c r="A14" s="267"/>
      <c r="B14" s="30"/>
      <c r="C14" s="30"/>
      <c r="D14" s="30"/>
      <c r="E14" s="30" t="str">
        <f>RIGHT($B$1,1)&amp;"12"</f>
        <v>212</v>
      </c>
      <c r="F14" s="30"/>
      <c r="G14" s="197" t="str">
        <f>IF(VLOOKUP(E14,BDD!$A$2:$N$567,14,FALSE)=0,"",VLOOKUP(E14,BDD!$A$2:$N$567,14,FALSE))</f>
        <v>Dégradation de l’image de l’organisation.</v>
      </c>
      <c r="H14" s="57"/>
      <c r="I14" s="32"/>
      <c r="K14" s="34"/>
      <c r="L14" s="480"/>
      <c r="M14" s="481"/>
      <c r="N14" s="482"/>
      <c r="O14" s="482"/>
      <c r="P14" s="482"/>
      <c r="Q14" s="482"/>
      <c r="R14" s="482"/>
      <c r="S14" s="482"/>
      <c r="T14" s="482"/>
      <c r="U14" s="482"/>
      <c r="V14" s="482"/>
      <c r="W14" s="483"/>
      <c r="X14" s="484"/>
      <c r="Y14" s="484"/>
      <c r="Z14" s="484"/>
      <c r="AA14" s="484"/>
      <c r="AB14" s="485"/>
      <c r="AC14" s="55"/>
      <c r="AD14" s="56"/>
      <c r="AE14" s="56"/>
      <c r="AF14" s="30"/>
      <c r="AG14" s="30"/>
      <c r="AH14" s="267"/>
      <c r="AI14" s="30"/>
    </row>
    <row r="15" spans="1:35" ht="30" customHeight="1" thickBot="1" x14ac:dyDescent="0.35">
      <c r="A15" s="267"/>
      <c r="B15" s="30"/>
      <c r="C15" s="30"/>
      <c r="D15" s="30"/>
      <c r="E15" s="30" t="str">
        <f>RIGHT($B$1,1)&amp;"13"</f>
        <v>213</v>
      </c>
      <c r="F15" s="30"/>
      <c r="G15" s="197" t="str">
        <f>IF(VLOOKUP(E15,BDD!$A$2:$N$567,14,FALSE)=0,"",VLOOKUP(E15,BDD!$A$2:$N$567,14,FALSE))</f>
        <v>Difficultés à identifier et à retenir les talents nécessaires pour pouvoir faire face aux évolutions technologiques.</v>
      </c>
      <c r="H15" s="58"/>
      <c r="I15" s="32"/>
      <c r="K15" s="58"/>
      <c r="L15" s="486"/>
      <c r="M15" s="481"/>
      <c r="N15" s="487" t="str">
        <f>"Evaluation globale du vecteur "&amp;RIGHT(B1,2)</f>
        <v>Evaluation globale du vecteur  2</v>
      </c>
      <c r="O15" s="488"/>
      <c r="P15" s="488"/>
      <c r="Q15" s="488"/>
      <c r="R15" s="488"/>
      <c r="S15" s="488"/>
      <c r="T15" s="488"/>
      <c r="U15" s="488"/>
      <c r="V15" s="488"/>
      <c r="W15" s="489"/>
      <c r="X15" s="484"/>
      <c r="Y15" s="467"/>
      <c r="Z15" s="490" t="s">
        <v>642</v>
      </c>
      <c r="AA15" s="491" t="s">
        <v>643</v>
      </c>
      <c r="AB15" s="485"/>
      <c r="AC15" s="30"/>
      <c r="AD15" s="30"/>
      <c r="AE15" s="30"/>
      <c r="AF15" s="30"/>
      <c r="AG15" s="30"/>
      <c r="AH15" s="267"/>
      <c r="AI15" s="30"/>
    </row>
    <row r="16" spans="1:35" ht="30" customHeight="1" thickBot="1" x14ac:dyDescent="0.35">
      <c r="A16" s="267"/>
      <c r="B16" s="30"/>
      <c r="C16" s="30"/>
      <c r="D16" s="30"/>
      <c r="E16" s="30" t="str">
        <f>RIGHT($B$1,1)&amp;"14"</f>
        <v>214</v>
      </c>
      <c r="F16" s="30"/>
      <c r="G16" s="197" t="str">
        <f>IF(VLOOKUP(E16,BDD!$A$2:$N$567,14,FALSE)=0,"",VLOOKUP(E16,BDD!$A$2:$N$567,14,FALSE))</f>
        <v>Dépendance vis-à-vis de certains acteurs technologiques et perte de contrôle sur le SI (données, compétences, etc.).</v>
      </c>
      <c r="H16" s="58"/>
      <c r="I16" s="32"/>
      <c r="K16" s="32"/>
      <c r="L16" s="478"/>
      <c r="M16" s="481"/>
      <c r="N16" s="451"/>
      <c r="O16" s="492"/>
      <c r="P16" s="492"/>
      <c r="Q16" s="492"/>
      <c r="R16" s="492"/>
      <c r="S16" s="492"/>
      <c r="T16" s="492"/>
      <c r="U16" s="492"/>
      <c r="V16" s="492"/>
      <c r="W16" s="449" t="s">
        <v>16</v>
      </c>
      <c r="X16" s="450"/>
      <c r="Y16" s="484"/>
      <c r="Z16" s="493">
        <f>O22</f>
        <v>0</v>
      </c>
      <c r="AA16" s="494">
        <f>SUM($W$26:$W$62)</f>
        <v>0</v>
      </c>
      <c r="AB16" s="485"/>
      <c r="AC16" s="30"/>
      <c r="AD16" s="30"/>
      <c r="AE16" s="30"/>
      <c r="AF16" s="30"/>
      <c r="AG16" s="30"/>
      <c r="AH16" s="267"/>
      <c r="AI16" s="30"/>
    </row>
    <row r="17" spans="1:35" ht="41.4" customHeight="1" thickBot="1" x14ac:dyDescent="0.35">
      <c r="A17" s="267"/>
      <c r="B17" s="30"/>
      <c r="C17" s="30"/>
      <c r="D17" s="30"/>
      <c r="E17" s="30" t="str">
        <f>RIGHT($B$1,1)&amp;"15"</f>
        <v>215</v>
      </c>
      <c r="F17" s="30"/>
      <c r="G17" s="197" t="str">
        <f>IF(VLOOKUP(E17,BDD!$A$2:$N$567,14,FALSE)=0,"",VLOOKUP(E17,BDD!$A$2:$N$567,14,FALSE))</f>
        <v/>
      </c>
      <c r="H17" s="58"/>
      <c r="I17" s="32"/>
      <c r="K17" s="58"/>
      <c r="L17" s="495"/>
      <c r="M17" s="496"/>
      <c r="N17" s="497"/>
      <c r="O17" s="497"/>
      <c r="P17" s="497"/>
      <c r="Q17" s="497"/>
      <c r="R17" s="497"/>
      <c r="S17" s="497"/>
      <c r="T17" s="497"/>
      <c r="U17" s="497"/>
      <c r="V17" s="497"/>
      <c r="W17" s="498"/>
      <c r="X17" s="497"/>
      <c r="Y17" s="497"/>
      <c r="Z17" s="497"/>
      <c r="AA17" s="497"/>
      <c r="AB17" s="499"/>
      <c r="AC17" s="30"/>
      <c r="AD17" s="30"/>
      <c r="AE17" s="30"/>
      <c r="AF17" s="30"/>
      <c r="AG17" s="30"/>
      <c r="AH17" s="267"/>
      <c r="AI17" s="30"/>
    </row>
    <row r="18" spans="1:35" ht="63.6" customHeight="1" x14ac:dyDescent="0.3">
      <c r="A18" s="267"/>
      <c r="B18" s="30"/>
      <c r="C18" s="30"/>
      <c r="D18" s="30"/>
      <c r="E18" s="30" t="str">
        <f>RIGHT($B$1,1)&amp;"16"</f>
        <v>216</v>
      </c>
      <c r="F18" s="30"/>
      <c r="G18" s="197" t="str">
        <f>IF(VLOOKUP(E18,BDD!$A$2:$N$567,14,FALSE)=0,"",VLOOKUP(E18,BDD!$A$2:$N$567,14,FALSE))</f>
        <v/>
      </c>
      <c r="H18" s="58"/>
      <c r="I18" s="32"/>
      <c r="K18" s="58"/>
      <c r="L18" s="571"/>
      <c r="M18" s="572"/>
      <c r="N18" s="569"/>
      <c r="O18" s="569"/>
      <c r="P18" s="569"/>
      <c r="Q18" s="569"/>
      <c r="R18" s="569"/>
      <c r="S18" s="569"/>
      <c r="T18" s="569"/>
      <c r="U18" s="569"/>
      <c r="V18" s="569"/>
      <c r="W18" s="569"/>
      <c r="X18" s="569"/>
      <c r="Y18" s="569"/>
      <c r="Z18" s="569"/>
      <c r="AA18" s="569"/>
      <c r="AB18" s="569"/>
      <c r="AC18" s="30"/>
      <c r="AD18" s="30"/>
      <c r="AE18" s="30"/>
      <c r="AF18" s="30"/>
      <c r="AG18" s="30"/>
      <c r="AH18" s="267"/>
      <c r="AI18" s="30"/>
    </row>
    <row r="19" spans="1:35" ht="28.8" hidden="1" customHeight="1" x14ac:dyDescent="0.3">
      <c r="A19" s="267"/>
      <c r="B19" s="30"/>
      <c r="C19" s="30"/>
      <c r="D19" s="30"/>
      <c r="E19" s="30"/>
      <c r="F19" s="30"/>
      <c r="G19" s="197"/>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267"/>
      <c r="AI19" s="30"/>
    </row>
    <row r="20" spans="1:35" ht="30" customHeight="1" x14ac:dyDescent="0.3">
      <c r="A20" s="267"/>
      <c r="B20" s="30"/>
      <c r="C20" s="30"/>
      <c r="D20" s="30"/>
      <c r="E20" s="30"/>
      <c r="F20" s="30"/>
      <c r="G20" s="197"/>
      <c r="H20" s="58"/>
      <c r="I20" s="32"/>
      <c r="K20" s="58"/>
      <c r="L20" s="58"/>
      <c r="M20" s="32"/>
      <c r="N20" s="215" t="s">
        <v>855</v>
      </c>
      <c r="O20" s="641">
        <f>COUNTIF(N27:N82,"Non renseigné")</f>
        <v>24</v>
      </c>
      <c r="P20" s="642"/>
      <c r="Q20" s="642"/>
      <c r="R20" s="643"/>
      <c r="S20" s="30"/>
      <c r="T20" s="30"/>
      <c r="U20" s="30"/>
      <c r="V20" s="30"/>
      <c r="W20" s="30"/>
      <c r="X20" s="30"/>
      <c r="Y20" s="30"/>
      <c r="Z20" s="30"/>
      <c r="AA20" s="30"/>
      <c r="AB20" s="30"/>
      <c r="AC20" s="30"/>
      <c r="AD20" s="30"/>
      <c r="AE20" s="30"/>
      <c r="AF20" s="30"/>
      <c r="AG20" s="30"/>
      <c r="AH20" s="267"/>
      <c r="AI20" s="30"/>
    </row>
    <row r="21" spans="1:35" ht="30" customHeight="1" x14ac:dyDescent="0.3">
      <c r="A21" s="267"/>
      <c r="B21" s="30"/>
      <c r="C21" s="30"/>
      <c r="D21" s="30"/>
      <c r="E21" s="30" t="str">
        <f>RIGHT($B$1,1)&amp;"17"</f>
        <v>217</v>
      </c>
      <c r="F21" s="30"/>
      <c r="G21" s="197" t="str">
        <f>IF(VLOOKUP(E21,BDD!$A$2:$N$567,14,FALSE)=0,"",VLOOKUP(E21,BDD!$A$2:$N$567,14,FALSE))</f>
        <v/>
      </c>
      <c r="H21" s="58"/>
      <c r="I21" s="58"/>
      <c r="K21" s="58"/>
      <c r="L21" s="58"/>
      <c r="M21" s="32"/>
      <c r="N21" s="215" t="s">
        <v>853</v>
      </c>
      <c r="O21" s="648">
        <f>COUNTIF($N$27:$N$73,"Non évalué")</f>
        <v>0</v>
      </c>
      <c r="P21" s="649"/>
      <c r="Q21" s="649"/>
      <c r="R21" s="650"/>
      <c r="S21" s="30"/>
      <c r="T21" s="30"/>
      <c r="U21" s="30"/>
      <c r="V21" s="30"/>
      <c r="W21" s="30"/>
      <c r="X21" s="30"/>
      <c r="Y21" s="30"/>
      <c r="Z21" s="30"/>
      <c r="AA21" s="30"/>
      <c r="AB21" s="30"/>
      <c r="AC21" s="30"/>
      <c r="AD21" s="30"/>
      <c r="AE21" s="30"/>
      <c r="AF21" s="30"/>
      <c r="AG21" s="30"/>
      <c r="AH21" s="267"/>
      <c r="AI21" s="30"/>
    </row>
    <row r="22" spans="1:35" ht="50.4" customHeight="1" x14ac:dyDescent="0.3">
      <c r="A22" s="267"/>
      <c r="B22" s="30"/>
      <c r="C22" s="30"/>
      <c r="D22" s="30"/>
      <c r="E22" s="30"/>
      <c r="F22" s="30"/>
      <c r="G22" s="197" t="e">
        <f>IF(VLOOKUP(#REF!,BDD!$A$2:$N$567,14,FALSE)=0,"",VLOOKUP(#REF!,BDD!$A$2:$N$567,14,FALSE))</f>
        <v>#REF!</v>
      </c>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267"/>
      <c r="AI22" s="30"/>
    </row>
    <row r="23" spans="1:35" ht="30" customHeight="1" x14ac:dyDescent="0.3">
      <c r="A23" s="267"/>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267"/>
      <c r="AI23" s="30"/>
    </row>
    <row r="24" spans="1:35" ht="39.6" customHeight="1" x14ac:dyDescent="0.3">
      <c r="A24" s="267"/>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267"/>
      <c r="AI24" s="30"/>
    </row>
    <row r="25" spans="1:35" ht="30" customHeight="1" x14ac:dyDescent="0.3">
      <c r="A25" s="267"/>
      <c r="B25" s="30"/>
      <c r="C25" s="30" t="str">
        <f>IF(LEFT(RIGHT($B$1,2),1)=" ",RIGHT($B$1,1),RIGHT($B$1,2))</f>
        <v>2</v>
      </c>
      <c r="D25" s="32">
        <f>IF(LEFT(F25,5)="Bonne",B23+1,D24)</f>
        <v>1</v>
      </c>
      <c r="E25" s="32"/>
      <c r="F25" s="191" t="s">
        <v>499</v>
      </c>
      <c r="G25" s="192" t="str">
        <f>VLOOKUP(E27,BDD!$A$2:$N$567,6,FALSE)</f>
        <v>Vision Globale</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267"/>
      <c r="AI25" s="30"/>
    </row>
    <row r="26" spans="1:35" ht="30" customHeight="1" x14ac:dyDescent="0.3">
      <c r="A26" s="267"/>
      <c r="B26" s="30"/>
      <c r="C26" s="30" t="str">
        <f t="shared" ref="C26:C60" si="0">IF(LEFT(RIGHT($B$1,2),1)=" ",RIGHT($B$1,1),RIGHT($B$1,2))</f>
        <v>2</v>
      </c>
      <c r="D26" s="32">
        <f>IF(LEFT(F26,5)="Bonne",D24+1,D25)</f>
        <v>1</v>
      </c>
      <c r="F26" s="211" t="s">
        <v>550</v>
      </c>
      <c r="G26" s="193" t="str">
        <f>VLOOKUP(E28,BDD!$A$2:$N$567,7,FALSE)</f>
        <v>Une vision globale de l’innovation portée par la direction générale est diffusée au sein de l’organisation.</v>
      </c>
      <c r="H26" s="139"/>
      <c r="I26" s="139"/>
      <c r="J26" s="139"/>
      <c r="K26" s="139"/>
      <c r="L26" s="140"/>
      <c r="M26" s="141"/>
      <c r="N26" s="142"/>
      <c r="O26" s="631"/>
      <c r="P26" s="631"/>
      <c r="Q26" s="631"/>
      <c r="R26" s="631"/>
      <c r="S26" s="634"/>
      <c r="T26" s="634"/>
      <c r="U26" s="634"/>
      <c r="V26" s="635"/>
      <c r="W26" s="30"/>
      <c r="X26" s="30"/>
      <c r="Y26" s="30"/>
      <c r="Z26" s="30"/>
      <c r="AA26" s="30"/>
      <c r="AB26" s="30"/>
      <c r="AC26" s="30"/>
      <c r="AD26" s="30"/>
      <c r="AE26" s="30"/>
      <c r="AF26" s="30"/>
      <c r="AG26" s="30"/>
      <c r="AH26" s="267"/>
      <c r="AI26" s="30"/>
    </row>
    <row r="27" spans="1:35" ht="41.4" x14ac:dyDescent="0.3">
      <c r="A27" s="267"/>
      <c r="B27" s="30"/>
      <c r="C27" s="30" t="str">
        <f t="shared" si="0"/>
        <v>2</v>
      </c>
      <c r="D27" s="32">
        <f>IF(LEFT(F27,5)="Bonne",D25+1,D26)</f>
        <v>1</v>
      </c>
      <c r="E27" s="32" t="str">
        <f>C27&amp;D27&amp;RIGHT(F27,1)</f>
        <v>211</v>
      </c>
      <c r="F27" s="143" t="s">
        <v>27</v>
      </c>
      <c r="G27" s="144" t="str">
        <f>VLOOKUP(E27,BDD!$A$2:$N$567,MATCH(G$24,BDD!$A$1:$P$1,0),FALSE)</f>
        <v>La direction générale définit et communique sa vision de l’innovation, incluant son appétence face aux risques induits, au sein de l’organisation (y compris si nécessaire auprès des instances de gouvernance).</v>
      </c>
      <c r="H27" s="149" t="str">
        <f>IF(VLOOKUP($E27,BDD!$A$2:$N$567,MATCH($H$23,BDD!$A$1:$P$1,0),FALSE)=H$24,V2_Innovation!H$24,"")</f>
        <v/>
      </c>
      <c r="I27" s="150" t="str">
        <f>IF(VLOOKUP($E27,BDD!$A$2:$N$567,MATCH($H$23,BDD!$A$1:$P$1,0),FALSE)=I$24,V2_Innovation!I$24,"")</f>
        <v>N2</v>
      </c>
      <c r="J27" s="150" t="str">
        <f>IF(VLOOKUP($E27,BDD!$A$2:$N$567,MATCH($H$23,BDD!$A$1:$P$1,0),FALSE)=J$24,V2_Innovation!J$24,"")</f>
        <v/>
      </c>
      <c r="K27" s="150" t="str">
        <f>IF(VLOOKUP($E27,BDD!$A$2:$N$567,MATCH($H$23,BDD!$A$1:$P$1,0),FALSE)=K$24,V2_Innovation!K$24,"")</f>
        <v/>
      </c>
      <c r="L27" s="151" t="str">
        <f>IF(VLOOKUP($E27,BDD!$A$2:$N$567,MATCH($H$23,BDD!$A$1:$P$1,0),FALSE)=L$24,V2_Innovation!L$24,"")</f>
        <v/>
      </c>
      <c r="M27" s="63">
        <f t="shared" ref="M27:M28"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267"/>
      <c r="AI27" s="30"/>
    </row>
    <row r="28" spans="1:35" ht="30" customHeight="1" x14ac:dyDescent="0.3">
      <c r="A28" s="267"/>
      <c r="B28" s="30"/>
      <c r="C28" s="30" t="str">
        <f t="shared" si="0"/>
        <v>2</v>
      </c>
      <c r="D28" s="32">
        <f t="shared" ref="D28" si="2">IF(LEFT(F28,5)="Bonne",D26+1,D27)</f>
        <v>1</v>
      </c>
      <c r="E28" s="32" t="str">
        <f t="shared" ref="E28" si="3">C28&amp;D28&amp;RIGHT(F28,1)</f>
        <v>212</v>
      </c>
      <c r="F28" s="145" t="s">
        <v>28</v>
      </c>
      <c r="G28" s="146" t="str">
        <f>VLOOKUP(E28,BDD!$A$2:$N$567,MATCH(G$24,BDD!$A$1:$P$1,0),FALSE)</f>
        <v>La direction générale s’inscrit comme sponsor et garant de la culture d’innovation.</v>
      </c>
      <c r="H28" s="149" t="str">
        <f>IF(VLOOKUP($E28,BDD!$A$2:$N$567,MATCH($H$23,BDD!$A$1:$P$1,0),FALSE)=H$24,V2_Innovation!H$24,"")</f>
        <v/>
      </c>
      <c r="I28" s="150" t="str">
        <f>IF(VLOOKUP($E28,BDD!$A$2:$N$567,MATCH($H$23,BDD!$A$1:$P$1,0),FALSE)=I$24,V2_Innovation!I$24,"")</f>
        <v>N2</v>
      </c>
      <c r="J28" s="150" t="str">
        <f>IF(VLOOKUP($E28,BDD!$A$2:$N$567,MATCH($H$23,BDD!$A$1:$P$1,0),FALSE)=J$24,V2_Innovation!J$24,"")</f>
        <v/>
      </c>
      <c r="K28" s="150" t="str">
        <f>IF(VLOOKUP($E28,BDD!$A$2:$N$567,MATCH($H$23,BDD!$A$1:$P$1,0),FALSE)=K$24,V2_Innovation!K$24,"")</f>
        <v/>
      </c>
      <c r="L28" s="151" t="str">
        <f>IF(VLOOKUP($E28,BDD!$A$2:$N$567,MATCH($H$23,BDD!$A$1:$P$1,0),FALSE)=L$24,V2_Innovation!L$24,"")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267"/>
      <c r="AI28" s="30"/>
    </row>
    <row r="29" spans="1:35" ht="30" customHeight="1" x14ac:dyDescent="0.3">
      <c r="A29" s="267"/>
      <c r="B29" s="30"/>
      <c r="C29" s="30" t="str">
        <f t="shared" si="0"/>
        <v>2</v>
      </c>
      <c r="D29" s="32">
        <f t="shared" ref="D29:D42" si="4">IF(LEFT(F29,5)="Bonne",D27+1,D28)</f>
        <v>2</v>
      </c>
      <c r="E29" s="32" t="str">
        <f t="shared" ref="E29:E42" si="5">C29&amp;D29&amp;RIGHT(F29,1)</f>
        <v>222</v>
      </c>
      <c r="F29" s="191" t="s">
        <v>500</v>
      </c>
      <c r="G29" s="192" t="str">
        <f>VLOOKUP(E31,BDD!$A$2:$N$567,6,FALSE)</f>
        <v xml:space="preserve">Gouvernance et cadre de référence </v>
      </c>
      <c r="H29" s="190" t="str">
        <f>VLOOKUP(E31,BDD!$A$2:$N$567,6,FALSE)</f>
        <v xml:space="preserve">Gouvernance et cadre de référence </v>
      </c>
      <c r="I29" s="135"/>
      <c r="J29" s="135"/>
      <c r="K29" s="135"/>
      <c r="L29" s="136"/>
      <c r="M29" s="137"/>
      <c r="N29" s="138"/>
      <c r="O29" s="630">
        <v>0</v>
      </c>
      <c r="P29" s="630"/>
      <c r="Q29" s="630"/>
      <c r="R29" s="630"/>
      <c r="S29" s="632">
        <f>SUMIFS(S:S,$D:$D,D29,$N:$N,"Exigences"&amp;"*")</f>
        <v>0</v>
      </c>
      <c r="T29" s="632"/>
      <c r="U29" s="632"/>
      <c r="V29" s="633"/>
      <c r="W29" s="356">
        <f>IFERROR(IF(N29=Suppl!$E$65,0,IF(N29=Suppl!$E$66,1/2/(COUNTIFS($N:$N,"Exigences"&amp;"*")+COUNTIFS($N:$N,"Non"&amp;"*")),IF(N29=Suppl!$E$67,1/(COUNTIFS($N:$N,"Exigences"&amp;"*")+COUNTIFS($N:$N,"Non"&amp;"*")),0))),0)</f>
        <v>0</v>
      </c>
      <c r="X29" s="30"/>
      <c r="Y29" s="30"/>
      <c r="Z29" s="30"/>
      <c r="AA29" s="30"/>
      <c r="AB29" s="30"/>
      <c r="AC29" s="30"/>
      <c r="AD29" s="30"/>
      <c r="AE29" s="30"/>
      <c r="AF29" s="30"/>
      <c r="AG29" s="30"/>
      <c r="AH29" s="267"/>
      <c r="AI29" s="30"/>
    </row>
    <row r="30" spans="1:35" ht="30" customHeight="1" x14ac:dyDescent="0.3">
      <c r="A30" s="267"/>
      <c r="B30" s="30"/>
      <c r="C30" s="30" t="str">
        <f t="shared" si="0"/>
        <v>2</v>
      </c>
      <c r="D30" s="32">
        <f t="shared" si="4"/>
        <v>2</v>
      </c>
      <c r="E30" s="32" t="str">
        <f t="shared" si="5"/>
        <v>221</v>
      </c>
      <c r="F30" s="211" t="s">
        <v>550</v>
      </c>
      <c r="G30" s="193" t="str">
        <f>VLOOKUP(E32,BDD!$A$2:$N$567,7,FALSE)</f>
        <v>Les efforts d'innovation sont encadrés par une politique d'innovation et une gouvernance adaptées.</v>
      </c>
      <c r="H30" s="139"/>
      <c r="I30" s="139"/>
      <c r="J30" s="139"/>
      <c r="K30" s="139"/>
      <c r="L30" s="140"/>
      <c r="M30" s="141"/>
      <c r="N30" s="142"/>
      <c r="O30" s="631"/>
      <c r="P30" s="631"/>
      <c r="Q30" s="631"/>
      <c r="R30" s="631"/>
      <c r="S30" s="634"/>
      <c r="T30" s="634"/>
      <c r="U30" s="634"/>
      <c r="V30" s="635"/>
      <c r="W30" s="356">
        <f>IFERROR(IF(N30=Suppl!$E$65,0,IF(N30=Suppl!$E$66,1/2/(COUNTIFS($N:$N,"Exigences"&amp;"*")+COUNTIFS($N:$N,"Non"&amp;"*")),IF(N30=Suppl!$E$67,1/(COUNTIFS($N:$N,"Exigences"&amp;"*")+COUNTIFS($N:$N,"Non"&amp;"*")),0))),0)</f>
        <v>0</v>
      </c>
      <c r="X30" s="30"/>
      <c r="Y30" s="30"/>
      <c r="Z30" s="30"/>
      <c r="AA30" s="30"/>
      <c r="AB30" s="30"/>
      <c r="AC30" s="30"/>
      <c r="AD30" s="30"/>
      <c r="AE30" s="30"/>
      <c r="AF30" s="30"/>
      <c r="AG30" s="30"/>
      <c r="AH30" s="267"/>
      <c r="AI30" s="30"/>
    </row>
    <row r="31" spans="1:35" ht="30" customHeight="1" x14ac:dyDescent="0.3">
      <c r="A31" s="267"/>
      <c r="B31" s="30"/>
      <c r="C31" s="30" t="str">
        <f t="shared" si="0"/>
        <v>2</v>
      </c>
      <c r="D31" s="32">
        <f t="shared" si="4"/>
        <v>2</v>
      </c>
      <c r="E31" s="32" t="str">
        <f t="shared" si="5"/>
        <v>221</v>
      </c>
      <c r="F31" s="143" t="s">
        <v>27</v>
      </c>
      <c r="G31" s="144" t="str">
        <f>VLOOKUP(E31,BDD!$A$2:$N$567,MATCH(G$24,BDD!$A$1:$P$1,0),FALSE)</f>
        <v xml:space="preserve">L'organisation met en place un dispositif favorisant et encadrant les initiatives individuelles. </v>
      </c>
      <c r="H31" s="149" t="str">
        <f>IF(VLOOKUP($E31,BDD!$A$2:$N$567,MATCH($H$23,BDD!$A$1:$P$1,0),FALSE)=H$24,V2_Innovation!H$24,"")</f>
        <v>N1</v>
      </c>
      <c r="I31" s="150" t="str">
        <f>IF(VLOOKUP($E31,BDD!$A$2:$N$567,MATCH($H$23,BDD!$A$1:$P$1,0),FALSE)=I$24,V2_Innovation!I$24,"")</f>
        <v/>
      </c>
      <c r="J31" s="150" t="str">
        <f>IF(VLOOKUP($E31,BDD!$A$2:$N$567,MATCH($H$23,BDD!$A$1:$P$1,0),FALSE)=J$24,V2_Innovation!J$24,"")</f>
        <v/>
      </c>
      <c r="K31" s="150" t="str">
        <f>IF(VLOOKUP($E31,BDD!$A$2:$N$567,MATCH($H$23,BDD!$A$1:$P$1,0),FALSE)=K$24,V2_Innovation!K$24,"")</f>
        <v/>
      </c>
      <c r="L31" s="151" t="str">
        <f>IF(VLOOKUP($E31,BDD!$A$2:$N$567,MATCH($H$23,BDD!$A$1:$P$1,0),FALSE)=L$24,V2_Innovation!L$24,"")</f>
        <v/>
      </c>
      <c r="M31" s="63">
        <f>IF(N31="Exigences partiellement respectées",1,IF(N31="Exigences respectées",2,0))</f>
        <v>0</v>
      </c>
      <c r="N31" s="144" t="str">
        <f>VLOOKUP(VLOOKUP(E31,BDD!$A$2:$P$428,15,FALSE),Suppl!$D$64:$E$68,2,FALSE)</f>
        <v>Non renseigné</v>
      </c>
      <c r="O31" s="626"/>
      <c r="P31" s="626"/>
      <c r="Q31" s="626"/>
      <c r="R31" s="626"/>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267"/>
      <c r="AI31" s="30"/>
    </row>
    <row r="32" spans="1:35" ht="30" customHeight="1" x14ac:dyDescent="0.3">
      <c r="A32" s="267"/>
      <c r="B32" s="30"/>
      <c r="C32" s="30" t="str">
        <f t="shared" si="0"/>
        <v>2</v>
      </c>
      <c r="D32" s="32">
        <f t="shared" si="4"/>
        <v>2</v>
      </c>
      <c r="E32" s="32" t="str">
        <f t="shared" si="5"/>
        <v>222</v>
      </c>
      <c r="F32" s="145" t="s">
        <v>28</v>
      </c>
      <c r="G32" s="146" t="str">
        <f>VLOOKUP(E32,BDD!$A$2:$N$567,MATCH(G$24,BDD!$A$1:$P$1,0),FALSE)</f>
        <v>Les activités de veille et d’innovation sont structurées au niveau de l’organisation.</v>
      </c>
      <c r="H32" s="149" t="str">
        <f>IF(VLOOKUP($E32,BDD!$A$2:$N$567,MATCH($H$23,BDD!$A$1:$P$1,0),FALSE)=H$24,V2_Innovation!H$24,"")</f>
        <v/>
      </c>
      <c r="I32" s="150" t="str">
        <f>IF(VLOOKUP($E32,BDD!$A$2:$N$567,MATCH($H$23,BDD!$A$1:$P$1,0),FALSE)=I$24,V2_Innovation!I$24,"")</f>
        <v>N2</v>
      </c>
      <c r="J32" s="150" t="str">
        <f>IF(VLOOKUP($E32,BDD!$A$2:$N$567,MATCH($H$23,BDD!$A$1:$P$1,0),FALSE)=J$24,V2_Innovation!J$24,"")</f>
        <v/>
      </c>
      <c r="K32" s="150" t="str">
        <f>IF(VLOOKUP($E32,BDD!$A$2:$N$567,MATCH($H$23,BDD!$A$1:$P$1,0),FALSE)=K$24,V2_Innovation!K$24,"")</f>
        <v/>
      </c>
      <c r="L32" s="151" t="str">
        <f>IF(VLOOKUP($E32,BDD!$A$2:$N$567,MATCH($H$23,BDD!$A$1:$P$1,0),FALSE)=L$24,V2_Innovation!L$24,"")</f>
        <v/>
      </c>
      <c r="M32" s="63">
        <f t="shared" ref="M32:M36" si="6">IF(N32="Exigences partiellement respectées",1,IF(N32="Exigences respectées",2,0))</f>
        <v>0</v>
      </c>
      <c r="N32" s="146" t="str">
        <f>VLOOKUP(VLOOKUP(E32,BDD!$A$2:$P$428,15,FALSE),Suppl!$D$64:$E$68,2,FALSE)</f>
        <v>Non renseigné</v>
      </c>
      <c r="O32" s="629"/>
      <c r="P32" s="629"/>
      <c r="Q32" s="629"/>
      <c r="R32" s="629"/>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267"/>
      <c r="AI32" s="30"/>
    </row>
    <row r="33" spans="1:35" ht="55.2" x14ac:dyDescent="0.3">
      <c r="A33" s="267"/>
      <c r="B33" s="30"/>
      <c r="C33" s="30" t="str">
        <f t="shared" si="0"/>
        <v>2</v>
      </c>
      <c r="D33" s="32">
        <f t="shared" si="4"/>
        <v>2</v>
      </c>
      <c r="E33" s="32" t="str">
        <f t="shared" si="5"/>
        <v>223</v>
      </c>
      <c r="F33" s="143" t="s">
        <v>30</v>
      </c>
      <c r="G33" s="144" t="str">
        <f>VLOOKUP(E33,BDD!$A$2:$N$567,MATCH(G$24,BDD!$A$1:$P$1,0),FALSE)</f>
        <v>Un dispositif permet d'accompagner l'innovation depuis l'idéation jusqu'à la mise en œuvre de solutions. Les activités de veille alimentent des proof of concept (PoC) et des démonstrateurs en vue de l’amélioration des processus et de la diffusion du potentiel des technologies (culture de l'innovation).</v>
      </c>
      <c r="H33" s="149" t="str">
        <f>IF(VLOOKUP($E33,BDD!$A$2:$N$567,MATCH($H$23,BDD!$A$1:$P$1,0),FALSE)=H$24,V2_Innovation!H$24,"")</f>
        <v/>
      </c>
      <c r="I33" s="150" t="str">
        <f>IF(VLOOKUP($E33,BDD!$A$2:$N$567,MATCH($H$23,BDD!$A$1:$P$1,0),FALSE)=I$24,V2_Innovation!I$24,"")</f>
        <v/>
      </c>
      <c r="J33" s="150" t="str">
        <f>IF(VLOOKUP($E33,BDD!$A$2:$N$567,MATCH($H$23,BDD!$A$1:$P$1,0),FALSE)=J$24,V2_Innovation!J$24,"")</f>
        <v>N3</v>
      </c>
      <c r="K33" s="150" t="str">
        <f>IF(VLOOKUP($E33,BDD!$A$2:$N$567,MATCH($H$23,BDD!$A$1:$P$1,0),FALSE)=K$24,V2_Innovation!K$24,"")</f>
        <v/>
      </c>
      <c r="L33" s="151" t="str">
        <f>IF(VLOOKUP($E33,BDD!$A$2:$N$567,MATCH($H$23,BDD!$A$1:$P$1,0),FALSE)=L$24,V2_Innovation!L$24,"")</f>
        <v/>
      </c>
      <c r="M33" s="63">
        <f t="shared" si="6"/>
        <v>0</v>
      </c>
      <c r="N33" s="144" t="str">
        <f>VLOOKUP(VLOOKUP(E33,BDD!$A$2:$P$428,15,FALSE),Suppl!$D$64:$E$68,2,FALSE)</f>
        <v>Non renseigné</v>
      </c>
      <c r="O33" s="629"/>
      <c r="P33" s="629"/>
      <c r="Q33" s="629"/>
      <c r="R33" s="629"/>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267"/>
      <c r="AI33" s="30"/>
    </row>
    <row r="34" spans="1:35" ht="30" customHeight="1" x14ac:dyDescent="0.3">
      <c r="A34" s="267"/>
      <c r="B34" s="30"/>
      <c r="C34" s="30" t="str">
        <f t="shared" si="0"/>
        <v>2</v>
      </c>
      <c r="D34" s="32">
        <f t="shared" si="4"/>
        <v>2</v>
      </c>
      <c r="E34" s="32" t="str">
        <f t="shared" si="5"/>
        <v>224</v>
      </c>
      <c r="F34" s="145" t="s">
        <v>32</v>
      </c>
      <c r="G34" s="146" t="str">
        <f>VLOOKUP(E34,BDD!$A$2:$N$567,MATCH(G$24,BDD!$A$1:$P$1,0),FALSE)</f>
        <v>La politique d'innovation définit clairement les rôles et responsabilités.</v>
      </c>
      <c r="H34" s="149" t="str">
        <f>IF(VLOOKUP($E34,BDD!$A$2:$N$567,MATCH($H$23,BDD!$A$1:$P$1,0),FALSE)=H$24,V2_Innovation!H$24,"")</f>
        <v/>
      </c>
      <c r="I34" s="150" t="str">
        <f>IF(VLOOKUP($E34,BDD!$A$2:$N$567,MATCH($H$23,BDD!$A$1:$P$1,0),FALSE)=I$24,V2_Innovation!I$24,"")</f>
        <v/>
      </c>
      <c r="J34" s="150" t="str">
        <f>IF(VLOOKUP($E34,BDD!$A$2:$N$567,MATCH($H$23,BDD!$A$1:$P$1,0),FALSE)=J$24,V2_Innovation!J$24,"")</f>
        <v>N3</v>
      </c>
      <c r="K34" s="150" t="str">
        <f>IF(VLOOKUP($E34,BDD!$A$2:$N$567,MATCH($H$23,BDD!$A$1:$P$1,0),FALSE)=K$24,V2_Innovation!K$24,"")</f>
        <v/>
      </c>
      <c r="L34" s="151" t="str">
        <f>IF(VLOOKUP($E34,BDD!$A$2:$N$567,MATCH($H$23,BDD!$A$1:$P$1,0),FALSE)=L$24,V2_Innovation!L$24,"")</f>
        <v/>
      </c>
      <c r="M34" s="63">
        <f t="shared" si="6"/>
        <v>0</v>
      </c>
      <c r="N34" s="146" t="str">
        <f>VLOOKUP(VLOOKUP(E34,BDD!$A$2:$P$428,15,FALSE),Suppl!$D$64:$E$68,2,FALSE)</f>
        <v>Non renseigné</v>
      </c>
      <c r="O34" s="629"/>
      <c r="P34" s="629"/>
      <c r="Q34" s="629"/>
      <c r="R34" s="629"/>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267"/>
      <c r="AI34" s="30"/>
    </row>
    <row r="35" spans="1:35" ht="30" customHeight="1" x14ac:dyDescent="0.3">
      <c r="A35" s="267"/>
      <c r="B35" s="30"/>
      <c r="C35" s="30" t="str">
        <f t="shared" si="0"/>
        <v>2</v>
      </c>
      <c r="D35" s="32">
        <f t="shared" si="4"/>
        <v>2</v>
      </c>
      <c r="E35" s="32" t="str">
        <f t="shared" si="5"/>
        <v>225</v>
      </c>
      <c r="F35" s="143" t="s">
        <v>33</v>
      </c>
      <c r="G35" s="144" t="str">
        <f>VLOOKUP(E35,BDD!$A$2:$N$567,MATCH(G$24,BDD!$A$1:$P$1,0),FALSE)</f>
        <v xml:space="preserve">Une instance d’inspection est chargée de superviser et d'évaluer les risques, impacts et bénéfices des initiatives innovantes. Elle s'assure que ces initiatives sont conduites de façon responsable vis-à-vis de la direction et des guidelines technologiques d’organisation en architecture, sécurité et standards. </v>
      </c>
      <c r="H35" s="149" t="str">
        <f>IF(VLOOKUP($E35,BDD!$A$2:$N$567,MATCH($H$23,BDD!$A$1:$P$1,0),FALSE)=H$24,V2_Innovation!H$24,"")</f>
        <v/>
      </c>
      <c r="I35" s="150" t="str">
        <f>IF(VLOOKUP($E35,BDD!$A$2:$N$567,MATCH($H$23,BDD!$A$1:$P$1,0),FALSE)=I$24,V2_Innovation!I$24,"")</f>
        <v/>
      </c>
      <c r="J35" s="150" t="str">
        <f>IF(VLOOKUP($E35,BDD!$A$2:$N$567,MATCH($H$23,BDD!$A$1:$P$1,0),FALSE)=J$24,V2_Innovation!J$24,"")</f>
        <v/>
      </c>
      <c r="K35" s="150" t="str">
        <f>IF(VLOOKUP($E35,BDD!$A$2:$N$567,MATCH($H$23,BDD!$A$1:$P$1,0),FALSE)=K$24,V2_Innovation!K$24,"")</f>
        <v>N4</v>
      </c>
      <c r="L35" s="151" t="str">
        <f>IF(VLOOKUP($E35,BDD!$A$2:$N$567,MATCH($H$23,BDD!$A$1:$P$1,0),FALSE)=L$24,V2_Innovation!L$24,"")</f>
        <v/>
      </c>
      <c r="M35" s="63">
        <f t="shared" si="6"/>
        <v>0</v>
      </c>
      <c r="N35" s="144" t="str">
        <f>VLOOKUP(VLOOKUP(E35,BDD!$A$2:$P$428,15,FALSE),Suppl!$D$64:$E$68,2,FALSE)</f>
        <v>Non renseigné</v>
      </c>
      <c r="O35" s="629"/>
      <c r="P35" s="629"/>
      <c r="Q35" s="629"/>
      <c r="R35" s="629"/>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267"/>
      <c r="AI35" s="30"/>
    </row>
    <row r="36" spans="1:35" ht="27.6" x14ac:dyDescent="0.3">
      <c r="A36" s="267"/>
      <c r="B36" s="30"/>
      <c r="C36" s="30" t="str">
        <f t="shared" si="0"/>
        <v>2</v>
      </c>
      <c r="D36" s="32">
        <f t="shared" si="4"/>
        <v>2</v>
      </c>
      <c r="E36" s="32" t="str">
        <f t="shared" si="5"/>
        <v>226</v>
      </c>
      <c r="F36" s="147" t="s">
        <v>34</v>
      </c>
      <c r="G36" s="148" t="str">
        <f>VLOOKUP(E36,BDD!$A$2:$N$567,MATCH(G$24,BDD!$A$1:$P$1,0),FALSE)</f>
        <v>L’analyse de l’efficacité du dispositif de veille et de mise en œuvre des innovations est en place.</v>
      </c>
      <c r="H36" s="149" t="str">
        <f>IF(VLOOKUP($E36,BDD!$A$2:$N$567,MATCH($H$23,BDD!$A$1:$P$1,0),FALSE)=H$24,V2_Innovation!H$24,"")</f>
        <v/>
      </c>
      <c r="I36" s="150" t="str">
        <f>IF(VLOOKUP($E36,BDD!$A$2:$N$567,MATCH($H$23,BDD!$A$1:$P$1,0),FALSE)=I$24,V2_Innovation!I$24,"")</f>
        <v/>
      </c>
      <c r="J36" s="150" t="str">
        <f>IF(VLOOKUP($E36,BDD!$A$2:$N$567,MATCH($H$23,BDD!$A$1:$P$1,0),FALSE)=J$24,V2_Innovation!J$24,"")</f>
        <v/>
      </c>
      <c r="K36" s="150" t="str">
        <f>IF(VLOOKUP($E36,BDD!$A$2:$N$567,MATCH($H$23,BDD!$A$1:$P$1,0),FALSE)=K$24,V2_Innovation!K$24,"")</f>
        <v>N4</v>
      </c>
      <c r="L36" s="151" t="str">
        <f>IF(VLOOKUP($E36,BDD!$A$2:$N$567,MATCH($H$23,BDD!$A$1:$P$1,0),FALSE)=L$24,V2_Innovation!L$24,"")</f>
        <v/>
      </c>
      <c r="M36" s="63">
        <f t="shared" si="6"/>
        <v>0</v>
      </c>
      <c r="N36" s="148" t="str">
        <f>VLOOKUP(VLOOKUP(E36,BDD!$A$2:$P$428,15,FALSE),Suppl!$D$64:$E$68,2,FALSE)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267"/>
      <c r="AI36" s="30"/>
    </row>
    <row r="37" spans="1:35" ht="30" customHeight="1" x14ac:dyDescent="0.3">
      <c r="A37" s="267"/>
      <c r="B37" s="30"/>
      <c r="C37" s="30" t="str">
        <f t="shared" si="0"/>
        <v>2</v>
      </c>
      <c r="D37" s="32">
        <f>IF(LEFT(F37,5)="Bonne",D36+1,#REF!)</f>
        <v>3</v>
      </c>
      <c r="E37" s="32" t="str">
        <f t="shared" si="5"/>
        <v>233</v>
      </c>
      <c r="F37" s="191" t="s">
        <v>501</v>
      </c>
      <c r="G37" s="192" t="str">
        <f>VLOOKUP(E39,BDD!$A$2:$N$567,6,FALSE)</f>
        <v>Veille technologique</v>
      </c>
      <c r="H37" s="190"/>
      <c r="I37" s="135"/>
      <c r="J37" s="135"/>
      <c r="K37" s="135"/>
      <c r="L37" s="136"/>
      <c r="M37" s="137"/>
      <c r="N37" s="138"/>
      <c r="O37" s="630">
        <v>0</v>
      </c>
      <c r="P37" s="630"/>
      <c r="Q37" s="630"/>
      <c r="R37" s="630"/>
      <c r="S37" s="632">
        <f>SUMIFS(S:S,$D:$D,D37,$N:$N,"Exigences"&amp;"*")</f>
        <v>0</v>
      </c>
      <c r="T37" s="632"/>
      <c r="U37" s="632"/>
      <c r="V37" s="633"/>
      <c r="W37" s="356">
        <f>IFERROR(IF(N37=Suppl!$E$65,0,IF(N37=Suppl!$E$66,1/2/(COUNTIFS($N:$N,"Exigences"&amp;"*")+COUNTIFS($N:$N,"Non"&amp;"*")),IF(N37=Suppl!$E$67,1/(COUNTIFS($N:$N,"Exigences"&amp;"*")+COUNTIFS($N:$N,"Non"&amp;"*")),0))),0)</f>
        <v>0</v>
      </c>
      <c r="X37" s="30"/>
      <c r="Y37" s="30"/>
      <c r="Z37" s="30"/>
      <c r="AA37" s="30"/>
      <c r="AB37" s="30"/>
      <c r="AC37" s="30"/>
      <c r="AD37" s="30"/>
      <c r="AE37" s="30"/>
      <c r="AF37" s="30"/>
      <c r="AG37" s="30"/>
      <c r="AH37" s="267"/>
      <c r="AI37" s="30"/>
    </row>
    <row r="38" spans="1:35" ht="30" customHeight="1" x14ac:dyDescent="0.3">
      <c r="A38" s="267"/>
      <c r="B38" s="30"/>
      <c r="C38" s="30" t="str">
        <f t="shared" si="0"/>
        <v>2</v>
      </c>
      <c r="D38" s="32">
        <f>IF(LEFT(F38,5)="Bonne",#REF!+1,D37)</f>
        <v>3</v>
      </c>
      <c r="E38" s="32" t="str">
        <f t="shared" si="5"/>
        <v>231</v>
      </c>
      <c r="F38" s="211" t="s">
        <v>550</v>
      </c>
      <c r="G38" s="193" t="str">
        <f>VLOOKUP(E40,BDD!$A$2:$N$567,7,FALSE)</f>
        <v>La veille est organisée pour éclairer les efforts d’innovation et la stratégie de l’organisation.</v>
      </c>
      <c r="H38" s="139"/>
      <c r="I38" s="139"/>
      <c r="J38" s="139"/>
      <c r="K38" s="139"/>
      <c r="L38" s="140"/>
      <c r="M38" s="141"/>
      <c r="N38" s="142"/>
      <c r="O38" s="631"/>
      <c r="P38" s="631"/>
      <c r="Q38" s="631"/>
      <c r="R38" s="631"/>
      <c r="S38" s="634"/>
      <c r="T38" s="634"/>
      <c r="U38" s="634"/>
      <c r="V38" s="635"/>
      <c r="W38" s="356">
        <f>IFERROR(IF(N38=Suppl!$E$65,0,IF(N38=Suppl!$E$66,1/2/(COUNTIFS($N:$N,"Exigences"&amp;"*")+COUNTIFS($N:$N,"Non"&amp;"*")),IF(N38=Suppl!$E$67,1/(COUNTIFS($N:$N,"Exigences"&amp;"*")+COUNTIFS($N:$N,"Non"&amp;"*")),0))),0)</f>
        <v>0</v>
      </c>
      <c r="X38" s="30"/>
      <c r="Y38" s="30"/>
      <c r="Z38" s="30"/>
      <c r="AA38" s="30"/>
      <c r="AB38" s="30"/>
      <c r="AC38" s="30"/>
      <c r="AD38" s="30"/>
      <c r="AE38" s="30"/>
      <c r="AF38" s="30"/>
      <c r="AG38" s="30"/>
      <c r="AH38" s="267"/>
      <c r="AI38" s="30"/>
    </row>
    <row r="39" spans="1:35" ht="45" customHeight="1" x14ac:dyDescent="0.3">
      <c r="A39" s="267"/>
      <c r="B39" s="30"/>
      <c r="C39" s="30" t="str">
        <f t="shared" si="0"/>
        <v>2</v>
      </c>
      <c r="D39" s="32">
        <f t="shared" si="4"/>
        <v>3</v>
      </c>
      <c r="E39" s="32" t="str">
        <f t="shared" si="5"/>
        <v>231</v>
      </c>
      <c r="F39" s="143" t="s">
        <v>27</v>
      </c>
      <c r="G39" s="144" t="str">
        <f>VLOOKUP(E39,BDD!$A$2:$N$567,MATCH(G$24,BDD!$A$1:$P$1,0),FALSE)</f>
        <v>Il existe au sein de l’organisation  un réseau de veille numérique qui associe la DSI à d'autres fonctions métiers, pour suivre les tendances sur les plans technologiques, réglementaires, environnementaux, etc.</v>
      </c>
      <c r="H39" s="149" t="str">
        <f>IF(VLOOKUP($E39,BDD!$A$2:$N$567,MATCH($H$23,BDD!$A$1:$P$1,0),FALSE)=H$24,V2_Innovation!H$24,"")</f>
        <v/>
      </c>
      <c r="I39" s="150" t="str">
        <f>IF(VLOOKUP($E39,BDD!$A$2:$N$567,MATCH($H$23,BDD!$A$1:$P$1,0),FALSE)=I$24,V2_Innovation!I$24,"")</f>
        <v>N2</v>
      </c>
      <c r="J39" s="150" t="str">
        <f>IF(VLOOKUP($E39,BDD!$A$2:$N$567,MATCH($H$23,BDD!$A$1:$P$1,0),FALSE)=J$24,V2_Innovation!J$24,"")</f>
        <v/>
      </c>
      <c r="K39" s="150" t="str">
        <f>IF(VLOOKUP($E39,BDD!$A$2:$N$567,MATCH($H$23,BDD!$A$1:$P$1,0),FALSE)=K$24,V2_Innovation!K$24,"")</f>
        <v/>
      </c>
      <c r="L39" s="151" t="str">
        <f>IF(VLOOKUP($E39,BDD!$A$2:$N$567,MATCH($H$23,BDD!$A$1:$P$1,0),FALSE)=L$24,V2_Innovation!L$24,"")</f>
        <v/>
      </c>
      <c r="M39" s="63">
        <f t="shared" ref="M39:M42" si="7">IF(N39="Exigences partiellement respectées",1,IF(N39="Exigences respectées",2,0))</f>
        <v>0</v>
      </c>
      <c r="N39" s="144" t="str">
        <f>VLOOKUP(VLOOKUP(E39,BDD!$A$2:$P$428,15,FALSE),Suppl!$D$64:$E$68,2,FALSE)</f>
        <v>Non renseigné</v>
      </c>
      <c r="O39" s="626"/>
      <c r="P39" s="626"/>
      <c r="Q39" s="626"/>
      <c r="R39" s="626"/>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267"/>
      <c r="AI39" s="30"/>
    </row>
    <row r="40" spans="1:35" ht="58.8" customHeight="1" x14ac:dyDescent="0.3">
      <c r="A40" s="267"/>
      <c r="B40" s="30"/>
      <c r="C40" s="30" t="str">
        <f t="shared" si="0"/>
        <v>2</v>
      </c>
      <c r="D40" s="32">
        <f t="shared" si="4"/>
        <v>3</v>
      </c>
      <c r="E40" s="32" t="str">
        <f t="shared" si="5"/>
        <v>232</v>
      </c>
      <c r="F40" s="145" t="s">
        <v>28</v>
      </c>
      <c r="G40" s="146" t="str">
        <f>VLOOKUP(E40,BDD!$A$2:$N$567,MATCH(G$24,BDD!$A$1:$P$1,0),FALSE)</f>
        <v>Des actions sont organisées afin d’encourager les travaux en équipes mixtes métiers/filière SI : atelier d'idéation, travail collaboratif, démarche apprenante (test and learn). Les axes de veille sont définis et partagés avec les métiers et les actions sont communiquées et promues auprès des collaborateurs.</v>
      </c>
      <c r="H40" s="149" t="str">
        <f>IF(VLOOKUP($E40,BDD!$A$2:$N$567,MATCH($H$23,BDD!$A$1:$P$1,0),FALSE)=H$24,V2_Innovation!H$24,"")</f>
        <v/>
      </c>
      <c r="I40" s="150" t="str">
        <f>IF(VLOOKUP($E40,BDD!$A$2:$N$567,MATCH($H$23,BDD!$A$1:$P$1,0),FALSE)=I$24,V2_Innovation!I$24,"")</f>
        <v>N2</v>
      </c>
      <c r="J40" s="150" t="str">
        <f>IF(VLOOKUP($E40,BDD!$A$2:$N$567,MATCH($H$23,BDD!$A$1:$P$1,0),FALSE)=J$24,V2_Innovation!J$24,"")</f>
        <v/>
      </c>
      <c r="K40" s="150" t="str">
        <f>IF(VLOOKUP($E40,BDD!$A$2:$N$567,MATCH($H$23,BDD!$A$1:$P$1,0),FALSE)=K$24,V2_Innovation!K$24,"")</f>
        <v/>
      </c>
      <c r="L40" s="151" t="str">
        <f>IF(VLOOKUP($E40,BDD!$A$2:$N$567,MATCH($H$23,BDD!$A$1:$P$1,0),FALSE)=L$24,V2_Innovation!L$24,"")</f>
        <v/>
      </c>
      <c r="M40" s="63">
        <f t="shared" si="7"/>
        <v>0</v>
      </c>
      <c r="N40" s="146" t="str">
        <f>VLOOKUP(VLOOKUP(E40,BDD!$A$2:$P$428,15,FALSE),Suppl!$D$64:$E$68,2,FALSE)</f>
        <v>Non renseigné</v>
      </c>
      <c r="O40" s="629"/>
      <c r="P40" s="629"/>
      <c r="Q40" s="629"/>
      <c r="R40" s="629"/>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267"/>
      <c r="AI40" s="30"/>
    </row>
    <row r="41" spans="1:35" ht="30" customHeight="1" x14ac:dyDescent="0.3">
      <c r="A41" s="267"/>
      <c r="B41" s="30"/>
      <c r="C41" s="30" t="str">
        <f t="shared" si="0"/>
        <v>2</v>
      </c>
      <c r="D41" s="32">
        <f t="shared" si="4"/>
        <v>3</v>
      </c>
      <c r="E41" s="32" t="str">
        <f t="shared" si="5"/>
        <v>233</v>
      </c>
      <c r="F41" s="143" t="s">
        <v>30</v>
      </c>
      <c r="G41" s="144" t="str">
        <f>VLOOKUP(E41,BDD!$A$2:$N$567,MATCH(G$24,BDD!$A$1:$P$1,0),FALSE)</f>
        <v>Un espace innovation (par exemple un temps spécialement dédié) est accordé aux collaborateurs de façon exclusive pour les sujets d’innovation.</v>
      </c>
      <c r="H41" s="149" t="str">
        <f>IF(VLOOKUP($E41,BDD!$A$2:$N$567,MATCH($H$23,BDD!$A$1:$P$1,0),FALSE)=H$24,V2_Innovation!H$24,"")</f>
        <v/>
      </c>
      <c r="I41" s="150" t="str">
        <f>IF(VLOOKUP($E41,BDD!$A$2:$N$567,MATCH($H$23,BDD!$A$1:$P$1,0),FALSE)=I$24,V2_Innovation!I$24,"")</f>
        <v/>
      </c>
      <c r="J41" s="150" t="str">
        <f>IF(VLOOKUP($E41,BDD!$A$2:$N$567,MATCH($H$23,BDD!$A$1:$P$1,0),FALSE)=J$24,V2_Innovation!J$24,"")</f>
        <v>N3</v>
      </c>
      <c r="K41" s="150" t="str">
        <f>IF(VLOOKUP($E41,BDD!$A$2:$N$567,MATCH($H$23,BDD!$A$1:$P$1,0),FALSE)=K$24,V2_Innovation!K$24,"")</f>
        <v/>
      </c>
      <c r="L41" s="151" t="str">
        <f>IF(VLOOKUP($E41,BDD!$A$2:$N$567,MATCH($H$23,BDD!$A$1:$P$1,0),FALSE)=L$24,V2_Innovation!L$24,"")</f>
        <v/>
      </c>
      <c r="M41" s="63">
        <f t="shared" si="7"/>
        <v>0</v>
      </c>
      <c r="N41" s="144" t="str">
        <f>VLOOKUP(VLOOKUP(E41,BDD!$A$2:$P$428,15,FALSE),Suppl!$D$64:$E$68,2,FALSE)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267"/>
      <c r="AI41" s="30"/>
    </row>
    <row r="42" spans="1:35" ht="30" customHeight="1" x14ac:dyDescent="0.3">
      <c r="A42" s="267"/>
      <c r="B42" s="30"/>
      <c r="C42" s="30" t="str">
        <f t="shared" si="0"/>
        <v>2</v>
      </c>
      <c r="D42" s="32">
        <f t="shared" si="4"/>
        <v>3</v>
      </c>
      <c r="E42" s="32" t="str">
        <f t="shared" si="5"/>
        <v>234</v>
      </c>
      <c r="F42" s="145" t="s">
        <v>32</v>
      </c>
      <c r="G42" s="146" t="str">
        <f>VLOOKUP(E42,BDD!$A$2:$N$567,MATCH(G$24,BDD!$A$1:$P$1,0),FALSE)</f>
        <v xml:space="preserve">La DSI a élargi son périmètre de veille à son écosystème, via la participation à des réseaux externes à l'organisation. </v>
      </c>
      <c r="H42" s="149" t="str">
        <f>IF(VLOOKUP($E42,BDD!$A$2:$N$567,MATCH($H$23,BDD!$A$1:$P$1,0),FALSE)=H$24,V2_Innovation!H$24,"")</f>
        <v>N1</v>
      </c>
      <c r="I42" s="150" t="str">
        <f>IF(VLOOKUP($E42,BDD!$A$2:$N$567,MATCH($H$23,BDD!$A$1:$P$1,0),FALSE)=I$24,V2_Innovation!I$24,"")</f>
        <v/>
      </c>
      <c r="J42" s="150" t="str">
        <f>IF(VLOOKUP($E42,BDD!$A$2:$N$567,MATCH($H$23,BDD!$A$1:$P$1,0),FALSE)=J$24,V2_Innovation!J$24,"")</f>
        <v/>
      </c>
      <c r="K42" s="150" t="str">
        <f>IF(VLOOKUP($E42,BDD!$A$2:$N$567,MATCH($H$23,BDD!$A$1:$P$1,0),FALSE)=K$24,V2_Innovation!K$24,"")</f>
        <v/>
      </c>
      <c r="L42" s="151" t="str">
        <f>IF(VLOOKUP($E42,BDD!$A$2:$N$567,MATCH($H$23,BDD!$A$1:$P$1,0),FALSE)=L$24,V2_Innovation!L$24,"")</f>
        <v/>
      </c>
      <c r="M42" s="63">
        <f t="shared" si="7"/>
        <v>0</v>
      </c>
      <c r="N42" s="146" t="str">
        <f>VLOOKUP(VLOOKUP(E42,BDD!$A$2:$P$428,15,FALSE),Suppl!$D$64:$E$68,2,FALSE)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267"/>
      <c r="AI42" s="30"/>
    </row>
    <row r="43" spans="1:35" ht="30" customHeight="1" x14ac:dyDescent="0.3">
      <c r="A43" s="267"/>
      <c r="B43" s="30"/>
      <c r="C43" s="30" t="str">
        <f t="shared" si="0"/>
        <v>2</v>
      </c>
      <c r="D43" s="32">
        <f t="shared" ref="D43:D54" si="8">IF(LEFT(F43,5)="Bonne",D41+1,D42)</f>
        <v>4</v>
      </c>
      <c r="E43" s="32" t="str">
        <f t="shared" ref="E43:E54" si="9">C43&amp;D43&amp;RIGHT(F43,1)</f>
        <v>244</v>
      </c>
      <c r="F43" s="191" t="s">
        <v>502</v>
      </c>
      <c r="G43" s="192" t="str">
        <f>VLOOKUP(E45,BDD!$A$2:$N$567,6,FALSE)</f>
        <v>Agilité de l'organisation</v>
      </c>
      <c r="H43" s="190"/>
      <c r="I43" s="135"/>
      <c r="J43" s="135"/>
      <c r="K43" s="135"/>
      <c r="L43" s="136"/>
      <c r="M43" s="137"/>
      <c r="N43" s="138"/>
      <c r="O43" s="630">
        <v>0</v>
      </c>
      <c r="P43" s="630"/>
      <c r="Q43" s="630"/>
      <c r="R43" s="630"/>
      <c r="S43" s="632">
        <f>SUMIFS(S:S,$D:$D,D43,$N:$N,"Exigences"&amp;"*")</f>
        <v>0</v>
      </c>
      <c r="T43" s="632"/>
      <c r="U43" s="632"/>
      <c r="V43" s="633"/>
      <c r="W43" s="356">
        <f>IFERROR(IF(N43=Suppl!$E$65,0,IF(N43=Suppl!$E$66,1/2/(COUNTIFS($N:$N,"Exigences"&amp;"*")+COUNTIFS($N:$N,"Non"&amp;"*")),IF(N43=Suppl!$E$67,1/(COUNTIFS($N:$N,"Exigences"&amp;"*")+COUNTIFS($N:$N,"Non"&amp;"*")),0))),0)</f>
        <v>0</v>
      </c>
      <c r="X43" s="30"/>
      <c r="Y43" s="30"/>
      <c r="Z43" s="30"/>
      <c r="AA43" s="30"/>
      <c r="AB43" s="30"/>
      <c r="AC43" s="30"/>
      <c r="AD43" s="30"/>
      <c r="AE43" s="30"/>
      <c r="AF43" s="30"/>
      <c r="AG43" s="30"/>
      <c r="AH43" s="267"/>
      <c r="AI43" s="30"/>
    </row>
    <row r="44" spans="1:35" ht="30" customHeight="1" x14ac:dyDescent="0.3">
      <c r="A44" s="267"/>
      <c r="B44" s="30"/>
      <c r="C44" s="30" t="str">
        <f t="shared" si="0"/>
        <v>2</v>
      </c>
      <c r="D44" s="32">
        <f t="shared" si="8"/>
        <v>4</v>
      </c>
      <c r="E44" s="32" t="str">
        <f t="shared" si="9"/>
        <v>241</v>
      </c>
      <c r="F44" s="211" t="s">
        <v>550</v>
      </c>
      <c r="G44" s="193" t="str">
        <f>VLOOKUP(E46,BDD!$A$2:$N$567,7,FALSE)</f>
        <v xml:space="preserve">L’organisation est structurée de façon à prendre en compte et à traiter les initiatives d’innovation de manière agile.  </v>
      </c>
      <c r="H44" s="139"/>
      <c r="I44" s="139"/>
      <c r="J44" s="139"/>
      <c r="K44" s="139"/>
      <c r="L44" s="140"/>
      <c r="M44" s="141"/>
      <c r="N44" s="142"/>
      <c r="O44" s="631"/>
      <c r="P44" s="631"/>
      <c r="Q44" s="631"/>
      <c r="R44" s="631"/>
      <c r="S44" s="634"/>
      <c r="T44" s="634"/>
      <c r="U44" s="634"/>
      <c r="V44" s="635"/>
      <c r="W44" s="356">
        <f>IFERROR(IF(N44=Suppl!$E$65,0,IF(N44=Suppl!$E$66,1/2/(COUNTIFS($N:$N,"Exigences"&amp;"*")+COUNTIFS($N:$N,"Non"&amp;"*")),IF(N44=Suppl!$E$67,1/(COUNTIFS($N:$N,"Exigences"&amp;"*")+COUNTIFS($N:$N,"Non"&amp;"*")),0))),0)</f>
        <v>0</v>
      </c>
      <c r="X44" s="30"/>
      <c r="Y44" s="30"/>
      <c r="Z44" s="30"/>
      <c r="AA44" s="30"/>
      <c r="AB44" s="30"/>
      <c r="AC44" s="30"/>
      <c r="AD44" s="30"/>
      <c r="AE44" s="30"/>
      <c r="AF44" s="30"/>
      <c r="AG44" s="30"/>
      <c r="AH44" s="267"/>
      <c r="AI44" s="30"/>
    </row>
    <row r="45" spans="1:35" ht="43.8" customHeight="1" x14ac:dyDescent="0.3">
      <c r="A45" s="267"/>
      <c r="B45" s="30"/>
      <c r="C45" s="30" t="str">
        <f t="shared" si="0"/>
        <v>2</v>
      </c>
      <c r="D45" s="32">
        <f t="shared" si="8"/>
        <v>4</v>
      </c>
      <c r="E45" s="32" t="str">
        <f t="shared" si="9"/>
        <v>241</v>
      </c>
      <c r="F45" s="143" t="s">
        <v>27</v>
      </c>
      <c r="G45" s="144" t="str">
        <f>VLOOKUP(E45,BDD!$A$2:$N$567,MATCH(G$24,BDD!$A$1:$P$1,0),FALSE)</f>
        <v>L’organisation est en capacité de mobiliser les ressources nécessaires (financières, humaines et technologiques) afin de compléter les initiatives dans un délai adéquat.</v>
      </c>
      <c r="H45" s="149" t="str">
        <f>IF(VLOOKUP($E45,BDD!$A$2:$N$567,MATCH($H$23,BDD!$A$1:$P$1,0),FALSE)=H$24,V2_Innovation!H$24,"")</f>
        <v/>
      </c>
      <c r="I45" s="150" t="str">
        <f>IF(VLOOKUP($E45,BDD!$A$2:$N$567,MATCH($H$23,BDD!$A$1:$P$1,0),FALSE)=I$24,V2_Innovation!I$24,"")</f>
        <v>N2</v>
      </c>
      <c r="J45" s="150" t="str">
        <f>IF(VLOOKUP($E45,BDD!$A$2:$N$567,MATCH($H$23,BDD!$A$1:$P$1,0),FALSE)=J$24,V2_Innovation!J$24,"")</f>
        <v/>
      </c>
      <c r="K45" s="150" t="str">
        <f>IF(VLOOKUP($E45,BDD!$A$2:$N$567,MATCH($H$23,BDD!$A$1:$P$1,0),FALSE)=K$24,V2_Innovation!K$24,"")</f>
        <v/>
      </c>
      <c r="L45" s="151" t="str">
        <f>IF(VLOOKUP($E45,BDD!$A$2:$N$567,MATCH($H$23,BDD!$A$1:$P$1,0),FALSE)=L$24,V2_Innovation!L$24,"")</f>
        <v/>
      </c>
      <c r="M45" s="63">
        <f t="shared" ref="M45:M48" si="10">IF(N45="Exigences partiellement respectées",1,IF(N45="Exigences respectées",2,0))</f>
        <v>0</v>
      </c>
      <c r="N45" s="144" t="str">
        <f>VLOOKUP(VLOOKUP(E45,BDD!$A$2:$P$428,15,FALSE),Suppl!$D$64:$E$68,2,FALSE)</f>
        <v>Non renseigné</v>
      </c>
      <c r="O45" s="626"/>
      <c r="P45" s="626"/>
      <c r="Q45" s="626"/>
      <c r="R45" s="626"/>
      <c r="S45" s="627">
        <f>IF(N45=Suppl!$E$65,0,IF(N45=Suppl!$E$66,1/2/(COUNTIFS($D:$D,D45,$N:$N,"Exigences"&amp;"*",G:G,"&lt;&gt;0")+COUNTIFS($D:$D,D45,$N:$N,"Non"&amp;"*",G:G,"&lt;&gt;0")),IF(N45=Suppl!$E$67,1/(COUNTIFS($D:$D,D45,$N:$N,"Exigences"&amp;"*",G:G,"&lt;&gt;0")+COUNTIFS($D:$D,D45,$N:$N,"Non"&amp;"*",G:G,"&lt;&gt;0")),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267"/>
      <c r="AI45" s="30"/>
    </row>
    <row r="46" spans="1:35" ht="30" customHeight="1" x14ac:dyDescent="0.3">
      <c r="A46" s="267"/>
      <c r="B46" s="30"/>
      <c r="C46" s="30" t="str">
        <f t="shared" si="0"/>
        <v>2</v>
      </c>
      <c r="D46" s="32">
        <f t="shared" si="8"/>
        <v>4</v>
      </c>
      <c r="E46" s="32" t="str">
        <f t="shared" si="9"/>
        <v>242</v>
      </c>
      <c r="F46" s="145" t="s">
        <v>28</v>
      </c>
      <c r="G46" s="146" t="str">
        <f>VLOOKUP(E46,BDD!$A$2:$N$567,MATCH(G$24,BDD!$A$1:$P$1,0),FALSE)</f>
        <v>L’organisation implémente et maintient un processus d’innovation à l'état de l'art.</v>
      </c>
      <c r="H46" s="149" t="str">
        <f>IF(VLOOKUP($E46,BDD!$A$2:$N$567,MATCH($H$23,BDD!$A$1:$P$1,0),FALSE)=H$24,V2_Innovation!H$24,"")</f>
        <v/>
      </c>
      <c r="I46" s="150" t="str">
        <f>IF(VLOOKUP($E46,BDD!$A$2:$N$567,MATCH($H$23,BDD!$A$1:$P$1,0),FALSE)=I$24,V2_Innovation!I$24,"")</f>
        <v/>
      </c>
      <c r="J46" s="150" t="str">
        <f>IF(VLOOKUP($E46,BDD!$A$2:$N$567,MATCH($H$23,BDD!$A$1:$P$1,0),FALSE)=J$24,V2_Innovation!J$24,"")</f>
        <v>N3</v>
      </c>
      <c r="K46" s="150" t="str">
        <f>IF(VLOOKUP($E46,BDD!$A$2:$N$567,MATCH($H$23,BDD!$A$1:$P$1,0),FALSE)=K$24,V2_Innovation!K$24,"")</f>
        <v/>
      </c>
      <c r="L46" s="151" t="str">
        <f>IF(VLOOKUP($E46,BDD!$A$2:$N$567,MATCH($H$23,BDD!$A$1:$P$1,0),FALSE)=L$24,V2_Innovation!L$24,"")</f>
        <v/>
      </c>
      <c r="M46" s="63">
        <f t="shared" si="10"/>
        <v>0</v>
      </c>
      <c r="N46" s="146" t="str">
        <f>VLOOKUP(VLOOKUP(E46,BDD!$A$2:$P$428,15,FALSE),Suppl!$D$64:$E$68,2,FALSE)</f>
        <v>Non renseigné</v>
      </c>
      <c r="O46" s="629"/>
      <c r="P46" s="629"/>
      <c r="Q46" s="629"/>
      <c r="R46" s="629"/>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267"/>
      <c r="AI46" s="30"/>
    </row>
    <row r="47" spans="1:35" ht="30" customHeight="1" x14ac:dyDescent="0.3">
      <c r="A47" s="267"/>
      <c r="B47" s="30"/>
      <c r="C47" s="30" t="str">
        <f t="shared" si="0"/>
        <v>2</v>
      </c>
      <c r="D47" s="32">
        <f t="shared" si="8"/>
        <v>4</v>
      </c>
      <c r="E47" s="32" t="str">
        <f t="shared" si="9"/>
        <v>243</v>
      </c>
      <c r="F47" s="143" t="s">
        <v>30</v>
      </c>
      <c r="G47" s="144" t="str">
        <f>VLOOKUP(E47,BDD!$A$2:$N$567,MATCH(G$24,BDD!$A$1:$P$1,0),FALSE)</f>
        <v>Les processus juridiques, achats et RH sont anticipés afin de minimiser les temps d’exécution des initiatives d’innovation.</v>
      </c>
      <c r="H47" s="149" t="str">
        <f>IF(VLOOKUP($E47,BDD!$A$2:$N$567,MATCH($H$23,BDD!$A$1:$P$1,0),FALSE)=H$24,V2_Innovation!H$24,"")</f>
        <v/>
      </c>
      <c r="I47" s="150" t="str">
        <f>IF(VLOOKUP($E47,BDD!$A$2:$N$567,MATCH($H$23,BDD!$A$1:$P$1,0),FALSE)=I$24,V2_Innovation!I$24,"")</f>
        <v/>
      </c>
      <c r="J47" s="150" t="str">
        <f>IF(VLOOKUP($E47,BDD!$A$2:$N$567,MATCH($H$23,BDD!$A$1:$P$1,0),FALSE)=J$24,V2_Innovation!J$24,"")</f>
        <v/>
      </c>
      <c r="K47" s="150" t="str">
        <f>IF(VLOOKUP($E47,BDD!$A$2:$N$567,MATCH($H$23,BDD!$A$1:$P$1,0),FALSE)=K$24,V2_Innovation!K$24,"")</f>
        <v>N4</v>
      </c>
      <c r="L47" s="151" t="str">
        <f>IF(VLOOKUP($E47,BDD!$A$2:$N$567,MATCH($H$23,BDD!$A$1:$P$1,0),FALSE)=L$24,V2_Innovation!L$24,"")</f>
        <v/>
      </c>
      <c r="M47" s="63">
        <f t="shared" si="10"/>
        <v>0</v>
      </c>
      <c r="N47" s="144"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267"/>
      <c r="AI47" s="30"/>
    </row>
    <row r="48" spans="1:35" ht="30" customHeight="1" x14ac:dyDescent="0.3">
      <c r="A48" s="267"/>
      <c r="B48" s="30"/>
      <c r="C48" s="30" t="str">
        <f t="shared" si="0"/>
        <v>2</v>
      </c>
      <c r="D48" s="32">
        <f t="shared" si="8"/>
        <v>4</v>
      </c>
      <c r="E48" s="32" t="str">
        <f t="shared" si="9"/>
        <v>244</v>
      </c>
      <c r="F48" s="145" t="s">
        <v>32</v>
      </c>
      <c r="G48" s="146" t="str">
        <f>VLOOKUP(E48,BDD!$A$2:$N$567,MATCH(G$24,BDD!$A$1:$P$1,0),FALSE)</f>
        <v>L’innovation est prise en compte dans la gestion des ressources humaines et notamment à travers le plan de développement des compétences.</v>
      </c>
      <c r="H48" s="149" t="str">
        <f>IF(VLOOKUP($E48,BDD!$A$2:$N$567,MATCH($H$23,BDD!$A$1:$P$1,0),FALSE)=H$24,V2_Innovation!H$24,"")</f>
        <v/>
      </c>
      <c r="I48" s="150" t="str">
        <f>IF(VLOOKUP($E48,BDD!$A$2:$N$567,MATCH($H$23,BDD!$A$1:$P$1,0),FALSE)=I$24,V2_Innovation!I$24,"")</f>
        <v/>
      </c>
      <c r="J48" s="150" t="str">
        <f>IF(VLOOKUP($E48,BDD!$A$2:$N$567,MATCH($H$23,BDD!$A$1:$P$1,0),FALSE)=J$24,V2_Innovation!J$24,"")</f>
        <v>N3</v>
      </c>
      <c r="K48" s="150" t="str">
        <f>IF(VLOOKUP($E48,BDD!$A$2:$N$567,MATCH($H$23,BDD!$A$1:$P$1,0),FALSE)=K$24,V2_Innovation!K$24,"")</f>
        <v/>
      </c>
      <c r="L48" s="151" t="str">
        <f>IF(VLOOKUP($E48,BDD!$A$2:$N$567,MATCH($H$23,BDD!$A$1:$P$1,0),FALSE)=L$24,V2_Innovation!L$24,"")</f>
        <v/>
      </c>
      <c r="M48" s="63">
        <f t="shared" si="10"/>
        <v>0</v>
      </c>
      <c r="N48" s="146" t="str">
        <f>VLOOKUP(VLOOKUP(E48,BDD!$A$2:$P$428,15,FALSE),Suppl!$D$64:$E$68,2,FALSE)</f>
        <v>Non renseigné</v>
      </c>
      <c r="O48" s="629"/>
      <c r="P48" s="629"/>
      <c r="Q48" s="629"/>
      <c r="R48" s="629"/>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267"/>
      <c r="AI48" s="30"/>
    </row>
    <row r="49" spans="1:35" ht="30" customHeight="1" x14ac:dyDescent="0.3">
      <c r="A49" s="267"/>
      <c r="B49" s="30"/>
      <c r="C49" s="30" t="str">
        <f t="shared" si="0"/>
        <v>2</v>
      </c>
      <c r="D49" s="32">
        <f t="shared" si="8"/>
        <v>5</v>
      </c>
      <c r="E49" s="32" t="str">
        <f t="shared" si="9"/>
        <v>255</v>
      </c>
      <c r="F49" s="191" t="s">
        <v>503</v>
      </c>
      <c r="G49" s="192" t="str">
        <f>VLOOKUP(E51,BDD!$A$2:$N$567,6,FALSE)</f>
        <v>Performance</v>
      </c>
      <c r="H49" s="190"/>
      <c r="I49" s="135"/>
      <c r="J49" s="135"/>
      <c r="K49" s="135"/>
      <c r="L49" s="136"/>
      <c r="M49" s="137"/>
      <c r="N49" s="138"/>
      <c r="O49" s="630">
        <v>0</v>
      </c>
      <c r="P49" s="630"/>
      <c r="Q49" s="630"/>
      <c r="R49" s="630"/>
      <c r="S49" s="632">
        <f>SUMIFS(S:S,$D:$D,D49,$N:$N,"Exigences"&amp;"*")</f>
        <v>0</v>
      </c>
      <c r="T49" s="632"/>
      <c r="U49" s="632"/>
      <c r="V49" s="633"/>
      <c r="W49" s="356">
        <f>IFERROR(IF(N49=Suppl!$E$65,0,IF(N49=Suppl!$E$66,1/2/(COUNTIFS($N:$N,"Exigences"&amp;"*")+COUNTIFS($N:$N,"Non"&amp;"*")),IF(N49=Suppl!$E$67,1/(COUNTIFS($N:$N,"Exigences"&amp;"*")+COUNTIFS($N:$N,"Non"&amp;"*")),0))),0)</f>
        <v>0</v>
      </c>
      <c r="X49" s="30"/>
      <c r="Y49" s="30"/>
      <c r="Z49" s="30"/>
      <c r="AA49" s="30"/>
      <c r="AB49" s="30"/>
      <c r="AC49" s="30"/>
      <c r="AD49" s="30"/>
      <c r="AE49" s="30"/>
      <c r="AF49" s="30"/>
      <c r="AG49" s="30"/>
      <c r="AH49" s="267"/>
      <c r="AI49" s="30"/>
    </row>
    <row r="50" spans="1:35" ht="30" customHeight="1" x14ac:dyDescent="0.3">
      <c r="A50" s="267"/>
      <c r="B50" s="30"/>
      <c r="C50" s="30" t="str">
        <f t="shared" si="0"/>
        <v>2</v>
      </c>
      <c r="D50" s="32">
        <f t="shared" si="8"/>
        <v>5</v>
      </c>
      <c r="E50" s="32" t="str">
        <f t="shared" si="9"/>
        <v>251</v>
      </c>
      <c r="F50" s="211" t="s">
        <v>550</v>
      </c>
      <c r="G50" s="193" t="str">
        <f>VLOOKUP(E52,BDD!$A$2:$N$567,7,FALSE)</f>
        <v>La performance du processus d'innovation fait l’objet d’un suivi dans une logique d'amélioration continue.</v>
      </c>
      <c r="H50" s="139"/>
      <c r="I50" s="139"/>
      <c r="J50" s="139"/>
      <c r="K50" s="139"/>
      <c r="L50" s="140"/>
      <c r="M50" s="141"/>
      <c r="N50" s="142"/>
      <c r="O50" s="631"/>
      <c r="P50" s="631"/>
      <c r="Q50" s="631"/>
      <c r="R50" s="631"/>
      <c r="S50" s="634"/>
      <c r="T50" s="634"/>
      <c r="U50" s="634"/>
      <c r="V50" s="635"/>
      <c r="W50" s="356">
        <f>IFERROR(IF(N50=Suppl!$E$65,0,IF(N50=Suppl!$E$66,1/2/(COUNTIFS($N:$N,"Exigences"&amp;"*")+COUNTIFS($N:$N,"Non"&amp;"*")),IF(N50=Suppl!$E$67,1/(COUNTIFS($N:$N,"Exigences"&amp;"*")+COUNTIFS($N:$N,"Non"&amp;"*")),0))),0)</f>
        <v>0</v>
      </c>
      <c r="X50" s="30"/>
      <c r="Y50" s="30"/>
      <c r="Z50" s="30"/>
      <c r="AA50" s="30"/>
      <c r="AB50" s="30"/>
      <c r="AC50" s="30"/>
      <c r="AD50" s="30"/>
      <c r="AE50" s="30"/>
      <c r="AF50" s="30"/>
      <c r="AG50" s="30"/>
      <c r="AH50" s="267"/>
      <c r="AI50" s="30"/>
    </row>
    <row r="51" spans="1:35" ht="30" customHeight="1" x14ac:dyDescent="0.3">
      <c r="A51" s="267"/>
      <c r="B51" s="30"/>
      <c r="C51" s="30" t="str">
        <f t="shared" si="0"/>
        <v>2</v>
      </c>
      <c r="D51" s="32">
        <f t="shared" si="8"/>
        <v>5</v>
      </c>
      <c r="E51" s="32" t="str">
        <f t="shared" si="9"/>
        <v>251</v>
      </c>
      <c r="F51" s="143" t="s">
        <v>27</v>
      </c>
      <c r="G51" s="144" t="str">
        <f>VLOOKUP(E51,BDD!$A$2:$N$567,MATCH(G$24,BDD!$A$1:$P$1,0),FALSE)</f>
        <v>Des critères d’évaluation de l’efficacité du processus d'innovation sont définis, en lien avec les besoins de performance de l’organisation.</v>
      </c>
      <c r="H51" s="149" t="str">
        <f>IF(VLOOKUP($E51,BDD!$A$2:$N$567,MATCH($H$23,BDD!$A$1:$P$1,0),FALSE)=H$24,V2_Innovation!H$24,"")</f>
        <v/>
      </c>
      <c r="I51" s="150" t="str">
        <f>IF(VLOOKUP($E51,BDD!$A$2:$N$567,MATCH($H$23,BDD!$A$1:$P$1,0),FALSE)=I$24,V2_Innovation!I$24,"")</f>
        <v>N2</v>
      </c>
      <c r="J51" s="150" t="str">
        <f>IF(VLOOKUP($E51,BDD!$A$2:$N$567,MATCH($H$23,BDD!$A$1:$P$1,0),FALSE)=J$24,V2_Innovation!J$24,"")</f>
        <v/>
      </c>
      <c r="K51" s="150" t="str">
        <f>IF(VLOOKUP($E51,BDD!$A$2:$N$567,MATCH($H$23,BDD!$A$1:$P$1,0),FALSE)=K$24,V2_Innovation!K$24,"")</f>
        <v/>
      </c>
      <c r="L51" s="151" t="str">
        <f>IF(VLOOKUP($E51,BDD!$A$2:$N$567,MATCH($H$23,BDD!$A$1:$P$1,0),FALSE)=L$24,V2_Innovation!L$24,"")</f>
        <v/>
      </c>
      <c r="M51" s="63">
        <f t="shared" ref="M51:M54" si="11">IF(N51="Exigences partiellement respectées",1,IF(N51="Exigences respectées",2,0))</f>
        <v>0</v>
      </c>
      <c r="N51" s="144" t="str">
        <f>VLOOKUP(VLOOKUP(E51,BDD!$A$2:$P$428,15,FALSE),Suppl!$D$64:$E$68,2,FALSE)</f>
        <v>Non renseigné</v>
      </c>
      <c r="O51" s="626"/>
      <c r="P51" s="626"/>
      <c r="Q51" s="626"/>
      <c r="R51" s="626"/>
      <c r="S51" s="627">
        <f>IF(N51=Suppl!$E$65,0,IF(N51=Suppl!$E$66,1/2/(COUNTIFS($D:$D,D51,$N:$N,"Exigences"&amp;"*",G:G,"&lt;&gt;0")+COUNTIFS($D:$D,D51,$N:$N,"Non"&amp;"*",G:G,"&lt;&gt;0")),IF(N51=Suppl!$E$67,1/(COUNTIFS($D:$D,D51,$N:$N,"Exigences"&amp;"*",G:G,"&lt;&gt;0")+COUNTIFS($D:$D,D51,$N:$N,"Non"&amp;"*",G:G,"&lt;&gt;0")),0)))</f>
        <v>0</v>
      </c>
      <c r="T51" s="627"/>
      <c r="U51" s="627"/>
      <c r="V51" s="628"/>
      <c r="W51" s="356">
        <f>IFERROR(IF(N51=Suppl!$E$65,0,IF(N51=Suppl!$E$66,1/2/(COUNTIFS($N:$N,"Exigences"&amp;"*")+COUNTIFS($N:$N,"Non"&amp;"*")),IF(N51=Suppl!$E$67,1/(COUNTIFS($N:$N,"Exigences"&amp;"*")+COUNTIFS($N:$N,"Non"&amp;"*")),0))),0)</f>
        <v>0</v>
      </c>
      <c r="X51" s="30"/>
      <c r="Y51" s="30"/>
      <c r="Z51" s="30"/>
      <c r="AA51" s="30"/>
      <c r="AB51" s="30"/>
      <c r="AC51" s="30"/>
      <c r="AD51" s="30"/>
      <c r="AE51" s="30"/>
      <c r="AF51" s="30"/>
      <c r="AG51" s="30"/>
      <c r="AH51" s="267"/>
      <c r="AI51" s="30"/>
    </row>
    <row r="52" spans="1:35" ht="30" customHeight="1" x14ac:dyDescent="0.3">
      <c r="A52" s="267"/>
      <c r="B52" s="30"/>
      <c r="C52" s="30" t="str">
        <f t="shared" si="0"/>
        <v>2</v>
      </c>
      <c r="D52" s="32">
        <f t="shared" si="8"/>
        <v>5</v>
      </c>
      <c r="E52" s="32" t="str">
        <f t="shared" si="9"/>
        <v>252</v>
      </c>
      <c r="F52" s="145" t="s">
        <v>28</v>
      </c>
      <c r="G52" s="146" t="str">
        <f>VLOOKUP(E52,BDD!$A$2:$N$567,MATCH(G$24,BDD!$A$1:$P$1,0),FALSE)</f>
        <v>Une part significative du portefeuille des projets informatiques est porteuse d’innovation et cette part est régulièrement évaluée.</v>
      </c>
      <c r="H52" s="149" t="str">
        <f>IF(VLOOKUP($E52,BDD!$A$2:$N$567,MATCH($H$23,BDD!$A$1:$P$1,0),FALSE)=H$24,V2_Innovation!H$24,"")</f>
        <v/>
      </c>
      <c r="I52" s="150" t="str">
        <f>IF(VLOOKUP($E52,BDD!$A$2:$N$567,MATCH($H$23,BDD!$A$1:$P$1,0),FALSE)=I$24,V2_Innovation!I$24,"")</f>
        <v/>
      </c>
      <c r="J52" s="150" t="str">
        <f>IF(VLOOKUP($E52,BDD!$A$2:$N$567,MATCH($H$23,BDD!$A$1:$P$1,0),FALSE)=J$24,V2_Innovation!J$24,"")</f>
        <v/>
      </c>
      <c r="K52" s="150" t="str">
        <f>IF(VLOOKUP($E52,BDD!$A$2:$N$567,MATCH($H$23,BDD!$A$1:$P$1,0),FALSE)=K$24,V2_Innovation!K$24,"")</f>
        <v>N4</v>
      </c>
      <c r="L52" s="151" t="str">
        <f>IF(VLOOKUP($E52,BDD!$A$2:$N$567,MATCH($H$23,BDD!$A$1:$P$1,0),FALSE)=L$24,V2_Innovation!L$24,"")</f>
        <v/>
      </c>
      <c r="M52" s="63">
        <f t="shared" si="11"/>
        <v>0</v>
      </c>
      <c r="N52" s="146" t="str">
        <f>VLOOKUP(VLOOKUP(E52,BDD!$A$2:$P$428,15,FALSE),Suppl!$D$64:$E$68,2,FALSE)</f>
        <v>Non renseigné</v>
      </c>
      <c r="O52" s="629"/>
      <c r="P52" s="629"/>
      <c r="Q52" s="629"/>
      <c r="R52" s="629"/>
      <c r="S52" s="627">
        <f>IF(N52=Suppl!$E$65,0,IF(N52=Suppl!$E$66,1/2/(COUNTIFS($D:$D,D52,$N:$N,"Exigences"&amp;"*",G:G,"&lt;&gt;0")+COUNTIFS($D:$D,D52,$N:$N,"Non"&amp;"*",G:G,"&lt;&gt;0")),IF(N52=Suppl!$E$67,1/(COUNTIFS($D:$D,D52,$N:$N,"Exigences"&amp;"*",G:G,"&lt;&gt;0")+COUNTIFS($D:$D,D52,$N:$N,"Non"&amp;"*",G:G,"&lt;&gt;0")),0)))</f>
        <v>0</v>
      </c>
      <c r="T52" s="627"/>
      <c r="U52" s="627"/>
      <c r="V52" s="628"/>
      <c r="W52" s="356">
        <f>IFERROR(IF(N52=Suppl!$E$65,0,IF(N52=Suppl!$E$66,1/2/(COUNTIFS($N:$N,"Exigences"&amp;"*")+COUNTIFS($N:$N,"Non"&amp;"*")),IF(N52=Suppl!$E$67,1/(COUNTIFS($N:$N,"Exigences"&amp;"*")+COUNTIFS($N:$N,"Non"&amp;"*")),0))),0)</f>
        <v>0</v>
      </c>
      <c r="X52" s="30"/>
      <c r="Y52" s="30"/>
      <c r="Z52" s="30"/>
      <c r="AA52" s="30"/>
      <c r="AB52" s="30"/>
      <c r="AC52" s="30"/>
      <c r="AD52" s="30"/>
      <c r="AE52" s="30"/>
      <c r="AF52" s="30"/>
      <c r="AG52" s="30"/>
      <c r="AH52" s="267"/>
      <c r="AI52" s="30"/>
    </row>
    <row r="53" spans="1:35" ht="30" customHeight="1" x14ac:dyDescent="0.3">
      <c r="A53" s="267"/>
      <c r="B53" s="30"/>
      <c r="C53" s="30" t="str">
        <f t="shared" si="0"/>
        <v>2</v>
      </c>
      <c r="D53" s="32">
        <f t="shared" si="8"/>
        <v>5</v>
      </c>
      <c r="E53" s="32" t="str">
        <f t="shared" si="9"/>
        <v>253</v>
      </c>
      <c r="F53" s="143" t="s">
        <v>30</v>
      </c>
      <c r="G53" s="144" t="str">
        <f>VLOOKUP(E53,BDD!$A$2:$N$567,MATCH(G$24,BDD!$A$1:$P$1,0),FALSE)</f>
        <v>Les différents critères d’évaluation font l’objet d’une revue par la direction générale.</v>
      </c>
      <c r="H53" s="149" t="str">
        <f>IF(VLOOKUP($E53,BDD!$A$2:$N$567,MATCH($H$23,BDD!$A$1:$P$1,0),FALSE)=H$24,V2_Innovation!H$24,"")</f>
        <v/>
      </c>
      <c r="I53" s="150" t="str">
        <f>IF(VLOOKUP($E53,BDD!$A$2:$N$567,MATCH($H$23,BDD!$A$1:$P$1,0),FALSE)=I$24,V2_Innovation!I$24,"")</f>
        <v/>
      </c>
      <c r="J53" s="150" t="str">
        <f>IF(VLOOKUP($E53,BDD!$A$2:$N$567,MATCH($H$23,BDD!$A$1:$P$1,0),FALSE)=J$24,V2_Innovation!J$24,"")</f>
        <v>N3</v>
      </c>
      <c r="K53" s="150" t="str">
        <f>IF(VLOOKUP($E53,BDD!$A$2:$N$567,MATCH($H$23,BDD!$A$1:$P$1,0),FALSE)=K$24,V2_Innovation!K$24,"")</f>
        <v/>
      </c>
      <c r="L53" s="151" t="str">
        <f>IF(VLOOKUP($E53,BDD!$A$2:$N$567,MATCH($H$23,BDD!$A$1:$P$1,0),FALSE)=L$24,V2_Innovation!L$24,"")</f>
        <v/>
      </c>
      <c r="M53" s="63">
        <f t="shared" si="11"/>
        <v>0</v>
      </c>
      <c r="N53" s="144" t="str">
        <f>VLOOKUP(VLOOKUP(E53,BDD!$A$2:$P$428,15,FALSE),Suppl!$D$64:$E$68,2,FALSE)</f>
        <v>Non renseigné</v>
      </c>
      <c r="O53" s="629"/>
      <c r="P53" s="629"/>
      <c r="Q53" s="629"/>
      <c r="R53" s="629"/>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267"/>
      <c r="AI53" s="30"/>
    </row>
    <row r="54" spans="1:35" ht="30" customHeight="1" x14ac:dyDescent="0.3">
      <c r="A54" s="267"/>
      <c r="B54" s="30"/>
      <c r="C54" s="30" t="str">
        <f t="shared" si="0"/>
        <v>2</v>
      </c>
      <c r="D54" s="32">
        <f t="shared" si="8"/>
        <v>5</v>
      </c>
      <c r="E54" s="32" t="str">
        <f t="shared" si="9"/>
        <v>254</v>
      </c>
      <c r="F54" s="145" t="s">
        <v>32</v>
      </c>
      <c r="G54" s="146" t="str">
        <f>VLOOKUP(E54,BDD!$A$2:$N$567,MATCH(G$24,BDD!$A$1:$P$1,0),FALSE)</f>
        <v>Les résultats de ces  évaluations donnent lieu à une évolution régulière du processus d’innovation visant à l'amélioration continue.</v>
      </c>
      <c r="H54" s="149" t="str">
        <f>IF(VLOOKUP($E54,BDD!$A$2:$N$567,MATCH($H$23,BDD!$A$1:$P$1,0),FALSE)=H$24,V2_Innovation!H$24,"")</f>
        <v/>
      </c>
      <c r="I54" s="150" t="str">
        <f>IF(VLOOKUP($E54,BDD!$A$2:$N$567,MATCH($H$23,BDD!$A$1:$P$1,0),FALSE)=I$24,V2_Innovation!I$24,"")</f>
        <v/>
      </c>
      <c r="J54" s="150" t="str">
        <f>IF(VLOOKUP($E54,BDD!$A$2:$N$567,MATCH($H$23,BDD!$A$1:$P$1,0),FALSE)=J$24,V2_Innovation!J$24,"")</f>
        <v/>
      </c>
      <c r="K54" s="150" t="str">
        <f>IF(VLOOKUP($E54,BDD!$A$2:$N$567,MATCH($H$23,BDD!$A$1:$P$1,0),FALSE)=K$24,V2_Innovation!K$24,"")</f>
        <v/>
      </c>
      <c r="L54" s="151" t="str">
        <f>IF(VLOOKUP($E54,BDD!$A$2:$N$567,MATCH($H$23,BDD!$A$1:$P$1,0),FALSE)=L$24,V2_Innovation!L$24,"")</f>
        <v>N5</v>
      </c>
      <c r="M54" s="63">
        <f t="shared" si="11"/>
        <v>0</v>
      </c>
      <c r="N54" s="146" t="str">
        <f>VLOOKUP(VLOOKUP(E54,BDD!$A$2:$P$428,15,FALSE),Suppl!$D$64:$E$68,2,FALSE)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267"/>
      <c r="AI54" s="30"/>
    </row>
    <row r="55" spans="1:35" ht="30" customHeight="1" x14ac:dyDescent="0.3">
      <c r="A55" s="267"/>
      <c r="B55" s="30"/>
      <c r="C55" s="30" t="str">
        <f t="shared" si="0"/>
        <v>2</v>
      </c>
      <c r="D55" s="32">
        <f t="shared" ref="D55:D60" si="12">IF(LEFT(F55,5)="Bonne",D53+1,D54)</f>
        <v>6</v>
      </c>
      <c r="E55" s="32" t="str">
        <f t="shared" ref="E55:E60" si="13">C55&amp;D55&amp;RIGHT(F55,1)</f>
        <v>266</v>
      </c>
      <c r="F55" s="191" t="s">
        <v>556</v>
      </c>
      <c r="G55" s="192" t="str">
        <f>VLOOKUP(E57,BDD!$A$2:$N$567,6,FALSE)</f>
        <v>Communication</v>
      </c>
      <c r="H55" s="190"/>
      <c r="I55" s="135"/>
      <c r="J55" s="135"/>
      <c r="K55" s="135"/>
      <c r="L55" s="136"/>
      <c r="M55" s="137"/>
      <c r="N55" s="138"/>
      <c r="O55" s="630">
        <v>0</v>
      </c>
      <c r="P55" s="630"/>
      <c r="Q55" s="630"/>
      <c r="R55" s="630"/>
      <c r="S55" s="632">
        <f>SUMIFS(S:S,$D:$D,D55,$N:$N,"Exigences"&amp;"*")</f>
        <v>0</v>
      </c>
      <c r="T55" s="632"/>
      <c r="U55" s="632"/>
      <c r="V55" s="633"/>
      <c r="W55" s="356">
        <f>IFERROR(IF(N55=Suppl!$E$65,0,IF(N55=Suppl!$E$66,1/2/(COUNTIFS($N:$N,"Exigences"&amp;"*")+COUNTIFS($N:$N,"Non"&amp;"*")),IF(N55=Suppl!$E$67,1/(COUNTIFS($N:$N,"Exigences"&amp;"*")+COUNTIFS($N:$N,"Non"&amp;"*")),0))),0)</f>
        <v>0</v>
      </c>
      <c r="X55" s="30"/>
      <c r="Y55" s="30"/>
      <c r="Z55" s="30"/>
      <c r="AA55" s="30"/>
      <c r="AB55" s="30"/>
      <c r="AC55" s="30"/>
      <c r="AD55" s="30"/>
      <c r="AE55" s="30"/>
      <c r="AF55" s="30"/>
      <c r="AG55" s="30"/>
      <c r="AH55" s="267"/>
      <c r="AI55" s="30"/>
    </row>
    <row r="56" spans="1:35" ht="30" customHeight="1" x14ac:dyDescent="0.3">
      <c r="A56" s="267"/>
      <c r="B56" s="30"/>
      <c r="C56" s="30" t="str">
        <f t="shared" si="0"/>
        <v>2</v>
      </c>
      <c r="D56" s="32">
        <f t="shared" si="12"/>
        <v>6</v>
      </c>
      <c r="E56" s="32" t="str">
        <f t="shared" si="13"/>
        <v>261</v>
      </c>
      <c r="F56" s="211" t="s">
        <v>550</v>
      </c>
      <c r="G56" s="193" t="str">
        <f>VLOOKUP(E58,BDD!$A$2:$N$567,7,FALSE)</f>
        <v>L’innovation fait l’objet d’une communication clairement définie.</v>
      </c>
      <c r="H56" s="139"/>
      <c r="I56" s="139"/>
      <c r="J56" s="139"/>
      <c r="K56" s="139"/>
      <c r="L56" s="140"/>
      <c r="M56" s="141"/>
      <c r="N56" s="142"/>
      <c r="O56" s="631"/>
      <c r="P56" s="631"/>
      <c r="Q56" s="631"/>
      <c r="R56" s="631"/>
      <c r="S56" s="634"/>
      <c r="T56" s="634"/>
      <c r="U56" s="634"/>
      <c r="V56" s="635"/>
      <c r="W56" s="356">
        <f>IFERROR(IF(N56=Suppl!$E$65,0,IF(N56=Suppl!$E$66,1/2/(COUNTIFS($N:$N,"Exigences"&amp;"*")+COUNTIFS($N:$N,"Non"&amp;"*")),IF(N56=Suppl!$E$67,1/(COUNTIFS($N:$N,"Exigences"&amp;"*")+COUNTIFS($N:$N,"Non"&amp;"*")),0))),0)</f>
        <v>0</v>
      </c>
      <c r="X56" s="30"/>
      <c r="Y56" s="30"/>
      <c r="Z56" s="30"/>
      <c r="AA56" s="30"/>
      <c r="AB56" s="30"/>
      <c r="AC56" s="30"/>
      <c r="AD56" s="30"/>
      <c r="AE56" s="30"/>
      <c r="AF56" s="30"/>
      <c r="AG56" s="30"/>
      <c r="AH56" s="267"/>
      <c r="AI56" s="30"/>
    </row>
    <row r="57" spans="1:35" ht="30" customHeight="1" x14ac:dyDescent="0.3">
      <c r="A57" s="267"/>
      <c r="B57" s="30"/>
      <c r="C57" s="30" t="str">
        <f t="shared" si="0"/>
        <v>2</v>
      </c>
      <c r="D57" s="32">
        <f t="shared" si="12"/>
        <v>6</v>
      </c>
      <c r="E57" s="32" t="str">
        <f t="shared" si="13"/>
        <v>261</v>
      </c>
      <c r="F57" s="143" t="s">
        <v>27</v>
      </c>
      <c r="G57" s="144" t="str">
        <f>VLOOKUP(E57,BDD!$A$2:$N$567,MATCH(G$24,BDD!$A$1:$P$1,0),FALSE)</f>
        <v>Les enjeux et la population cible de la communication sur l'innovation sont explicitement définis. </v>
      </c>
      <c r="H57" s="149" t="str">
        <f>IF(VLOOKUP($E57,BDD!$A$2:$N$567,MATCH($H$23,BDD!$A$1:$P$1,0),FALSE)=H$24,V2_Innovation!H$24,"")</f>
        <v/>
      </c>
      <c r="I57" s="150" t="str">
        <f>IF(VLOOKUP($E57,BDD!$A$2:$N$567,MATCH($H$23,BDD!$A$1:$P$1,0),FALSE)=I$24,V2_Innovation!I$24,"")</f>
        <v>N2</v>
      </c>
      <c r="J57" s="150" t="str">
        <f>IF(VLOOKUP($E57,BDD!$A$2:$N$567,MATCH($H$23,BDD!$A$1:$P$1,0),FALSE)=J$24,V2_Innovation!J$24,"")</f>
        <v/>
      </c>
      <c r="K57" s="150" t="str">
        <f>IF(VLOOKUP($E57,BDD!$A$2:$N$567,MATCH($H$23,BDD!$A$1:$P$1,0),FALSE)=K$24,V2_Innovation!K$24,"")</f>
        <v/>
      </c>
      <c r="L57" s="151" t="str">
        <f>IF(VLOOKUP($E57,BDD!$A$2:$N$567,MATCH($H$23,BDD!$A$1:$P$1,0),FALSE)=L$24,V2_Innovation!L$24,"")</f>
        <v/>
      </c>
      <c r="M57" s="63">
        <f t="shared" ref="M57:M60" si="14">IF(N57="Exigences partiellement respectées",1,IF(N57="Exigences respectées",2,0))</f>
        <v>0</v>
      </c>
      <c r="N57" s="144" t="str">
        <f>VLOOKUP(VLOOKUP(E57,BDD!$A$2:$P$428,15,FALSE),Suppl!$D$64:$E$68,2,FALSE)</f>
        <v>Non renseigné</v>
      </c>
      <c r="O57" s="626"/>
      <c r="P57" s="626"/>
      <c r="Q57" s="626"/>
      <c r="R57" s="626"/>
      <c r="S57" s="627">
        <f>IF(N57=Suppl!$E$65,0,IF(N57=Suppl!$E$66,1/2/(COUNTIFS($D:$D,D57,$N:$N,"Exigences"&amp;"*",G:G,"&lt;&gt;0")+COUNTIFS($D:$D,D57,$N:$N,"Non"&amp;"*",G:G,"&lt;&gt;0")),IF(N57=Suppl!$E$67,1/(COUNTIFS($D:$D,D57,$N:$N,"Exigences"&amp;"*",G:G,"&lt;&gt;0")+COUNTIFS($D:$D,D57,$N:$N,"Non"&amp;"*",G:G,"&lt;&gt;0")),0)))</f>
        <v>0</v>
      </c>
      <c r="T57" s="627"/>
      <c r="U57" s="627"/>
      <c r="V57" s="628"/>
      <c r="W57" s="356">
        <f>IFERROR(IF(N57=Suppl!$E$65,0,IF(N57=Suppl!$E$66,1/2/(COUNTIFS($N:$N,"Exigences"&amp;"*")+COUNTIFS($N:$N,"Non"&amp;"*")),IF(N57=Suppl!$E$67,1/(COUNTIFS($N:$N,"Exigences"&amp;"*")+COUNTIFS($N:$N,"Non"&amp;"*")),0))),0)</f>
        <v>0</v>
      </c>
      <c r="X57" s="30"/>
      <c r="Y57" s="30"/>
      <c r="Z57" s="30"/>
      <c r="AA57" s="30"/>
      <c r="AB57" s="30"/>
      <c r="AC57" s="30"/>
      <c r="AD57" s="30"/>
      <c r="AE57" s="30"/>
      <c r="AF57" s="30"/>
      <c r="AG57" s="30"/>
      <c r="AH57" s="267"/>
      <c r="AI57" s="30"/>
    </row>
    <row r="58" spans="1:35" ht="41.4" x14ac:dyDescent="0.3">
      <c r="A58" s="267"/>
      <c r="B58" s="30"/>
      <c r="C58" s="30" t="str">
        <f t="shared" si="0"/>
        <v>2</v>
      </c>
      <c r="D58" s="32">
        <f t="shared" si="12"/>
        <v>6</v>
      </c>
      <c r="E58" s="32" t="str">
        <f t="shared" si="13"/>
        <v>262</v>
      </c>
      <c r="F58" s="145" t="s">
        <v>28</v>
      </c>
      <c r="G58" s="146" t="str">
        <f>VLOOKUP(E58,BDD!$A$2:$N$567,MATCH(G$24,BDD!$A$1:$P$1,0),FALSE)</f>
        <v>La communication de l’innovation est structurée selon un plan de communication interne et externe. Les actions sont relayées et les acteurs mis en avant. Cette communication est effectuée au niveau des services et des directions.</v>
      </c>
      <c r="H58" s="149" t="str">
        <f>IF(VLOOKUP($E58,BDD!$A$2:$N$567,MATCH($H$23,BDD!$A$1:$P$1,0),FALSE)=H$24,V2_Innovation!H$24,"")</f>
        <v/>
      </c>
      <c r="I58" s="150" t="str">
        <f>IF(VLOOKUP($E58,BDD!$A$2:$N$567,MATCH($H$23,BDD!$A$1:$P$1,0),FALSE)=I$24,V2_Innovation!I$24,"")</f>
        <v/>
      </c>
      <c r="J58" s="150" t="str">
        <f>IF(VLOOKUP($E58,BDD!$A$2:$N$567,MATCH($H$23,BDD!$A$1:$P$1,0),FALSE)=J$24,V2_Innovation!J$24,"")</f>
        <v>N3</v>
      </c>
      <c r="K58" s="150" t="str">
        <f>IF(VLOOKUP($E58,BDD!$A$2:$N$567,MATCH($H$23,BDD!$A$1:$P$1,0),FALSE)=K$24,V2_Innovation!K$24,"")</f>
        <v/>
      </c>
      <c r="L58" s="151" t="str">
        <f>IF(VLOOKUP($E58,BDD!$A$2:$N$567,MATCH($H$23,BDD!$A$1:$P$1,0),FALSE)=L$24,V2_Innovation!L$24,"")</f>
        <v/>
      </c>
      <c r="M58" s="63">
        <f t="shared" si="14"/>
        <v>0</v>
      </c>
      <c r="N58" s="146" t="str">
        <f>VLOOKUP(VLOOKUP(E58,BDD!$A$2:$P$428,15,FALSE),Suppl!$D$64:$E$68,2,FALSE)</f>
        <v>Non renseigné</v>
      </c>
      <c r="O58" s="629"/>
      <c r="P58" s="629"/>
      <c r="Q58" s="629"/>
      <c r="R58" s="629"/>
      <c r="S58" s="627">
        <f>IF(N58=Suppl!$E$65,0,IF(N58=Suppl!$E$66,1/2/(COUNTIFS($D:$D,D58,$N:$N,"Exigences"&amp;"*",G:G,"&lt;&gt;0")+COUNTIFS($D:$D,D58,$N:$N,"Non"&amp;"*",G:G,"&lt;&gt;0")),IF(N58=Suppl!$E$67,1/(COUNTIFS($D:$D,D58,$N:$N,"Exigences"&amp;"*",G:G,"&lt;&gt;0")+COUNTIFS($D:$D,D58,$N:$N,"Non"&amp;"*",G:G,"&lt;&gt;0")),0)))</f>
        <v>0</v>
      </c>
      <c r="T58" s="627"/>
      <c r="U58" s="627"/>
      <c r="V58" s="628"/>
      <c r="W58" s="356">
        <f>IFERROR(IF(N58=Suppl!$E$65,0,IF(N58=Suppl!$E$66,1/2/(COUNTIFS($N:$N,"Exigences"&amp;"*")+COUNTIFS($N:$N,"Non"&amp;"*")),IF(N58=Suppl!$E$67,1/(COUNTIFS($N:$N,"Exigences"&amp;"*")+COUNTIFS($N:$N,"Non"&amp;"*")),0))),0)</f>
        <v>0</v>
      </c>
      <c r="X58" s="30"/>
      <c r="Y58" s="30"/>
      <c r="Z58" s="30"/>
      <c r="AA58" s="30"/>
      <c r="AB58" s="30"/>
      <c r="AC58" s="30"/>
      <c r="AD58" s="30"/>
      <c r="AE58" s="30"/>
      <c r="AF58" s="30"/>
      <c r="AG58" s="30"/>
      <c r="AH58" s="267"/>
      <c r="AI58" s="30"/>
    </row>
    <row r="59" spans="1:35" ht="30" customHeight="1" x14ac:dyDescent="0.3">
      <c r="A59" s="267"/>
      <c r="B59" s="30"/>
      <c r="C59" s="30" t="str">
        <f t="shared" si="0"/>
        <v>2</v>
      </c>
      <c r="D59" s="32">
        <f t="shared" si="12"/>
        <v>6</v>
      </c>
      <c r="E59" s="32" t="str">
        <f t="shared" si="13"/>
        <v>263</v>
      </c>
      <c r="F59" s="143" t="s">
        <v>30</v>
      </c>
      <c r="G59" s="144" t="str">
        <f>VLOOKUP(E59,BDD!$A$2:$N$567,MATCH(G$24,BDD!$A$1:$P$1,0),FALSE)</f>
        <v>Les progrès et résultats du processus d’innovation sont communiqués à l’organisation.</v>
      </c>
      <c r="H59" s="149" t="str">
        <f>IF(VLOOKUP($E59,BDD!$A$2:$N$567,MATCH($H$23,BDD!$A$1:$P$1,0),FALSE)=H$24,V2_Innovation!H$24,"")</f>
        <v/>
      </c>
      <c r="I59" s="150" t="str">
        <f>IF(VLOOKUP($E59,BDD!$A$2:$N$567,MATCH($H$23,BDD!$A$1:$P$1,0),FALSE)=I$24,V2_Innovation!I$24,"")</f>
        <v/>
      </c>
      <c r="J59" s="150" t="str">
        <f>IF(VLOOKUP($E59,BDD!$A$2:$N$567,MATCH($H$23,BDD!$A$1:$P$1,0),FALSE)=J$24,V2_Innovation!J$24,"")</f>
        <v/>
      </c>
      <c r="K59" s="150" t="str">
        <f>IF(VLOOKUP($E59,BDD!$A$2:$N$567,MATCH($H$23,BDD!$A$1:$P$1,0),FALSE)=K$24,V2_Innovation!K$24,"")</f>
        <v>N4</v>
      </c>
      <c r="L59" s="151" t="str">
        <f>IF(VLOOKUP($E59,BDD!$A$2:$N$567,MATCH($H$23,BDD!$A$1:$P$1,0),FALSE)=L$24,V2_Innovation!L$24,"")</f>
        <v/>
      </c>
      <c r="M59" s="63">
        <f t="shared" si="14"/>
        <v>0</v>
      </c>
      <c r="N59" s="144" t="str">
        <f>VLOOKUP(VLOOKUP(E59,BDD!$A$2:$P$428,15,FALSE),Suppl!$D$64:$E$68,2,FALSE)</f>
        <v>Non renseigné</v>
      </c>
      <c r="O59" s="629"/>
      <c r="P59" s="629"/>
      <c r="Q59" s="629"/>
      <c r="R59" s="629"/>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267"/>
      <c r="AI59" s="30"/>
    </row>
    <row r="60" spans="1:35" ht="30" customHeight="1" x14ac:dyDescent="0.3">
      <c r="A60" s="267"/>
      <c r="B60" s="30"/>
      <c r="C60" s="30" t="str">
        <f t="shared" si="0"/>
        <v>2</v>
      </c>
      <c r="D60" s="32">
        <f t="shared" si="12"/>
        <v>6</v>
      </c>
      <c r="E60" s="32" t="str">
        <f t="shared" si="13"/>
        <v>264</v>
      </c>
      <c r="F60" s="145" t="s">
        <v>32</v>
      </c>
      <c r="G60" s="146" t="str">
        <f>VLOOKUP(E60,BDD!$A$2:$N$567,MATCH(G$24,BDD!$A$1:$P$1,0),FALSE)</f>
        <v>L’impact de la communication sur la culture d’innovation de l’organisation est mesuré régulièrement.</v>
      </c>
      <c r="H60" s="149" t="str">
        <f>IF(VLOOKUP($E60,BDD!$A$2:$N$567,MATCH($H$23,BDD!$A$1:$P$1,0),FALSE)=H$24,V2_Innovation!H$24,"")</f>
        <v/>
      </c>
      <c r="I60" s="150" t="str">
        <f>IF(VLOOKUP($E60,BDD!$A$2:$N$567,MATCH($H$23,BDD!$A$1:$P$1,0),FALSE)=I$24,V2_Innovation!I$24,"")</f>
        <v/>
      </c>
      <c r="J60" s="150" t="str">
        <f>IF(VLOOKUP($E60,BDD!$A$2:$N$567,MATCH($H$23,BDD!$A$1:$P$1,0),FALSE)=J$24,V2_Innovation!J$24,"")</f>
        <v/>
      </c>
      <c r="K60" s="150" t="str">
        <f>IF(VLOOKUP($E60,BDD!$A$2:$N$567,MATCH($H$23,BDD!$A$1:$P$1,0),FALSE)=K$24,V2_Innovation!K$24,"")</f>
        <v/>
      </c>
      <c r="L60" s="151" t="str">
        <f>IF(VLOOKUP($E60,BDD!$A$2:$N$567,MATCH($H$23,BDD!$A$1:$P$1,0),FALSE)=L$24,V2_Innovation!L$24,"")</f>
        <v>N5</v>
      </c>
      <c r="M60" s="63">
        <f t="shared" si="14"/>
        <v>0</v>
      </c>
      <c r="N60" s="146" t="str">
        <f>VLOOKUP(VLOOKUP(E60,BDD!$A$2:$P$428,15,FALSE),Suppl!$D$64:$E$68,2,FALSE)</f>
        <v>Non renseigné</v>
      </c>
      <c r="O60" s="647"/>
      <c r="P60" s="636"/>
      <c r="Q60" s="636"/>
      <c r="R60" s="636"/>
      <c r="S60" s="624">
        <f>IF(N60=Suppl!$E$65,0,IF(N60=Suppl!$E$66,1/2/(COUNTIFS($D:$D,D60,$N:$N,"Exigences"&amp;"*",G:G,"&lt;&gt;0")+COUNTIFS($D:$D,D60,$N:$N,"Non"&amp;"*",G:G,"&lt;&gt;0")),IF(N60=Suppl!$E$67,1/(COUNTIFS($D:$D,D60,$N:$N,"Exigences"&amp;"*",G:G,"&lt;&gt;0")+COUNTIFS($D:$D,D60,$N:$N,"Non"&amp;"*",G:G,"&lt;&gt;0")),0)))</f>
        <v>0</v>
      </c>
      <c r="T60" s="624"/>
      <c r="U60" s="624"/>
      <c r="V60" s="625"/>
      <c r="W60" s="356">
        <f>IFERROR(IF(N60=Suppl!$E$65,0,IF(N60=Suppl!$E$66,1/2/(COUNTIFS($N:$N,"Exigences"&amp;"*")+COUNTIFS($N:$N,"Non"&amp;"*")),IF(N60=Suppl!$E$67,1/(COUNTIFS($N:$N,"Exigences"&amp;"*")+COUNTIFS($N:$N,"Non"&amp;"*")),0))),0)</f>
        <v>0</v>
      </c>
      <c r="X60" s="30"/>
      <c r="Y60" s="30"/>
      <c r="Z60" s="30"/>
      <c r="AA60" s="30"/>
      <c r="AB60" s="30"/>
      <c r="AC60" s="30"/>
      <c r="AD60" s="30"/>
      <c r="AE60" s="30"/>
      <c r="AF60" s="30"/>
      <c r="AG60" s="30"/>
      <c r="AH60" s="267"/>
      <c r="AI60" s="30"/>
    </row>
    <row r="61" spans="1:35" ht="30" customHeight="1" x14ac:dyDescent="0.3">
      <c r="A61" s="267"/>
      <c r="B61" s="30"/>
      <c r="C61" s="30"/>
      <c r="D61" s="32"/>
      <c r="E61" s="32"/>
      <c r="F61" s="30"/>
      <c r="G61" s="32"/>
      <c r="H61" s="32"/>
      <c r="I61" s="32"/>
      <c r="J61" s="32"/>
      <c r="K61" s="32"/>
      <c r="L61" s="32"/>
      <c r="M61" s="32"/>
      <c r="N61" s="30"/>
      <c r="O61" s="30"/>
      <c r="P61" s="30"/>
      <c r="Q61" s="30"/>
      <c r="R61" s="30"/>
      <c r="S61" s="30"/>
      <c r="T61" s="30"/>
      <c r="U61" s="30"/>
      <c r="V61" s="30"/>
      <c r="W61" s="33"/>
      <c r="X61" s="30"/>
      <c r="Y61" s="30"/>
      <c r="Z61" s="30"/>
      <c r="AA61" s="30"/>
      <c r="AB61" s="30"/>
      <c r="AC61" s="30"/>
      <c r="AD61" s="30"/>
      <c r="AE61" s="30"/>
      <c r="AF61" s="30"/>
      <c r="AG61" s="30"/>
      <c r="AH61" s="267"/>
      <c r="AI61" s="30"/>
    </row>
    <row r="62" spans="1:35" ht="30" customHeight="1" x14ac:dyDescent="0.3">
      <c r="A62" s="267" t="s">
        <v>164</v>
      </c>
      <c r="B62" s="267"/>
      <c r="C62" s="267"/>
      <c r="D62" s="267"/>
      <c r="E62" s="267"/>
      <c r="F62" s="267"/>
      <c r="G62" s="292"/>
      <c r="H62" s="292"/>
      <c r="I62" s="292"/>
      <c r="J62" s="292"/>
      <c r="K62" s="292"/>
      <c r="L62" s="292"/>
      <c r="M62" s="292"/>
      <c r="N62" s="267"/>
      <c r="O62" s="267"/>
      <c r="P62" s="267"/>
      <c r="Q62" s="267"/>
      <c r="R62" s="267"/>
      <c r="S62" s="267"/>
      <c r="T62" s="267"/>
      <c r="U62" s="267"/>
      <c r="V62" s="267"/>
      <c r="W62" s="306"/>
      <c r="X62" s="267"/>
      <c r="Y62" s="267"/>
      <c r="Z62" s="267"/>
      <c r="AA62" s="267"/>
      <c r="AB62" s="267"/>
      <c r="AC62" s="267"/>
      <c r="AD62" s="267"/>
      <c r="AE62" s="267"/>
      <c r="AF62" s="267"/>
      <c r="AG62" s="267"/>
      <c r="AH62" s="267" t="s">
        <v>164</v>
      </c>
      <c r="AI62" s="30"/>
    </row>
  </sheetData>
  <sheetProtection algorithmName="SHA-512" hashValue="PBTIZPTDPZqjVad3LQaZn0fEexnIdR9QeSTZrgB9DHMG1nXQCWqKu3tXOzRtR+xT47Wg0yydVZoCOSF1XP67Ug==" saltValue="1DTjBsP1SlfF60yhe70HYA=="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3"/>
  </protectedRanges>
  <mergeCells count="66">
    <mergeCell ref="O25:R26"/>
    <mergeCell ref="S25:V26"/>
    <mergeCell ref="AD7:AD10"/>
    <mergeCell ref="O21:R21"/>
    <mergeCell ref="O22:R22"/>
    <mergeCell ref="O24:R24"/>
    <mergeCell ref="S24:V24"/>
    <mergeCell ref="O20:R20"/>
    <mergeCell ref="O27:R27"/>
    <mergeCell ref="S27:V27"/>
    <mergeCell ref="O28:R28"/>
    <mergeCell ref="S28:V28"/>
    <mergeCell ref="O32:R32"/>
    <mergeCell ref="S32:V32"/>
    <mergeCell ref="O33:R33"/>
    <mergeCell ref="S33:V33"/>
    <mergeCell ref="O34:R34"/>
    <mergeCell ref="S34:V34"/>
    <mergeCell ref="O29:R30"/>
    <mergeCell ref="S29:V30"/>
    <mergeCell ref="O31:R31"/>
    <mergeCell ref="S31:V31"/>
    <mergeCell ref="O35:R35"/>
    <mergeCell ref="S35:V35"/>
    <mergeCell ref="O36:R36"/>
    <mergeCell ref="S36:V36"/>
    <mergeCell ref="O43:R44"/>
    <mergeCell ref="S43:V44"/>
    <mergeCell ref="O41:R41"/>
    <mergeCell ref="S41:V41"/>
    <mergeCell ref="O42:R42"/>
    <mergeCell ref="S42:V42"/>
    <mergeCell ref="O37:R38"/>
    <mergeCell ref="S37:V38"/>
    <mergeCell ref="O39:R39"/>
    <mergeCell ref="S39:V39"/>
    <mergeCell ref="O40:R40"/>
    <mergeCell ref="S40:V40"/>
    <mergeCell ref="O48:R48"/>
    <mergeCell ref="S48:V48"/>
    <mergeCell ref="O45:R45"/>
    <mergeCell ref="S45:V45"/>
    <mergeCell ref="O46:R46"/>
    <mergeCell ref="S46:V46"/>
    <mergeCell ref="O47:R47"/>
    <mergeCell ref="S47:V47"/>
    <mergeCell ref="O49:R50"/>
    <mergeCell ref="S49:V50"/>
    <mergeCell ref="O51:R51"/>
    <mergeCell ref="S51:V51"/>
    <mergeCell ref="O55:R56"/>
    <mergeCell ref="S55:V56"/>
    <mergeCell ref="O52:R52"/>
    <mergeCell ref="S52:V52"/>
    <mergeCell ref="O53:R53"/>
    <mergeCell ref="S53:V53"/>
    <mergeCell ref="O54:R54"/>
    <mergeCell ref="S54:V54"/>
    <mergeCell ref="O60:R60"/>
    <mergeCell ref="S60:V60"/>
    <mergeCell ref="O57:R57"/>
    <mergeCell ref="S57:V57"/>
    <mergeCell ref="O58:R58"/>
    <mergeCell ref="S58:V58"/>
    <mergeCell ref="O59:R59"/>
    <mergeCell ref="S59:V59"/>
  </mergeCells>
  <conditionalFormatting sqref="G5:G11 G13:G22">
    <cfRule type="expression" dxfId="145" priority="14">
      <formula>$G5&lt;&gt;""</formula>
    </cfRule>
  </conditionalFormatting>
  <conditionalFormatting sqref="H27:L60">
    <cfRule type="expression" dxfId="144" priority="18">
      <formula>AND($N27="Non évalué",H27&lt;&gt;"")</formula>
    </cfRule>
    <cfRule type="expression" dxfId="143" priority="19">
      <formula>AND($N27="Exigences non respectées",H27&lt;&gt;"")</formula>
    </cfRule>
    <cfRule type="expression" dxfId="142" priority="20">
      <formula>AND($N27="Exigences partiellement respectées",H27&lt;&gt;"")</formula>
    </cfRule>
    <cfRule type="expression" dxfId="141" priority="21">
      <formula>AND($N27="Exigences respectées",H27&lt;&gt;"")</formula>
    </cfRule>
  </conditionalFormatting>
  <conditionalFormatting sqref="O8:U12">
    <cfRule type="cellIs" dxfId="140" priority="5" operator="equal">
      <formula>3</formula>
    </cfRule>
    <cfRule type="cellIs" dxfId="139" priority="6" operator="equal">
      <formula>2</formula>
    </cfRule>
    <cfRule type="cellIs" dxfId="138" priority="7" operator="equal">
      <formula>1</formula>
    </cfRule>
  </conditionalFormatting>
  <conditionalFormatting sqref="O13:U13">
    <cfRule type="cellIs" dxfId="137" priority="2" operator="equal">
      <formula>3</formula>
    </cfRule>
    <cfRule type="cellIs" dxfId="136" priority="3" operator="equal">
      <formula>2</formula>
    </cfRule>
    <cfRule type="cellIs" dxfId="135" priority="4" operator="equal">
      <formula>1</formula>
    </cfRule>
  </conditionalFormatting>
  <conditionalFormatting sqref="O20:R20">
    <cfRule type="cellIs" dxfId="134"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66E2C0F-BAC3-4F93-AE29-044CD4B400D5}">
          <x14:formula1>
            <xm:f>Suppl!$E$65:$E$69</xm:f>
          </x14:formula1>
          <xm:sqref>W16 W8:W13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16CB9-7F37-4A4A-8FBD-ADF45472EDAD}">
  <sheetPr codeName="Feuil41">
    <tabColor rgb="FF0079A4"/>
  </sheetPr>
  <dimension ref="A1:P135"/>
  <sheetViews>
    <sheetView showGridLines="0" showRowColHeaders="0" zoomScale="65" zoomScaleNormal="70" workbookViewId="0">
      <selection activeCell="H122" sqref="H122"/>
    </sheetView>
  </sheetViews>
  <sheetFormatPr baseColWidth="10" defaultRowHeight="14.4" x14ac:dyDescent="0.3"/>
  <cols>
    <col min="1" max="1" width="2.88671875" customWidth="1"/>
    <col min="2" max="2" width="4" customWidth="1"/>
    <col min="3" max="5" width="4" hidden="1" customWidth="1"/>
    <col min="6" max="6" width="10.88671875" customWidth="1"/>
    <col min="7" max="7" width="40.664062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68"/>
      <c r="B1" s="261" t="s">
        <v>559</v>
      </c>
      <c r="C1" s="262"/>
      <c r="D1" s="262"/>
      <c r="E1" s="262"/>
      <c r="F1" s="262"/>
      <c r="G1" s="268"/>
      <c r="H1" s="266"/>
      <c r="I1" s="266"/>
      <c r="J1" s="295" t="str">
        <f>VLOOKUP($E$12,BDD!$A$2:$N$567,3,FALSE)</f>
        <v>Risques &amp; conformité</v>
      </c>
      <c r="K1" s="266"/>
      <c r="L1" s="268"/>
      <c r="M1" s="268"/>
      <c r="N1" s="268"/>
      <c r="O1" s="268"/>
      <c r="P1" s="268"/>
    </row>
    <row r="2" spans="1:16" ht="45" customHeight="1" x14ac:dyDescent="0.3">
      <c r="A2" s="268"/>
      <c r="B2" s="268"/>
      <c r="C2" s="268"/>
      <c r="D2" s="268"/>
      <c r="E2" s="268"/>
      <c r="F2" s="268"/>
      <c r="G2" s="268"/>
      <c r="H2" s="268"/>
      <c r="I2" s="268"/>
      <c r="J2" s="270" t="str">
        <f>VLOOKUP($E$12,BDD!$A$2:$N$567,4,FALSE)</f>
        <v>Prendre en compte les risques numériques et la conformité dans les enjeux stratégiques, les processus métiers et les produits et services de l'organisation.</v>
      </c>
      <c r="K2" s="268"/>
      <c r="L2" s="268"/>
      <c r="M2" s="268"/>
      <c r="N2" s="268"/>
      <c r="O2" s="268"/>
      <c r="P2" s="268"/>
    </row>
    <row r="3" spans="1:16" ht="18" x14ac:dyDescent="0.35">
      <c r="A3" s="268"/>
      <c r="B3" s="68"/>
      <c r="C3" s="68"/>
      <c r="D3" s="68"/>
      <c r="E3" s="68"/>
      <c r="F3" s="68"/>
      <c r="G3" s="69" t="str">
        <f>IF(Suppl!B64=2,"Le vecteur n'est pas utilisé","")</f>
        <v/>
      </c>
      <c r="H3" s="69"/>
      <c r="I3" s="69"/>
      <c r="J3" s="69"/>
      <c r="K3" s="69"/>
      <c r="L3" s="70"/>
      <c r="M3" s="68"/>
      <c r="N3" s="68"/>
      <c r="O3" s="68"/>
      <c r="P3" s="268"/>
    </row>
    <row r="4" spans="1:16" x14ac:dyDescent="0.3">
      <c r="A4" s="268"/>
      <c r="B4" s="68"/>
      <c r="C4" s="68"/>
      <c r="D4" s="68"/>
      <c r="E4" s="68"/>
      <c r="F4" s="68"/>
      <c r="G4" s="68"/>
      <c r="H4" s="68"/>
      <c r="I4" s="68"/>
      <c r="J4" s="68"/>
      <c r="K4" s="68"/>
      <c r="L4" s="68"/>
      <c r="M4" s="68"/>
      <c r="N4" s="68"/>
      <c r="O4" s="68"/>
      <c r="P4" s="268"/>
    </row>
    <row r="5" spans="1:16" ht="25.8" x14ac:dyDescent="0.5">
      <c r="A5" s="296"/>
      <c r="B5" s="74"/>
      <c r="C5" s="68" t="str">
        <f>IF(LEFT(RIGHT($B$1,2),1)=" ",RIGHT($B$1,1),RIGHT($B$1,2))</f>
        <v>3</v>
      </c>
      <c r="D5" s="68">
        <f>IF(LEFT(F5,14)="Bonne pratique",D4+1,D4)</f>
        <v>1</v>
      </c>
      <c r="E5" s="71"/>
      <c r="F5" s="208" t="s">
        <v>499</v>
      </c>
      <c r="G5" s="75"/>
      <c r="H5" s="205"/>
      <c r="I5" s="73"/>
      <c r="J5" s="73" t="str">
        <f>VLOOKUP(E12,BDD!$A$2:$N$567,6,FALSE)</f>
        <v>Cadres standardisé de gestion des risques numériques</v>
      </c>
      <c r="K5" s="72"/>
      <c r="L5" s="75"/>
      <c r="M5" s="75"/>
      <c r="N5" s="75"/>
      <c r="O5" s="74"/>
      <c r="P5" s="296"/>
    </row>
    <row r="6" spans="1:16" x14ac:dyDescent="0.3">
      <c r="A6" s="268"/>
      <c r="B6" s="68"/>
      <c r="C6" s="68" t="str">
        <f t="shared" ref="C6:C69" si="0">IF(LEFT(RIGHT($B$1,2),1)=" ",RIGHT($B$1,1),RIGHT($B$1,2))</f>
        <v>3</v>
      </c>
      <c r="D6" s="68">
        <f>IF(LEFT(F6,14)="Bonne pratique",D5+1,D5)</f>
        <v>1</v>
      </c>
      <c r="E6" s="68"/>
      <c r="F6" s="68"/>
      <c r="G6" s="68"/>
      <c r="H6" s="68"/>
      <c r="I6" s="68"/>
      <c r="J6" s="68"/>
      <c r="K6" s="68"/>
      <c r="L6" s="68"/>
      <c r="M6" s="68"/>
      <c r="N6" s="68"/>
      <c r="O6" s="68"/>
      <c r="P6" s="268"/>
    </row>
    <row r="7" spans="1:16" ht="23.4" customHeight="1" x14ac:dyDescent="0.35">
      <c r="A7" s="297"/>
      <c r="B7" s="76"/>
      <c r="C7" s="68" t="str">
        <f t="shared" si="0"/>
        <v>3</v>
      </c>
      <c r="D7" s="68">
        <f t="shared" ref="D7:D67" si="1">IF(LEFT(F7,14)="Bonne pratique",D6+1,D6)</f>
        <v>1</v>
      </c>
      <c r="E7" s="76"/>
      <c r="F7" s="76"/>
      <c r="G7" s="76"/>
      <c r="H7" s="76"/>
      <c r="I7" s="77"/>
      <c r="J7" s="207" t="str">
        <f>IFERROR(_xlfn.TEXTBEFORE(VLOOKUP(E12,BDD!$A$2:$N$567,7,FALSE)," ",25),VLOOKUP(E12,BDD!$A$2:$N$567,7,FALSE))</f>
        <v>Il existe un processus itératif de gestion standardisé et intégré des risques numériques, incluant les pratiques et les procédures pour communiquer, consulter, établir le contexte,</v>
      </c>
      <c r="K7" s="77"/>
      <c r="L7" s="76"/>
      <c r="M7" s="76"/>
      <c r="N7" s="76"/>
      <c r="O7" s="76"/>
      <c r="P7" s="297"/>
    </row>
    <row r="8" spans="1:16" ht="18" x14ac:dyDescent="0.35">
      <c r="A8" s="268"/>
      <c r="B8" s="68"/>
      <c r="C8" s="68" t="str">
        <f t="shared" si="0"/>
        <v>3</v>
      </c>
      <c r="D8" s="68">
        <f t="shared" si="1"/>
        <v>1</v>
      </c>
      <c r="E8" s="68"/>
      <c r="F8" s="68"/>
      <c r="G8" s="68"/>
      <c r="H8" s="68"/>
      <c r="I8" s="68"/>
      <c r="J8" s="207" t="str">
        <f>IFERROR(_xlfn.TEXTAFTER(VLOOKUP(E12,BDD!$A$2:$N$567,7,FALSE)," ",25),"")</f>
        <v>identifier, analyser, évaluer, traiter, piloter et réviser les risques. Ce processus est intégré à la gestion des risques de l'organisation.</v>
      </c>
      <c r="K8" s="68"/>
      <c r="L8" s="68"/>
      <c r="M8" s="68"/>
      <c r="N8" s="68"/>
      <c r="O8" s="68"/>
      <c r="P8" s="268"/>
    </row>
    <row r="9" spans="1:16" x14ac:dyDescent="0.3">
      <c r="A9" s="268"/>
      <c r="B9" s="68"/>
      <c r="C9" s="68" t="str">
        <f t="shared" si="0"/>
        <v>3</v>
      </c>
      <c r="D9" s="68">
        <f t="shared" si="1"/>
        <v>1</v>
      </c>
      <c r="E9" s="68"/>
      <c r="F9" s="68"/>
      <c r="G9" s="78"/>
      <c r="H9" s="78"/>
      <c r="I9" s="78"/>
      <c r="J9" s="78"/>
      <c r="K9" s="78"/>
      <c r="L9" s="78"/>
      <c r="M9" s="618" t="s">
        <v>92</v>
      </c>
      <c r="N9" s="618"/>
      <c r="O9" s="68"/>
      <c r="P9" s="268"/>
    </row>
    <row r="10" spans="1:16" ht="33" x14ac:dyDescent="0.3">
      <c r="A10" s="268"/>
      <c r="B10" s="68"/>
      <c r="C10" s="68" t="str">
        <f t="shared" si="0"/>
        <v>3</v>
      </c>
      <c r="D10" s="68">
        <f t="shared" si="1"/>
        <v>1</v>
      </c>
      <c r="E10" s="68"/>
      <c r="F10" s="79"/>
      <c r="G10" s="80" t="s">
        <v>561</v>
      </c>
      <c r="H10" s="80" t="s">
        <v>82</v>
      </c>
      <c r="I10" s="126" t="s">
        <v>21</v>
      </c>
      <c r="J10" s="80" t="s">
        <v>84</v>
      </c>
      <c r="K10" s="80" t="s">
        <v>549</v>
      </c>
      <c r="L10" s="78"/>
      <c r="M10" s="81" t="s">
        <v>86</v>
      </c>
      <c r="N10" s="82" t="s">
        <v>87</v>
      </c>
      <c r="O10" s="68"/>
      <c r="P10" s="268"/>
    </row>
    <row r="11" spans="1:16" x14ac:dyDescent="0.3">
      <c r="A11" s="268"/>
      <c r="B11" s="68"/>
      <c r="C11" s="68" t="str">
        <f t="shared" si="0"/>
        <v>3</v>
      </c>
      <c r="D11" s="68">
        <f t="shared" si="1"/>
        <v>1</v>
      </c>
      <c r="E11" s="68"/>
      <c r="F11" s="68"/>
      <c r="G11" s="83"/>
      <c r="H11" s="83"/>
      <c r="I11" s="83"/>
      <c r="J11" s="68"/>
      <c r="K11" s="83"/>
      <c r="L11" s="68"/>
      <c r="M11" s="68"/>
      <c r="N11" s="68"/>
      <c r="O11" s="68"/>
      <c r="P11" s="268"/>
    </row>
    <row r="12" spans="1:16" ht="130.05000000000001" customHeight="1" x14ac:dyDescent="0.3">
      <c r="A12" s="268"/>
      <c r="B12" s="68"/>
      <c r="C12" s="68" t="str">
        <f t="shared" si="0"/>
        <v>3</v>
      </c>
      <c r="D12" s="68">
        <f t="shared" si="1"/>
        <v>1</v>
      </c>
      <c r="E12" s="84" t="str">
        <f>C12&amp;D12&amp;RIGHT(F12,1)</f>
        <v>311</v>
      </c>
      <c r="F12" s="66" t="s">
        <v>27</v>
      </c>
      <c r="G12" s="67" t="str">
        <f>IFERROR(IF(VLOOKUP($E12,BDD!$A$1:$S$567,MATCH(G$10,BDD!$A$1:$P$1,0),FALSE)=0,"",VLOOKUP($E12,BDD!$A$1:$S$567,MATCH(G$10,BDD!$A$1:$P$1,0),FALSE)),"")</f>
        <v xml:space="preserve">L’organisation considère la gestion des risques numériques comme une composante essentielle de sa gouvernance et l’intègre dans sa communication. </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Les dirigeants communiquent en interne et en externe sur la gestion des risques numériques avec des objectifs clairement définis.
• La gestion des risques numériques fait partie intégrante du bilan annuel d’activité de l’organisation.
• Un programme continu de sensibilisation et de formation est mis en œuvre pour tous les collaborateurs.</v>
      </c>
      <c r="L12" s="68"/>
      <c r="M12" s="87"/>
      <c r="N12" s="87"/>
      <c r="O12" s="68"/>
      <c r="P12" s="268"/>
    </row>
    <row r="13" spans="1:16" ht="155.4" customHeight="1" x14ac:dyDescent="0.3">
      <c r="A13" s="268"/>
      <c r="B13" s="68"/>
      <c r="C13" s="68" t="str">
        <f t="shared" si="0"/>
        <v>3</v>
      </c>
      <c r="D13" s="68">
        <f t="shared" si="1"/>
        <v>1</v>
      </c>
      <c r="E13" s="84" t="str">
        <f t="shared" ref="E13:E82" si="2">C13&amp;D13&amp;RIGHT(F13,1)</f>
        <v>312</v>
      </c>
      <c r="F13" s="94" t="s">
        <v>28</v>
      </c>
      <c r="G13" s="65" t="str">
        <f>IFERROR(IF(VLOOKUP($E13,BDD!$A$1:$S$567,MATCH(G$10,BDD!$A$1:$P$1,0),FALSE)=0,"",VLOOKUP($E13,BDD!$A$1:$S$567,MATCH(G$10,BDD!$A$1:$P$1,0),FALSE)),"")</f>
        <v>Le management a mis en place un dispositif de gestion des risques numériques et de contrôle interne couvrant l'ensemble des processus. Ce dispositif, documenté, repose sur une politique et une organisation dédiées à la gestion des risques, intégrant l’ensemble des processus critiques de l’organisation et s’articulant avec les métiers ainsi que la fonction informatique.</v>
      </c>
      <c r="H13" s="88" t="str">
        <f>IF(VLOOKUP(E13,BDD!$A$1:$S$567,15,FALSE)=0,"Critère non évalué","")</f>
        <v>Critère non évalué</v>
      </c>
      <c r="I13" s="64" t="str">
        <f>IFERROR(IF(VLOOKUP($E13,BDD!$A$1:$S$567,MATCH(I$10,BDD!$A$1:$P$1,0),FALSE)=0,"",VLOOKUP($E13,BDD!$A$1:$S$567,MATCH(I$10,BDD!$A$1:$P$1,0),FALSE)),"")</f>
        <v>N3</v>
      </c>
      <c r="J13" s="89"/>
      <c r="K13" s="65" t="str">
        <f>IFERROR(IF(VLOOKUP($E13,BDD!$A$1:$S$567,MATCH(K$10,BDD!$A$1:$P$1,0),FALSE)=0,"",VLOOKUP($E13,BDD!$A$1:$S$567,MATCH(K$10,BDD!$A$1:$P$1,0),FALSE)),"")</f>
        <v>• Des comités ad hoc de gestion des risques ont été créés intégrant les acteurs métiers et des membres de la direction générale.
• Une filière « Risques » intégrant l’ensemble des métiers est formalisée dans l’organigramme de l’organisation. Sa mission est précisée et communiquée. La filière « Risques » inclut une veille sur les risques métiers et SI, ainsi que sur les risques émergents. Un correspondant compétent en risk management est identifié au sein de la DSI. Un document de politique de gestion des risques est diffusé et partagé au sein de l’organisation. Les événements climatiques sont pris en compte dans cette analyse.
• Des certifications professionnelles (CISA, EBIOS, COBIT, CRMA, ISO27005, CRISC, CISM...) permettent d'assurer la mise à disposition d'un cadre et d’outils adaptés.</v>
      </c>
      <c r="L13" s="68"/>
      <c r="M13" s="90"/>
      <c r="N13" s="90"/>
      <c r="O13" s="68"/>
      <c r="P13" s="268"/>
    </row>
    <row r="14" spans="1:16" ht="129.6" customHeight="1" x14ac:dyDescent="0.3">
      <c r="A14" s="268"/>
      <c r="B14" s="68"/>
      <c r="C14" s="68" t="str">
        <f t="shared" si="0"/>
        <v>3</v>
      </c>
      <c r="D14" s="68">
        <f t="shared" si="1"/>
        <v>1</v>
      </c>
      <c r="E14" s="84" t="str">
        <f t="shared" si="2"/>
        <v>313</v>
      </c>
      <c r="F14" s="66" t="s">
        <v>30</v>
      </c>
      <c r="G14" s="67" t="str">
        <f>IFERROR(IF(VLOOKUP($E14,BDD!$A$1:$S$567,MATCH(G$10,BDD!$A$1:$P$1,0),FALSE)=0,"",VLOOKUP($E14,BDD!$A$1:$S$567,MATCH(G$10,BDD!$A$1:$P$1,0),FALSE)),"")</f>
        <v xml:space="preserve">Le niveau d’appétence et de tolérance au risque numérique est défini et partagé avec l’ensemble des acteurs, à chaque niveau pertinent, avant toute analyse de risques. Les plans d’action de réduction des risques sont coordonnés par la direction des risques, ou à défaut par la direction générale. </v>
      </c>
      <c r="H14" s="85" t="str">
        <f>IF(VLOOKUP(E14,BDD!$A$1:$S$567,15,FALSE)=0,"Critère non évalué","")</f>
        <v>Critère non évalué</v>
      </c>
      <c r="I14" s="66" t="str">
        <f>IFERROR(IF(VLOOKUP($E14,BDD!$A$1:$S$567,MATCH(I$10,BDD!$A$1:$P$1,0),FALSE)=0,"",VLOOKUP($E14,BDD!$A$1:$S$567,MATCH(I$10,BDD!$A$1:$P$1,0),FALSE)),"")</f>
        <v>N4</v>
      </c>
      <c r="J14" s="86"/>
      <c r="K14" s="67" t="str">
        <f>IFERROR(IF(VLOOKUP($E14,BDD!$A$1:$S$567,MATCH(K$10,BDD!$A$1:$P$1,0),FALSE)=0,"",VLOOKUP($E14,BDD!$A$1:$S$567,MATCH(K$10,BDD!$A$1:$P$1,0),FALSE)),"")</f>
        <v>• L'appétence au risque est le niveau de risque qu'une organisation est prête à prendre : elle représente la position stratégique de l’organisation vis-à-vis du risque.
• La tolérance est le seuil d'acceptation maximal de survenance du risque : il s’agit d’une notion plus opérationnelle qui fixe les seuils à ne pas dépasser par l’organisation.
• Les unités de mesure et de fréquence, clairement définies, sont communes à l'ensemble de l'organisation.
• Le management a défini des seuils de risques résiduels raisonnables pour l'organisation ainsi que l'impact financier maximal acceptable.
• Ce dispositif permet d'identifier les méthodes de transfert ou de réduction du risque.</v>
      </c>
      <c r="L14" s="68"/>
      <c r="M14" s="87"/>
      <c r="N14" s="87"/>
      <c r="O14" s="68"/>
      <c r="P14" s="268"/>
    </row>
    <row r="15" spans="1:16" ht="145.19999999999999" customHeight="1" x14ac:dyDescent="0.3">
      <c r="A15" s="268"/>
      <c r="B15" s="68"/>
      <c r="C15" s="68" t="str">
        <f t="shared" si="0"/>
        <v>3</v>
      </c>
      <c r="D15" s="68">
        <f t="shared" si="1"/>
        <v>1</v>
      </c>
      <c r="E15" s="84" t="str">
        <f t="shared" si="2"/>
        <v>314</v>
      </c>
      <c r="F15" s="64" t="s">
        <v>32</v>
      </c>
      <c r="G15" s="65" t="str">
        <f>IFERROR(IF(VLOOKUP($E15,BDD!$A$1:$S$567,MATCH(G$10,BDD!$A$1:$P$1,0),FALSE)=0,"",VLOOKUP($E15,BDD!$A$1:$S$567,MATCH(G$10,BDD!$A$1:$P$1,0),FALSE)),"")</f>
        <v>La DSI met en œuvre une démarche d’identification des principaux risques numériques associant les acteurs métiers et prenant en compte les intérêts et les contraintes des parties prenantes (internes et externes). Elle évalue aussi les risques liés aux opérations numériques (projet, changement, exploitation, incident, sécurité, gestion des données, etc.).</v>
      </c>
      <c r="H15" s="88" t="str">
        <f>IF(VLOOKUP(E15,BDD!$A$1:$S$567,15,FALSE)=0,"Critère non évalué","")</f>
        <v>Critère non évalué</v>
      </c>
      <c r="I15" s="64" t="str">
        <f>IFERROR(IF(VLOOKUP($E15,BDD!$A$1:$S$567,MATCH(I$10,BDD!$A$1:$P$1,0),FALSE)=0,"",VLOOKUP($E15,BDD!$A$1:$S$567,MATCH(I$10,BDD!$A$1:$P$1,0),FALSE)),"")</f>
        <v>N2</v>
      </c>
      <c r="J15" s="91"/>
      <c r="K15" s="65" t="str">
        <f>IFERROR(IF(VLOOKUP($E15,BDD!$A$1:$S$567,MATCH(K$10,BDD!$A$1:$P$1,0),FALSE)=0,"",VLOOKUP($E15,BDD!$A$1:$S$567,MATCH(K$10,BDD!$A$1:$P$1,0),FALSE)),"")</f>
        <v xml:space="preserve">• Un inventaire des risques (cartographie et registre) est établi avec les métiers et consolidé. Cet inventaire intègre les risques SI, avec des propriétaires identifiés pour chacun d’eux. Une revue annuelle de l’inventaire, réalisée par entretiens, est présentée régulièrement aux instances dirigeantes et de contrôle. L’inventaire peut s’appuyer sur des référentiels de risques SI reconnus, tels que : Risk IT Framework, COBIT 2019, ISO 27005, ISO 31000, EBIOS RM, COSO ERM, NIST CSF, OCTAVE, MEHARI.
• Des familles de risques variées (épidémique, menace terroriste, climatique,...) sont intégrées dans la cartographie. Les risques liés à la relation avec des tierces parties doivent être également identifiés et considérés dans l'inventaire. </v>
      </c>
      <c r="L15" s="68"/>
      <c r="M15" s="90"/>
      <c r="N15" s="90"/>
      <c r="O15" s="68"/>
      <c r="P15" s="268"/>
    </row>
    <row r="16" spans="1:16" ht="130.05000000000001" customHeight="1" x14ac:dyDescent="0.3">
      <c r="A16" s="268"/>
      <c r="B16" s="68"/>
      <c r="C16" s="68" t="str">
        <f t="shared" si="0"/>
        <v>3</v>
      </c>
      <c r="D16" s="68">
        <f t="shared" si="1"/>
        <v>1</v>
      </c>
      <c r="E16" s="84" t="str">
        <f t="shared" si="2"/>
        <v>315</v>
      </c>
      <c r="F16" s="66" t="s">
        <v>33</v>
      </c>
      <c r="G16" s="67" t="str">
        <f>IFERROR(IF(VLOOKUP($E16,BDD!$A$1:$S$567,MATCH(G$10,BDD!$A$1:$P$1,0),FALSE)=0,"",VLOOKUP($E16,BDD!$A$1:$S$567,MATCH(G$10,BDD!$A$1:$P$1,0),FALSE)),"")</f>
        <v>L’organisation met en œuvre des outils de pilotage et de suivi des risques (incluant des indicateurs spécifiques pertinents) qui aident à la prise décision concernant les options de traitement et leur priorisation.</v>
      </c>
      <c r="H16" s="85" t="str">
        <f>IF(VLOOKUP(E16,BDD!$A$1:$S$567,15,FALSE)=0,"Critère non évalué","")</f>
        <v>Critère non évalué</v>
      </c>
      <c r="I16" s="66" t="str">
        <f>IFERROR(IF(VLOOKUP($E16,BDD!$A$1:$S$567,MATCH(I$10,BDD!$A$1:$P$1,0),FALSE)=0,"",VLOOKUP($E16,BDD!$A$1:$S$567,MATCH(I$10,BDD!$A$1:$P$1,0),FALSE)),"")</f>
        <v>N3</v>
      </c>
      <c r="J16" s="86"/>
      <c r="K16" s="67" t="str">
        <f>IFERROR(IF(VLOOKUP($E16,BDD!$A$1:$S$567,MATCH(K$10,BDD!$A$1:$P$1,0),FALSE)=0,"",VLOOKUP($E16,BDD!$A$1:$S$567,MATCH(K$10,BDD!$A$1:$P$1,0),FALSE)),"")</f>
        <v xml:space="preserve">• Des tableaux de bord dédiés à la gestion des risques technologiques et cyber sont mis à disposition de la direction générale et du conseil d’administration. Cf. Cybersécurité : comprendre, visualiser, décider, Cigref, 2018.
• Des bases de données recensent les incidents importants, et leur impact en termes financiers ou sur l’activité est mesuré.
• Les incidents pris en compte dans la gestion des risques sont analysés et font l’objet d’un reporting sur leur évolution probable, en fréquence et en impact. </v>
      </c>
      <c r="L16" s="68"/>
      <c r="M16" s="82"/>
      <c r="N16" s="82"/>
      <c r="O16" s="68"/>
      <c r="P16" s="268"/>
    </row>
    <row r="17" spans="1:16" ht="147" customHeight="1" x14ac:dyDescent="0.3">
      <c r="A17" s="268"/>
      <c r="B17" s="68"/>
      <c r="C17" s="68" t="str">
        <f t="shared" si="0"/>
        <v>3</v>
      </c>
      <c r="D17" s="68">
        <f t="shared" si="1"/>
        <v>1</v>
      </c>
      <c r="E17" s="84" t="str">
        <f t="shared" si="2"/>
        <v>316</v>
      </c>
      <c r="F17" s="64" t="s">
        <v>34</v>
      </c>
      <c r="G17" s="65" t="str">
        <f>IFERROR(IF(VLOOKUP($E17,BDD!$A$1:$S$567,MATCH(G$10,BDD!$A$1:$P$1,0),FALSE)=0,"",VLOOKUP($E17,BDD!$A$1:$S$567,MATCH(G$10,BDD!$A$1:$P$1,0),FALSE)),"")</f>
        <v>La feuille de route numérique intègre les priorités du plan de réduction des risques.</v>
      </c>
      <c r="H17" s="92" t="str">
        <f>IF(VLOOKUP(E17,BDD!$A$1:$S$567,15,FALSE)=0,"Critère non évalué","")</f>
        <v>Critère non évalué</v>
      </c>
      <c r="I17" s="64" t="str">
        <f>IFERROR(IF(VLOOKUP($E17,BDD!$A$1:$S$567,MATCH(I$10,BDD!$A$1:$P$1,0),FALSE)=0,"",VLOOKUP($E17,BDD!$A$1:$S$567,MATCH(I$10,BDD!$A$1:$P$1,0),FALSE)),"")</f>
        <v>N2</v>
      </c>
      <c r="J17" s="89"/>
      <c r="K17" s="65" t="str">
        <f>IFERROR(IF(VLOOKUP($E17,BDD!$A$1:$S$567,MATCH(K$10,BDD!$A$1:$P$1,0),FALSE)=0,"",VLOOKUP($E17,BDD!$A$1:$S$567,MATCH(K$10,BDD!$A$1:$P$1,0),FALSE)),"")</f>
        <v xml:space="preserve">• Lors de l’élaboration de la feuille de route, la DSI s’assure que des projets permettant de réduire les principaux risques de l’organisation sont identifiés. Ces risques peuvent concerner plusieurs dimensions :
- Continuité d’activité (disponibilité des services, résilience).
- Protection des données (intégrité, confidentialité, prévention du vol).
- Gestion des projets (sélection inadaptée, non-atteinte des objectifs).
- Capacités technologiques (manque de maîtrise des technologies nécessaires au développement et à la compétitivité de l’organisation).
• Les risques au regard des critères d’intégrité et de confidentialité doivent également être évalués et revus périodiquement. </v>
      </c>
      <c r="L17" s="68"/>
      <c r="M17" s="90"/>
      <c r="N17" s="90"/>
      <c r="O17" s="68"/>
      <c r="P17" s="268"/>
    </row>
    <row r="18" spans="1:16" ht="130.05000000000001" customHeight="1" x14ac:dyDescent="0.3">
      <c r="A18" s="268"/>
      <c r="B18" s="68"/>
      <c r="C18" s="68" t="str">
        <f t="shared" si="0"/>
        <v>3</v>
      </c>
      <c r="D18" s="68">
        <f t="shared" si="1"/>
        <v>1</v>
      </c>
      <c r="E18" s="84" t="str">
        <f t="shared" si="2"/>
        <v>317</v>
      </c>
      <c r="F18" s="66" t="s">
        <v>36</v>
      </c>
      <c r="G18" s="67" t="str">
        <f>IFERROR(IF(VLOOKUP($E18,BDD!$A$1:$S$567,MATCH(G$10,BDD!$A$1:$P$1,0),FALSE)=0,"",VLOOKUP($E18,BDD!$A$1:$S$567,MATCH(G$10,BDD!$A$1:$P$1,0),FALSE)),"")</f>
        <v>La revue des risques numériques est réalisée régulièrement et en liaison avec la revue des risques de l'organisation.</v>
      </c>
      <c r="H18" s="85" t="str">
        <f>IF(VLOOKUP(E18,BDD!$A$1:$S$567,15,FALSE)=0,"Critère non évalué","")</f>
        <v>Critère non évalué</v>
      </c>
      <c r="I18" s="66" t="str">
        <f>IFERROR(IF(VLOOKUP($E18,BDD!$A$1:$S$567,MATCH(I$10,BDD!$A$1:$P$1,0),FALSE)=0,"",VLOOKUP($E18,BDD!$A$1:$S$567,MATCH(I$10,BDD!$A$1:$P$1,0),FALSE)),"")</f>
        <v>N3</v>
      </c>
      <c r="J18" s="86"/>
      <c r="K18" s="67" t="str">
        <f>IFERROR(IF(VLOOKUP($E18,BDD!$A$1:$S$567,MATCH(K$10,BDD!$A$1:$P$1,0),FALSE)=0,"",VLOOKUP($E18,BDD!$A$1:$S$567,MATCH(K$10,BDD!$A$1:$P$1,0),FALSE)),"")</f>
        <v/>
      </c>
      <c r="L18" s="68"/>
      <c r="M18" s="82"/>
      <c r="N18" s="82"/>
      <c r="O18" s="68"/>
      <c r="P18" s="268"/>
    </row>
    <row r="19" spans="1:16" ht="18" x14ac:dyDescent="0.35">
      <c r="A19" s="268"/>
      <c r="B19" s="68"/>
      <c r="C19" s="68" t="str">
        <f t="shared" si="0"/>
        <v>3</v>
      </c>
      <c r="D19" s="68">
        <f t="shared" si="1"/>
        <v>1</v>
      </c>
      <c r="E19" s="84" t="str">
        <f t="shared" si="2"/>
        <v>31</v>
      </c>
      <c r="F19" s="68"/>
      <c r="G19" s="69" t="str">
        <f>IF(Suppl!B80=2,"Le vecteur n'est pas utilisé","")</f>
        <v/>
      </c>
      <c r="H19" s="69"/>
      <c r="I19" s="69"/>
      <c r="J19" s="69"/>
      <c r="K19" s="69"/>
      <c r="L19" s="70"/>
      <c r="M19" s="68"/>
      <c r="N19" s="68"/>
      <c r="O19" s="68"/>
      <c r="P19" s="268"/>
    </row>
    <row r="20" spans="1:16" x14ac:dyDescent="0.3">
      <c r="A20" s="268"/>
      <c r="B20" s="68"/>
      <c r="C20" s="68" t="str">
        <f t="shared" si="0"/>
        <v>3</v>
      </c>
      <c r="D20" s="68">
        <f>IF(LEFT(F20,14)="Bonne pratique",D19+1,D19)</f>
        <v>1</v>
      </c>
      <c r="E20" s="84" t="str">
        <f t="shared" si="2"/>
        <v>31</v>
      </c>
      <c r="F20" s="68"/>
      <c r="G20" s="68"/>
      <c r="H20" s="68"/>
      <c r="I20" s="68"/>
      <c r="J20" s="68"/>
      <c r="K20" s="68"/>
      <c r="L20" s="68"/>
      <c r="M20" s="68"/>
      <c r="N20" s="68"/>
      <c r="O20" s="68"/>
      <c r="P20" s="268"/>
    </row>
    <row r="21" spans="1:16" ht="25.8" x14ac:dyDescent="0.5">
      <c r="A21" s="296"/>
      <c r="B21" s="74"/>
      <c r="C21" s="68" t="str">
        <f t="shared" si="0"/>
        <v>3</v>
      </c>
      <c r="D21" s="68">
        <f t="shared" si="1"/>
        <v>2</v>
      </c>
      <c r="E21" s="84" t="str">
        <f t="shared" si="2"/>
        <v>322</v>
      </c>
      <c r="F21" s="208" t="s">
        <v>500</v>
      </c>
      <c r="G21" s="75"/>
      <c r="H21" s="205"/>
      <c r="I21" s="73"/>
      <c r="J21" s="73" t="str">
        <f>VLOOKUP(E28,BDD!$A$2:$N$567,6,FALSE)</f>
        <v>Enjeux métiers et stratégiques</v>
      </c>
      <c r="K21" s="72"/>
      <c r="L21" s="75"/>
      <c r="M21" s="75"/>
      <c r="N21" s="75"/>
      <c r="O21" s="74"/>
      <c r="P21" s="296"/>
    </row>
    <row r="22" spans="1:16" x14ac:dyDescent="0.3">
      <c r="A22" s="268"/>
      <c r="B22" s="68"/>
      <c r="C22" s="68" t="str">
        <f t="shared" si="0"/>
        <v>3</v>
      </c>
      <c r="D22" s="68">
        <f t="shared" si="1"/>
        <v>2</v>
      </c>
      <c r="E22" s="84" t="str">
        <f t="shared" si="2"/>
        <v>32</v>
      </c>
      <c r="F22" s="68"/>
      <c r="G22" s="68"/>
      <c r="H22" s="68"/>
      <c r="I22" s="68"/>
      <c r="J22" s="68"/>
      <c r="K22" s="68"/>
      <c r="L22" s="68"/>
      <c r="M22" s="68"/>
      <c r="N22" s="68"/>
      <c r="O22" s="68"/>
      <c r="P22" s="268"/>
    </row>
    <row r="23" spans="1:16" ht="18" x14ac:dyDescent="0.35">
      <c r="A23" s="297"/>
      <c r="B23" s="76"/>
      <c r="C23" s="68" t="str">
        <f t="shared" si="0"/>
        <v>3</v>
      </c>
      <c r="D23" s="68">
        <f t="shared" si="1"/>
        <v>2</v>
      </c>
      <c r="E23" s="84" t="str">
        <f t="shared" si="2"/>
        <v>32</v>
      </c>
      <c r="F23" s="76"/>
      <c r="G23" s="76"/>
      <c r="H23" s="76"/>
      <c r="I23" s="77"/>
      <c r="J23" s="207" t="str">
        <f>IFERROR(_xlfn.TEXTBEFORE(VLOOKUP(E28,BDD!$A$2:$N$567,7,FALSE)," ",19),VLOOKUP(E28,BDD!$A$2:$N$567,7,FALSE))</f>
        <v>La DSI procède à une identification et à une évaluation des risques numériques conjointement avec l'ensemble des directions concernées</v>
      </c>
      <c r="K23" s="77"/>
      <c r="L23" s="76"/>
      <c r="M23" s="76"/>
      <c r="N23" s="76"/>
      <c r="O23" s="76"/>
      <c r="P23" s="297"/>
    </row>
    <row r="24" spans="1:16" ht="18" x14ac:dyDescent="0.35">
      <c r="A24" s="268"/>
      <c r="B24" s="68"/>
      <c r="C24" s="68" t="str">
        <f t="shared" si="0"/>
        <v>3</v>
      </c>
      <c r="D24" s="68">
        <f t="shared" si="1"/>
        <v>2</v>
      </c>
      <c r="E24" s="84" t="str">
        <f t="shared" si="2"/>
        <v>32</v>
      </c>
      <c r="F24" s="68"/>
      <c r="G24" s="68"/>
      <c r="H24" s="68"/>
      <c r="I24" s="68"/>
      <c r="J24" s="207" t="str">
        <f>IFERROR(_xlfn.TEXTAFTER(VLOOKUP(E28,BDD!$A$2:$N$567,7,FALSE)," ",19),"")</f>
        <v xml:space="preserve">en prenant en compte les enjeux majeurs pour l’organisation. </v>
      </c>
      <c r="K24" s="68"/>
      <c r="L24" s="68"/>
      <c r="M24" s="68"/>
      <c r="N24" s="68"/>
      <c r="O24" s="68"/>
      <c r="P24" s="268"/>
    </row>
    <row r="25" spans="1:16" x14ac:dyDescent="0.3">
      <c r="A25" s="268"/>
      <c r="B25" s="68"/>
      <c r="C25" s="68" t="str">
        <f t="shared" si="0"/>
        <v>3</v>
      </c>
      <c r="D25" s="68">
        <f t="shared" si="1"/>
        <v>2</v>
      </c>
      <c r="E25" s="84" t="str">
        <f t="shared" si="2"/>
        <v>32</v>
      </c>
      <c r="F25" s="68"/>
      <c r="G25" s="68"/>
      <c r="H25" s="68"/>
      <c r="I25" s="68"/>
      <c r="J25" s="78"/>
      <c r="K25" s="68"/>
      <c r="L25" s="68"/>
      <c r="M25" s="619" t="s">
        <v>92</v>
      </c>
      <c r="N25" s="619"/>
      <c r="O25" s="68"/>
      <c r="P25" s="268"/>
    </row>
    <row r="26" spans="1:16" ht="33" x14ac:dyDescent="0.3">
      <c r="A26" s="268"/>
      <c r="B26" s="68"/>
      <c r="C26" s="68" t="str">
        <f t="shared" si="0"/>
        <v>3</v>
      </c>
      <c r="D26" s="68">
        <f t="shared" si="1"/>
        <v>2</v>
      </c>
      <c r="E26" s="84" t="str">
        <f t="shared" si="2"/>
        <v>32</v>
      </c>
      <c r="F26" s="93"/>
      <c r="G26" s="80" t="s">
        <v>561</v>
      </c>
      <c r="H26" s="80" t="s">
        <v>82</v>
      </c>
      <c r="I26" s="80" t="s">
        <v>83</v>
      </c>
      <c r="J26" s="80" t="s">
        <v>84</v>
      </c>
      <c r="K26" s="80" t="s">
        <v>85</v>
      </c>
      <c r="L26" s="78"/>
      <c r="M26" s="81" t="s">
        <v>86</v>
      </c>
      <c r="N26" s="82" t="s">
        <v>87</v>
      </c>
      <c r="O26" s="68"/>
      <c r="P26" s="268"/>
    </row>
    <row r="27" spans="1:16" x14ac:dyDescent="0.3">
      <c r="A27" s="268"/>
      <c r="B27" s="68"/>
      <c r="C27" s="68" t="str">
        <f t="shared" si="0"/>
        <v>3</v>
      </c>
      <c r="D27" s="68">
        <f t="shared" si="1"/>
        <v>2</v>
      </c>
      <c r="E27" s="84" t="str">
        <f t="shared" si="2"/>
        <v>32</v>
      </c>
      <c r="F27" s="68"/>
      <c r="G27" s="83"/>
      <c r="H27" s="83"/>
      <c r="I27" s="83"/>
      <c r="J27" s="68"/>
      <c r="K27" s="83"/>
      <c r="L27" s="68"/>
      <c r="M27" s="68"/>
      <c r="N27" s="68"/>
      <c r="O27" s="68"/>
      <c r="P27" s="268"/>
    </row>
    <row r="28" spans="1:16" ht="130.05000000000001" customHeight="1" x14ac:dyDescent="0.3">
      <c r="A28" s="268"/>
      <c r="B28" s="68"/>
      <c r="C28" s="68" t="str">
        <f t="shared" si="0"/>
        <v>3</v>
      </c>
      <c r="D28" s="68">
        <f t="shared" si="1"/>
        <v>2</v>
      </c>
      <c r="E28" s="84" t="str">
        <f t="shared" si="2"/>
        <v>321</v>
      </c>
      <c r="F28" s="66" t="s">
        <v>27</v>
      </c>
      <c r="G28" s="67" t="str">
        <f>IFERROR(IF(VLOOKUP($E28,BDD!$A$1:$S$567,MATCH(G$10,BDD!$A$1:$P$1,0),FALSE)=0,"",VLOOKUP($E28,BDD!$A$1:$S$567,MATCH(G$10,BDD!$A$1:$P$1,0),FALSE)),"")</f>
        <v xml:space="preserve">La DSI et les métiers établissent une cartographie de la contribution du numérique à la chaîne de valeur de l'organisation (processus et produits). </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Cf. Maîtrise du risque numérique - l’atout confiance, ANSSI, 2019</v>
      </c>
      <c r="L28" s="68"/>
      <c r="M28" s="87"/>
      <c r="N28" s="87"/>
      <c r="O28" s="68"/>
      <c r="P28" s="268"/>
    </row>
    <row r="29" spans="1:16" ht="130.05000000000001" customHeight="1" x14ac:dyDescent="0.3">
      <c r="A29" s="268"/>
      <c r="B29" s="68"/>
      <c r="C29" s="68" t="str">
        <f t="shared" si="0"/>
        <v>3</v>
      </c>
      <c r="D29" s="68">
        <f t="shared" si="1"/>
        <v>2</v>
      </c>
      <c r="E29" s="84" t="str">
        <f t="shared" si="2"/>
        <v>322</v>
      </c>
      <c r="F29" s="94" t="s">
        <v>28</v>
      </c>
      <c r="G29" s="65" t="str">
        <f>IFERROR(IF(VLOOKUP($E29,BDD!$A$1:$S$567,MATCH(G$10,BDD!$A$1:$P$1,0),FALSE)=0,"",VLOOKUP($E29,BDD!$A$1:$S$567,MATCH(G$10,BDD!$A$1:$P$1,0),FALSE)),"")</f>
        <v xml:space="preserve">Le périmètre d’analyse des risques SI recouvre le périmètre des processus et des produits de l'organisation, que ceux-ci soient opérés en interne, par des partenaires externes ou par délégation, en prenant en compte le risque d'interdépendance. </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Sont généralement pris en compte : les applications supportant des flux financiers majeurs (systèmes comptables, consolidation &amp; reporting), les systèmes de facturation (gestion des achats, des commandes et des stocks), les applications de gestion des référentiels car considérées comme transverses (clients, contrats, etc.), les applications de gestion des accès, les applications critiques en termes de confidentialité et les applications considérées comme « coeur de métier ».
• Une vigilance particulière est accordée aux traitements de données personnelles.
• Les risques impactant l'écosystème (interdépendances) de l'organisation sont pris en compte.</v>
      </c>
      <c r="L29" s="68"/>
      <c r="M29" s="90"/>
      <c r="N29" s="90"/>
      <c r="O29" s="68"/>
      <c r="P29" s="268"/>
    </row>
    <row r="30" spans="1:16" ht="130.05000000000001" customHeight="1" x14ac:dyDescent="0.3">
      <c r="A30" s="268"/>
      <c r="B30" s="68"/>
      <c r="C30" s="68" t="str">
        <f t="shared" si="0"/>
        <v>3</v>
      </c>
      <c r="D30" s="68">
        <f t="shared" si="1"/>
        <v>2</v>
      </c>
      <c r="E30" s="84" t="str">
        <f t="shared" si="2"/>
        <v>323</v>
      </c>
      <c r="F30" s="66" t="s">
        <v>30</v>
      </c>
      <c r="G30" s="67" t="str">
        <f>IFERROR(IF(VLOOKUP($E30,BDD!$A$1:$S$567,MATCH(G$10,BDD!$A$1:$P$1,0),FALSE)=0,"",VLOOKUP($E30,BDD!$A$1:$S$567,MATCH(G$10,BDD!$A$1:$P$1,0),FALSE)),"")</f>
        <v>Les ressources informatiques supportant les processus et produits de l'organisation sont inventoriées. Chaque risque est évalué en termes de fréquence et d’impact, puis est comparé au seuil de tolérance au risque du processus métier supporté.</v>
      </c>
      <c r="H30" s="85" t="str">
        <f>IF(VLOOKUP(E30,BDD!$A$1:$S$567,15,FALSE)=0,"Critère non évalué","")</f>
        <v>Critère non évalué</v>
      </c>
      <c r="I30" s="66" t="str">
        <f>IFERROR(IF(VLOOKUP($E30,BDD!$A$1:$S$567,MATCH(I$10,BDD!$A$1:$P$1,0),FALSE)=0,"",VLOOKUP($E30,BDD!$A$1:$S$567,MATCH(I$10,BDD!$A$1:$P$1,0),FALSE)),"")</f>
        <v>N2</v>
      </c>
      <c r="J30" s="86"/>
      <c r="K30" s="67" t="str">
        <f>IFERROR(IF(VLOOKUP($E30,BDD!$A$1:$S$567,MATCH(K$10,BDD!$A$1:$P$1,0),FALSE)=0,"",VLOOKUP($E30,BDD!$A$1:$S$567,MATCH(K$10,BDD!$A$1:$P$1,0),FALSE)),"")</f>
        <v>• Les ressources comprennent par exemple les applications, les serveurs, l’infrastructure et les postes clés qui leur sont associés.</v>
      </c>
      <c r="L30" s="68"/>
      <c r="M30" s="87"/>
      <c r="N30" s="87"/>
      <c r="O30" s="68"/>
      <c r="P30" s="268"/>
    </row>
    <row r="31" spans="1:16" ht="182.4" customHeight="1" x14ac:dyDescent="0.3">
      <c r="A31" s="268"/>
      <c r="B31" s="68"/>
      <c r="C31" s="68" t="str">
        <f t="shared" si="0"/>
        <v>3</v>
      </c>
      <c r="D31" s="68">
        <f t="shared" si="1"/>
        <v>2</v>
      </c>
      <c r="E31" s="84" t="str">
        <f t="shared" si="2"/>
        <v>324</v>
      </c>
      <c r="F31" s="64" t="s">
        <v>32</v>
      </c>
      <c r="G31" s="65" t="str">
        <f>IFERROR(IF(VLOOKUP($E31,BDD!$A$1:$S$567,MATCH(G$10,BDD!$A$1:$P$1,0),FALSE)=0,"",VLOOKUP($E31,BDD!$A$1:$S$567,MATCH(G$10,BDD!$A$1:$P$1,0),FALSE)),"")</f>
        <v xml:space="preserve">L'évaluation des risques numériques réalisée par la DSI prend en compte les changements significatifs impactant l'organisation : modifications d’organisation internes et externes (fusion, nouvelle activité, nouvelle implantation, etc.), évolutions réglementaires et technologiques (IA, informatique quantique, ...), événements survenus ou pouvant survenir (menaces) avec une fréquence et un impact potentiel négatif suffisamment important pour l’organisation, ou comportant des risques humains. </v>
      </c>
      <c r="H31" s="88" t="str">
        <f>IF(VLOOKUP(E31,BDD!$A$1:$S$567,15,FALSE)=0,"Critère non évalué","")</f>
        <v>Critère non évalué</v>
      </c>
      <c r="I31" s="64" t="str">
        <f>IFERROR(IF(VLOOKUP($E31,BDD!$A$1:$S$567,MATCH(I$10,BDD!$A$1:$P$1,0),FALSE)=0,"",VLOOKUP($E31,BDD!$A$1:$S$567,MATCH(I$10,BDD!$A$1:$P$1,0),FALSE)),"")</f>
        <v>N3</v>
      </c>
      <c r="J31" s="91"/>
      <c r="K31" s="65" t="str">
        <f>IFERROR(IF(VLOOKUP($E31,BDD!$A$1:$S$567,MATCH(K$10,BDD!$A$1:$P$1,0),FALSE)=0,"",VLOOKUP($E31,BDD!$A$1:$S$567,MATCH(K$10,BDD!$A$1:$P$1,0),FALSE)),"")</f>
        <v>• Des réunions périodiques avec les métiers et des échanges réguliers entre les acteurs sont organisés pour prendre en compte les évolutions.
• Les contraintes réglementaires à prendre en compte sont principalement : le Règlement Général de Protection des Données (RGPD), la transposition de la directive NIS 2, l’Archivage fiscal et légal, le SOX s’il y a lieu, la réglementation sectorielle (Bâle 2, Bâle 3, Solvency 3, Santé, Pharmacie, etc.), DORA, l’AI Act, le Cloud Act, etc.
• Des bases d’incidents ont été mises en place pour permettre de tracer et de recenser les incidents majeurs.
• Un dispositif de veille permet d’anticiper les risques émergents (veille sécurité internet, émergence risques métiers, etc.).</v>
      </c>
      <c r="L31" s="68"/>
      <c r="M31" s="90"/>
      <c r="N31" s="90"/>
      <c r="O31" s="68"/>
      <c r="P31" s="268"/>
    </row>
    <row r="32" spans="1:16" ht="130.05000000000001" customHeight="1" x14ac:dyDescent="0.3">
      <c r="A32" s="268"/>
      <c r="B32" s="68"/>
      <c r="C32" s="68" t="str">
        <f t="shared" si="0"/>
        <v>3</v>
      </c>
      <c r="D32" s="68">
        <f t="shared" si="1"/>
        <v>2</v>
      </c>
      <c r="E32" s="84" t="str">
        <f t="shared" si="2"/>
        <v>325</v>
      </c>
      <c r="F32" s="66" t="s">
        <v>33</v>
      </c>
      <c r="G32" s="67" t="str">
        <f>IFERROR(IF(VLOOKUP($E32,BDD!$A$1:$S$567,MATCH(G$10,BDD!$A$1:$P$1,0),FALSE)=0,"",VLOOKUP($E32,BDD!$A$1:$S$567,MATCH(G$10,BDD!$A$1:$P$1,0),FALSE)),"")</f>
        <v xml:space="preserve">La DSI a créé un référentiel de contrôle adapté à l'organisation et mis en place les dispositifs de réduction des risques. Ce référentiel prend en compte la maturité et l'appétence au risque de l'organisation. </v>
      </c>
      <c r="H32" s="85" t="str">
        <f>IF(VLOOKUP(E32,BDD!$A$1:$S$567,15,FALSE)=0,"Critère non évalué","")</f>
        <v>Critère non évalué</v>
      </c>
      <c r="I32" s="66" t="str">
        <f>IFERROR(IF(VLOOKUP($E32,BDD!$A$1:$S$567,MATCH(I$10,BDD!$A$1:$P$1,0),FALSE)=0,"",VLOOKUP($E32,BDD!$A$1:$S$567,MATCH(I$10,BDD!$A$1:$P$1,0),FALSE)),"")</f>
        <v>N2</v>
      </c>
      <c r="J32" s="86"/>
      <c r="K32" s="67" t="str">
        <f>IFERROR(IF(VLOOKUP($E32,BDD!$A$1:$S$567,MATCH(K$10,BDD!$A$1:$P$1,0),FALSE)=0,"",VLOOKUP($E32,BDD!$A$1:$S$567,MATCH(K$10,BDD!$A$1:$P$1,0),FALSE)),"")</f>
        <v xml:space="preserve">• Pour rappel, les contrôles IT portent d'une part sur les métiers et d'autre part sur les processus IT.
• Les contrôles sont formalisés en appliquant le modèle de documentation des contrôles défini par l'organisation. 
• Les contrôles clés portent sur la procédure de gestion des accès aux SI, les mécanismes de journal des activités sur les SI et la revue de ces journaux, la procédure de gestion des changements, etc. </v>
      </c>
      <c r="L32" s="68"/>
      <c r="M32" s="82"/>
      <c r="N32" s="82"/>
      <c r="O32" s="68"/>
      <c r="P32" s="268"/>
    </row>
    <row r="33" spans="1:16" ht="130.05000000000001" customHeight="1" x14ac:dyDescent="0.3">
      <c r="A33" s="268"/>
      <c r="B33" s="68"/>
      <c r="C33" s="68" t="str">
        <f t="shared" si="0"/>
        <v>3</v>
      </c>
      <c r="D33" s="68">
        <f t="shared" si="1"/>
        <v>2</v>
      </c>
      <c r="E33" s="84" t="str">
        <f t="shared" si="2"/>
        <v>326</v>
      </c>
      <c r="F33" s="64" t="s">
        <v>34</v>
      </c>
      <c r="G33" s="65" t="str">
        <f>IFERROR(IF(VLOOKUP($E33,BDD!$A$1:$S$567,MATCH(G$10,BDD!$A$1:$P$1,0),FALSE)=0,"",VLOOKUP($E33,BDD!$A$1:$S$567,MATCH(G$10,BDD!$A$1:$P$1,0),FALSE)),"")</f>
        <v>La DSI lance des projets visant à réduire les risques numériques. Ces projets peuvent être proposés pour intégration à la feuille de route numérique avec les autres projets, l'arbitrage étant réalisé avec les métiers.</v>
      </c>
      <c r="H33" s="92" t="str">
        <f>IF(VLOOKUP(E33,BDD!$A$1:$S$567,15,FALSE)=0,"Critère non évalué","")</f>
        <v>Critère non évalué</v>
      </c>
      <c r="I33" s="64" t="str">
        <f>IFERROR(IF(VLOOKUP($E33,BDD!$A$1:$S$567,MATCH(I$10,BDD!$A$1:$P$1,0),FALSE)=0,"",VLOOKUP($E33,BDD!$A$1:$S$567,MATCH(I$10,BDD!$A$1:$P$1,0),FALSE)),"")</f>
        <v>N1</v>
      </c>
      <c r="J33" s="89"/>
      <c r="K33" s="65" t="str">
        <f>IFERROR(IF(VLOOKUP($E33,BDD!$A$1:$S$567,MATCH(K$10,BDD!$A$1:$P$1,0),FALSE)=0,"",VLOOKUP($E33,BDD!$A$1:$S$567,MATCH(K$10,BDD!$A$1:$P$1,0),FALSE)),"")</f>
        <v>• Par exemple, un projet de sauvegarde en temps réel de données critiques permet, en favorisant un démarrage très rapide en cas d’incident, de réduire un risque de perte de continuité d’activité. C’est aux métiers, à la direction des risques et à la direction générale de décider si les coûts supplémentaires envisagés sont acceptables par rapport à l’impact de l’interruption d’activité.</v>
      </c>
      <c r="L33" s="68"/>
      <c r="M33" s="90"/>
      <c r="N33" s="90"/>
      <c r="O33" s="68"/>
      <c r="P33" s="268"/>
    </row>
    <row r="34" spans="1:16" ht="130.05000000000001" customHeight="1" x14ac:dyDescent="0.3">
      <c r="A34" s="268"/>
      <c r="B34" s="68"/>
      <c r="C34" s="68" t="str">
        <f t="shared" si="0"/>
        <v>3</v>
      </c>
      <c r="D34" s="68">
        <f t="shared" si="1"/>
        <v>2</v>
      </c>
      <c r="E34" s="84" t="str">
        <f t="shared" si="2"/>
        <v>327</v>
      </c>
      <c r="F34" s="66" t="s">
        <v>36</v>
      </c>
      <c r="G34" s="67" t="str">
        <f>IFERROR(IF(VLOOKUP($E34,BDD!$A$1:$S$567,MATCH(G$10,BDD!$A$1:$P$1,0),FALSE)=0,"",VLOOKUP($E34,BDD!$A$1:$S$567,MATCH(G$10,BDD!$A$1:$P$1,0),FALSE)),"")</f>
        <v>Les contrôles IT font l'objet d'une revue régulière qui peut donner lieu à la mise en place de nouveaux contrôles ou d'ajustements. La DSI s'assure à cette occasion que les tests de leur efficacité sont réalisés et communiqués.</v>
      </c>
      <c r="H34" s="85" t="str">
        <f>IF(VLOOKUP(E34,BDD!$A$1:$S$567,15,FALSE)=0,"Critère non évalué","")</f>
        <v>Critère non évalué</v>
      </c>
      <c r="I34" s="66" t="str">
        <f>IFERROR(IF(VLOOKUP($E34,BDD!$A$1:$S$567,MATCH(I$10,BDD!$A$1:$P$1,0),FALSE)=0,"",VLOOKUP($E34,BDD!$A$1:$S$567,MATCH(I$10,BDD!$A$1:$P$1,0),FALSE)),"")</f>
        <v>N4</v>
      </c>
      <c r="J34" s="86"/>
      <c r="K34" s="67" t="str">
        <f>IFERROR(IF(VLOOKUP($E34,BDD!$A$1:$S$567,MATCH(K$10,BDD!$A$1:$P$1,0),FALSE)=0,"",VLOOKUP($E34,BDD!$A$1:$S$567,MATCH(K$10,BDD!$A$1:$P$1,0),FALSE)),"")</f>
        <v>• Les tests sont spécifiés, communiqués auprès des parties prenantes, testés et validés.
• Des audits sont réalisés de manière indépendante notamment sur les projets critiques et les enjeux cyber.</v>
      </c>
      <c r="L34" s="68"/>
      <c r="M34" s="82"/>
      <c r="N34" s="82"/>
      <c r="O34" s="68"/>
      <c r="P34" s="268"/>
    </row>
    <row r="35" spans="1:16" ht="18" x14ac:dyDescent="0.35">
      <c r="A35" s="268"/>
      <c r="B35" s="68"/>
      <c r="C35" s="68" t="str">
        <f t="shared" si="0"/>
        <v>3</v>
      </c>
      <c r="D35" s="68">
        <f t="shared" si="1"/>
        <v>2</v>
      </c>
      <c r="E35" s="84" t="str">
        <f t="shared" si="2"/>
        <v>32</v>
      </c>
      <c r="F35" s="68"/>
      <c r="G35" s="69" t="str">
        <f>IF(Suppl!B96=2,"Le vecteur n'est pas utilisé","")</f>
        <v/>
      </c>
      <c r="H35" s="69"/>
      <c r="I35" s="68"/>
      <c r="J35" s="69"/>
      <c r="K35" s="69"/>
      <c r="L35" s="70"/>
      <c r="M35" s="68"/>
      <c r="N35" s="68"/>
      <c r="O35" s="68"/>
      <c r="P35" s="268"/>
    </row>
    <row r="36" spans="1:16" x14ac:dyDescent="0.3">
      <c r="A36" s="268"/>
      <c r="B36" s="68"/>
      <c r="C36" s="68" t="str">
        <f t="shared" si="0"/>
        <v>3</v>
      </c>
      <c r="D36" s="68">
        <f>IF(LEFT(F36,14)="Bonne pratique",D35+1,D35)</f>
        <v>2</v>
      </c>
      <c r="E36" s="84" t="str">
        <f t="shared" si="2"/>
        <v>32</v>
      </c>
      <c r="F36" s="68"/>
      <c r="G36" s="68"/>
      <c r="H36" s="68"/>
      <c r="I36" s="68"/>
      <c r="J36" s="68"/>
      <c r="K36" s="68"/>
      <c r="L36" s="68"/>
      <c r="M36" s="68"/>
      <c r="N36" s="68"/>
      <c r="O36" s="68"/>
      <c r="P36" s="268"/>
    </row>
    <row r="37" spans="1:16" ht="25.8" x14ac:dyDescent="0.5">
      <c r="A37" s="296"/>
      <c r="B37" s="74"/>
      <c r="C37" s="68" t="str">
        <f t="shared" si="0"/>
        <v>3</v>
      </c>
      <c r="D37" s="68">
        <f t="shared" si="1"/>
        <v>3</v>
      </c>
      <c r="E37" s="84" t="str">
        <f t="shared" si="2"/>
        <v>333</v>
      </c>
      <c r="F37" s="208" t="s">
        <v>501</v>
      </c>
      <c r="G37" s="75"/>
      <c r="H37" s="205"/>
      <c r="I37" s="73"/>
      <c r="J37" s="73" t="str">
        <f>VLOOKUP(E44,BDD!$A$2:$N$567,6,FALSE)</f>
        <v>Revue de performance des contrôles</v>
      </c>
      <c r="K37" s="72"/>
      <c r="L37" s="75"/>
      <c r="M37" s="75"/>
      <c r="N37" s="75"/>
      <c r="O37" s="74"/>
      <c r="P37" s="296"/>
    </row>
    <row r="38" spans="1:16" x14ac:dyDescent="0.3">
      <c r="A38" s="268"/>
      <c r="B38" s="68"/>
      <c r="C38" s="68" t="str">
        <f t="shared" si="0"/>
        <v>3</v>
      </c>
      <c r="D38" s="68">
        <f t="shared" si="1"/>
        <v>3</v>
      </c>
      <c r="E38" s="84" t="str">
        <f t="shared" si="2"/>
        <v>33</v>
      </c>
      <c r="F38" s="68"/>
      <c r="G38" s="68"/>
      <c r="H38" s="68"/>
      <c r="I38" s="68"/>
      <c r="J38" s="68"/>
      <c r="K38" s="68"/>
      <c r="L38" s="68"/>
      <c r="M38" s="68"/>
      <c r="N38" s="68"/>
      <c r="O38" s="68"/>
      <c r="P38" s="268"/>
    </row>
    <row r="39" spans="1:16" ht="18" x14ac:dyDescent="0.35">
      <c r="A39" s="297"/>
      <c r="B39" s="76"/>
      <c r="C39" s="68" t="str">
        <f t="shared" si="0"/>
        <v>3</v>
      </c>
      <c r="D39" s="68">
        <f t="shared" si="1"/>
        <v>3</v>
      </c>
      <c r="E39" s="84" t="str">
        <f t="shared" si="2"/>
        <v>33</v>
      </c>
      <c r="F39" s="76"/>
      <c r="G39" s="76"/>
      <c r="H39" s="76"/>
      <c r="I39" s="77"/>
      <c r="J39" s="207" t="str">
        <f>IFERROR(_xlfn.TEXTBEFORE(VLOOKUP(E44,BDD!$A$2:$N$567,7,FALSE)," ",19),VLOOKUP(E44,BDD!$A$2:$N$567,7,FALSE))</f>
        <v>L’organisation réalise et communique régulièrement une évaluation de l’efficacité des contrôles SI, en regard des enjeux stratégiques, financiers, commerciaux,</v>
      </c>
      <c r="K39" s="77"/>
      <c r="L39" s="76"/>
      <c r="M39" s="76"/>
      <c r="N39" s="76"/>
      <c r="O39" s="76"/>
      <c r="P39" s="297"/>
    </row>
    <row r="40" spans="1:16" ht="18" x14ac:dyDescent="0.35">
      <c r="A40" s="268"/>
      <c r="B40" s="68"/>
      <c r="C40" s="68" t="str">
        <f t="shared" si="0"/>
        <v>3</v>
      </c>
      <c r="D40" s="68">
        <f t="shared" si="1"/>
        <v>3</v>
      </c>
      <c r="E40" s="84" t="str">
        <f t="shared" si="2"/>
        <v>33</v>
      </c>
      <c r="F40" s="68"/>
      <c r="G40" s="68"/>
      <c r="H40" s="68"/>
      <c r="I40" s="68"/>
      <c r="J40" s="207" t="str">
        <f>IFERROR(_xlfn.TEXTAFTER(VLOOKUP(E44,BDD!$A$2:$N$567,7,FALSE)," ",19),"")</f>
        <v>réglementaires, industriels ou d’innovation.</v>
      </c>
      <c r="K40" s="68"/>
      <c r="L40" s="68"/>
      <c r="M40" s="68"/>
      <c r="N40" s="68"/>
      <c r="O40" s="68"/>
      <c r="P40" s="268"/>
    </row>
    <row r="41" spans="1:16" x14ac:dyDescent="0.3">
      <c r="A41" s="268"/>
      <c r="B41" s="68"/>
      <c r="C41" s="68" t="str">
        <f t="shared" si="0"/>
        <v>3</v>
      </c>
      <c r="D41" s="68">
        <f t="shared" si="1"/>
        <v>3</v>
      </c>
      <c r="E41" s="84" t="str">
        <f t="shared" si="2"/>
        <v>33</v>
      </c>
      <c r="F41" s="68"/>
      <c r="G41" s="68"/>
      <c r="H41" s="68"/>
      <c r="I41" s="68"/>
      <c r="J41" s="78"/>
      <c r="K41" s="68"/>
      <c r="L41" s="68"/>
      <c r="M41" s="619" t="s">
        <v>92</v>
      </c>
      <c r="N41" s="619"/>
      <c r="O41" s="68"/>
      <c r="P41" s="268"/>
    </row>
    <row r="42" spans="1:16" ht="33" x14ac:dyDescent="0.3">
      <c r="A42" s="268"/>
      <c r="B42" s="68"/>
      <c r="C42" s="68" t="str">
        <f t="shared" si="0"/>
        <v>3</v>
      </c>
      <c r="D42" s="68">
        <f t="shared" si="1"/>
        <v>3</v>
      </c>
      <c r="E42" s="84" t="str">
        <f t="shared" si="2"/>
        <v>33</v>
      </c>
      <c r="F42" s="79"/>
      <c r="G42" s="80" t="s">
        <v>561</v>
      </c>
      <c r="H42" s="80" t="s">
        <v>82</v>
      </c>
      <c r="I42" s="80" t="s">
        <v>83</v>
      </c>
      <c r="J42" s="80" t="s">
        <v>84</v>
      </c>
      <c r="K42" s="80" t="s">
        <v>85</v>
      </c>
      <c r="L42" s="78"/>
      <c r="M42" s="81" t="s">
        <v>86</v>
      </c>
      <c r="N42" s="82" t="s">
        <v>87</v>
      </c>
      <c r="O42" s="68"/>
      <c r="P42" s="268"/>
    </row>
    <row r="43" spans="1:16" x14ac:dyDescent="0.3">
      <c r="A43" s="268"/>
      <c r="B43" s="68"/>
      <c r="C43" s="68" t="str">
        <f t="shared" si="0"/>
        <v>3</v>
      </c>
      <c r="D43" s="68">
        <f t="shared" si="1"/>
        <v>3</v>
      </c>
      <c r="E43" s="84" t="str">
        <f t="shared" si="2"/>
        <v>33</v>
      </c>
      <c r="F43" s="68"/>
      <c r="G43" s="83"/>
      <c r="H43" s="83"/>
      <c r="I43" s="83"/>
      <c r="J43" s="68"/>
      <c r="K43" s="83"/>
      <c r="L43" s="68"/>
      <c r="M43" s="68"/>
      <c r="N43" s="68"/>
      <c r="O43" s="68"/>
      <c r="P43" s="268"/>
    </row>
    <row r="44" spans="1:16" ht="130.05000000000001" customHeight="1" x14ac:dyDescent="0.3">
      <c r="A44" s="268"/>
      <c r="B44" s="68"/>
      <c r="C44" s="68" t="str">
        <f t="shared" si="0"/>
        <v>3</v>
      </c>
      <c r="D44" s="68">
        <f t="shared" si="1"/>
        <v>3</v>
      </c>
      <c r="E44" s="84" t="str">
        <f t="shared" si="2"/>
        <v>331</v>
      </c>
      <c r="F44" s="66" t="s">
        <v>27</v>
      </c>
      <c r="G44" s="67" t="str">
        <f>IFERROR(IF(VLOOKUP($E44,BDD!$A$1:$S$567,MATCH(G$10,BDD!$A$1:$P$1,0),FALSE)=0,"",VLOOKUP($E44,BDD!$A$1:$S$567,MATCH(G$10,BDD!$A$1:$P$1,0),FALSE)),"")</f>
        <v xml:space="preserve">La DSI effectue un suivi de la mise en œuvre des contrôles clés et évalue leur efficacité. Cette évaluation documentée comprend les contrôles récurrents de surveillance, définis avec les métiers. </v>
      </c>
      <c r="H44" s="85" t="str">
        <f>IF(VLOOKUP(E44,BDD!$A$1:$S$567,15,FALSE)=0,"Critère non évalué","")</f>
        <v>Critère non évalué</v>
      </c>
      <c r="I44" s="66" t="str">
        <f>IFERROR(IF(VLOOKUP($E44,BDD!$A$1:$S$567,MATCH(I$10,BDD!$A$1:$P$1,0),FALSE)=0,"",VLOOKUP($E44,BDD!$A$1:$S$567,MATCH(I$10,BDD!$A$1:$P$1,0),FALSE)),"")</f>
        <v>N4</v>
      </c>
      <c r="J44" s="86"/>
      <c r="K44" s="67" t="str">
        <f>IFERROR(IF(VLOOKUP($E44,BDD!$A$1:$S$567,MATCH(K$10,BDD!$A$1:$P$1,0),FALSE)=0,"",VLOOKUP($E44,BDD!$A$1:$S$567,MATCH(K$10,BDD!$A$1:$P$1,0),FALSE)),"")</f>
        <v xml:space="preserve">• Des indicateurs permettent de valider l'efficacité des contrôles comme : 
- Le nombre de contrôles clés adapté à l’organisation.
- L’intégration des contrôles au sein des processus. </v>
      </c>
      <c r="L44" s="68"/>
      <c r="M44" s="87"/>
      <c r="N44" s="87"/>
      <c r="O44" s="68"/>
      <c r="P44" s="268"/>
    </row>
    <row r="45" spans="1:16" ht="150" customHeight="1" x14ac:dyDescent="0.3">
      <c r="A45" s="268"/>
      <c r="B45" s="68"/>
      <c r="C45" s="68" t="str">
        <f t="shared" si="0"/>
        <v>3</v>
      </c>
      <c r="D45" s="68">
        <f t="shared" si="1"/>
        <v>3</v>
      </c>
      <c r="E45" s="84" t="str">
        <f t="shared" si="2"/>
        <v>332</v>
      </c>
      <c r="F45" s="94" t="s">
        <v>28</v>
      </c>
      <c r="G45" s="65" t="str">
        <f>IFERROR(IF(VLOOKUP($E45,BDD!$A$1:$S$567,MATCH(G$10,BDD!$A$1:$P$1,0),FALSE)=0,"",VLOOKUP($E45,BDD!$A$1:$S$567,MATCH(G$10,BDD!$A$1:$P$1,0),FALSE)),"")</f>
        <v xml:space="preserve">L’évaluation de l'efficacité des contrôles est réalisée par des équipes indépendantes des opérations évaluées, par exemple le contrôle interne et/ou l'audit interne. Cette évaluation documentée comprend les contrôles récurrents de surveillance définis avec les métiers. </v>
      </c>
      <c r="H45" s="88" t="str">
        <f>IF(VLOOKUP(E45,BDD!$A$1:$S$567,15,FALSE)=0,"Critère non évalué","")</f>
        <v>Critère non évalué</v>
      </c>
      <c r="I45" s="64" t="str">
        <f>IFERROR(IF(VLOOKUP($E45,BDD!$A$1:$S$567,MATCH(I$10,BDD!$A$1:$P$1,0),FALSE)=0,"",VLOOKUP($E45,BDD!$A$1:$S$567,MATCH(I$10,BDD!$A$1:$P$1,0),FALSE)),"")</f>
        <v>N4</v>
      </c>
      <c r="J45" s="89"/>
      <c r="K45" s="65" t="str">
        <f>IFERROR(IF(VLOOKUP($E45,BDD!$A$1:$S$567,MATCH(K$10,BDD!$A$1:$P$1,0),FALSE)=0,"",VLOOKUP($E45,BDD!$A$1:$S$567,MATCH(K$10,BDD!$A$1:$P$1,0),FALSE)),"")</f>
        <v xml:space="preserve">• Ces évaluations doivent être fondées sur les référentiels existants auxquels est soumise l'entreprise. 
• Ces évaluations peuvent être menées par des cabinets indépendants et donner lieu à la délivrance de certificats. </v>
      </c>
      <c r="L45" s="68"/>
      <c r="M45" s="90"/>
      <c r="N45" s="90"/>
      <c r="O45" s="68"/>
      <c r="P45" s="268"/>
    </row>
    <row r="46" spans="1:16" ht="130.05000000000001" customHeight="1" x14ac:dyDescent="0.3">
      <c r="A46" s="268"/>
      <c r="B46" s="68"/>
      <c r="C46" s="68" t="str">
        <f t="shared" si="0"/>
        <v>3</v>
      </c>
      <c r="D46" s="68">
        <f t="shared" si="1"/>
        <v>3</v>
      </c>
      <c r="E46" s="84" t="str">
        <f t="shared" si="2"/>
        <v>333</v>
      </c>
      <c r="F46" s="66" t="s">
        <v>30</v>
      </c>
      <c r="G46" s="67" t="str">
        <f>IFERROR(IF(VLOOKUP($E46,BDD!$A$1:$S$567,MATCH(G$10,BDD!$A$1:$P$1,0),FALSE)=0,"",VLOOKUP($E46,BDD!$A$1:$S$567,MATCH(G$10,BDD!$A$1:$P$1,0),FALSE)),"")</f>
        <v xml:space="preserve">Les plans de remédiation associés aux risques numériques sont établis en liaison avec les évaluations des risques et des enjeux métiers, suivis par la filière risque ou à défaut par la DSI, et pilotés en coordination avec les métiers. </v>
      </c>
      <c r="H46" s="85" t="str">
        <f>IF(VLOOKUP(E46,BDD!$A$1:$S$567,15,FALSE)=0,"Critère non évalué","")</f>
        <v>Critère non évalué</v>
      </c>
      <c r="I46" s="66" t="s">
        <v>22</v>
      </c>
      <c r="J46" s="86"/>
      <c r="K46" s="67" t="str">
        <f>IFERROR(IF(VLOOKUP($E46,BDD!$A$1:$S$567,MATCH(K$10,BDD!$A$1:$P$1,0),FALSE)=0,"",VLOOKUP($E46,BDD!$A$1:$S$567,MATCH(K$10,BDD!$A$1:$P$1,0),FALSE)),"")</f>
        <v/>
      </c>
      <c r="L46" s="68"/>
      <c r="M46" s="87"/>
      <c r="N46" s="87"/>
      <c r="O46" s="68"/>
      <c r="P46" s="268"/>
    </row>
    <row r="47" spans="1:16" ht="120" hidden="1" customHeight="1" x14ac:dyDescent="0.3">
      <c r="A47" s="268"/>
      <c r="B47" s="68"/>
      <c r="C47" s="68" t="str">
        <f t="shared" si="0"/>
        <v>3</v>
      </c>
      <c r="D47" s="68">
        <f t="shared" si="1"/>
        <v>3</v>
      </c>
      <c r="E47" s="84" t="str">
        <f t="shared" si="2"/>
        <v>334</v>
      </c>
      <c r="F47" s="64" t="s">
        <v>32</v>
      </c>
      <c r="G47" s="96" t="str">
        <f>IFERROR(IF(VLOOKUP($E47,BDD!$A$1:$S$567,MATCH(G$10,BDD!$A$1:$P$1,0),FALSE)=0,"",VLOOKUP($E47,BDD!$A$1:$S$567,MATCH(G$10,BDD!$A$1:$P$1,0),FALSE)),"")</f>
        <v/>
      </c>
      <c r="H47" s="210" t="str">
        <f>IF(VLOOKUP(E47,BDD!$A$1:$S$567,15,FALSE)=0,"Critère non évalué","")</f>
        <v>Critère non évalué</v>
      </c>
      <c r="I47" s="64" t="s">
        <v>26</v>
      </c>
      <c r="J47" s="95"/>
      <c r="K47" s="96" t="str">
        <f>IFERROR(IF(VLOOKUP($E47,BDD!$A$1:$S$567,MATCH(K$10,BDD!$A$1:$P$1,0),FALSE)=0,"",VLOOKUP($E47,BDD!$A$1:$S$567,MATCH(K$10,BDD!$A$1:$P$1,0),FALSE)),"")</f>
        <v/>
      </c>
      <c r="L47" s="68"/>
      <c r="M47" s="90"/>
      <c r="N47" s="90"/>
      <c r="O47" s="68"/>
      <c r="P47" s="268"/>
    </row>
    <row r="48" spans="1:16" ht="130.05000000000001" hidden="1" customHeight="1" x14ac:dyDescent="0.3">
      <c r="A48" s="268"/>
      <c r="B48" s="68"/>
      <c r="C48" s="68" t="str">
        <f t="shared" si="0"/>
        <v>3</v>
      </c>
      <c r="D48" s="68">
        <f t="shared" si="1"/>
        <v>3</v>
      </c>
      <c r="E48" s="84" t="str">
        <f t="shared" si="2"/>
        <v>335</v>
      </c>
      <c r="F48" s="66" t="s">
        <v>33</v>
      </c>
      <c r="G48" s="67" t="str">
        <f>IFERROR(IF(VLOOKUP($E48,BDD!$A$1:$S$567,MATCH(G$10,BDD!$A$1:$P$1,0),FALSE)=0,"",VLOOKUP($E48,BDD!$A$1:$S$567,MATCH(G$10,BDD!$A$1:$P$1,0),FALSE)),"")</f>
        <v/>
      </c>
      <c r="H48" s="85" t="str">
        <f>IF(VLOOKUP(E48,BDD!$A$1:$S$567,15,FALSE)=0,"Critère non évalué","")</f>
        <v>Critère non évalué</v>
      </c>
      <c r="I48" s="66" t="s">
        <v>22</v>
      </c>
      <c r="J48" s="86"/>
      <c r="K48" s="67" t="str">
        <f>IFERROR(IF(VLOOKUP($E48,BDD!$A$1:$S$567,MATCH(K$10,BDD!$A$1:$P$1,0),FALSE)=0,"",VLOOKUP($E48,BDD!$A$1:$S$567,MATCH(K$10,BDD!$A$1:$P$1,0),FALSE)),"")</f>
        <v/>
      </c>
      <c r="L48" s="68"/>
      <c r="M48" s="87"/>
      <c r="N48" s="87"/>
      <c r="O48" s="68"/>
      <c r="P48" s="268"/>
    </row>
    <row r="49" spans="1:16" ht="120" hidden="1" customHeight="1" x14ac:dyDescent="0.3">
      <c r="A49" s="268"/>
      <c r="B49" s="68"/>
      <c r="C49" s="68" t="str">
        <f t="shared" si="0"/>
        <v>3</v>
      </c>
      <c r="D49" s="68">
        <f t="shared" si="1"/>
        <v>3</v>
      </c>
      <c r="E49" s="84" t="str">
        <f t="shared" si="2"/>
        <v>336</v>
      </c>
      <c r="F49" s="64" t="s">
        <v>34</v>
      </c>
      <c r="G49" s="96" t="str">
        <f>IFERROR(IF(VLOOKUP($E49,BDD!$A$1:$S$567,MATCH(G$10,BDD!$A$1:$P$1,0),FALSE)=0,"",VLOOKUP($E49,BDD!$A$1:$S$567,MATCH(G$10,BDD!$A$1:$P$1,0),FALSE)),"")</f>
        <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268"/>
    </row>
    <row r="50" spans="1:16" ht="130.05000000000001" hidden="1" customHeight="1" x14ac:dyDescent="0.3">
      <c r="A50" s="268"/>
      <c r="B50" s="68"/>
      <c r="C50" s="68" t="str">
        <f t="shared" si="0"/>
        <v>3</v>
      </c>
      <c r="D50" s="68">
        <f t="shared" si="1"/>
        <v>3</v>
      </c>
      <c r="E50" s="84" t="str">
        <f t="shared" si="2"/>
        <v>337</v>
      </c>
      <c r="F50" s="66" t="s">
        <v>36</v>
      </c>
      <c r="G50" s="67" t="str">
        <f>IFERROR(IF(VLOOKUP($E50,BDD!$A$1:$S$567,MATCH(G$10,BDD!$A$1:$P$1,0),FALSE)=0,"",VLOOKUP($E50,BDD!$A$1:$S$567,MATCH(G$10,BDD!$A$1:$P$1,0),FALSE)),"")</f>
        <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268"/>
    </row>
    <row r="51" spans="1:16" ht="18" x14ac:dyDescent="0.35">
      <c r="A51" s="268"/>
      <c r="B51" s="68"/>
      <c r="C51" s="68" t="str">
        <f t="shared" si="0"/>
        <v>3</v>
      </c>
      <c r="D51" s="68"/>
      <c r="E51" s="84"/>
      <c r="F51" s="68"/>
      <c r="G51" s="69"/>
      <c r="H51" s="69"/>
      <c r="I51" s="69"/>
      <c r="J51" s="69"/>
      <c r="K51" s="69"/>
      <c r="L51" s="70"/>
      <c r="M51" s="68"/>
      <c r="N51" s="68"/>
      <c r="O51" s="68"/>
      <c r="P51" s="268"/>
    </row>
    <row r="52" spans="1:16" x14ac:dyDescent="0.3">
      <c r="A52" s="268"/>
      <c r="B52" s="68"/>
      <c r="C52" s="68" t="str">
        <f t="shared" si="0"/>
        <v>3</v>
      </c>
      <c r="D52" s="68">
        <f>IF(LEFT(F52,14)="Bonne pratique",D48+1,D48)</f>
        <v>3</v>
      </c>
      <c r="E52" s="84" t="str">
        <f t="shared" si="2"/>
        <v>33</v>
      </c>
      <c r="F52" s="68"/>
      <c r="G52" s="68"/>
      <c r="H52" s="68"/>
      <c r="I52" s="68"/>
      <c r="J52" s="68"/>
      <c r="K52" s="68"/>
      <c r="L52" s="68"/>
      <c r="M52" s="68"/>
      <c r="N52" s="68"/>
      <c r="O52" s="68"/>
      <c r="P52" s="268"/>
    </row>
    <row r="53" spans="1:16" ht="25.8" x14ac:dyDescent="0.5">
      <c r="A53" s="296"/>
      <c r="B53" s="74"/>
      <c r="C53" s="68" t="str">
        <f t="shared" si="0"/>
        <v>3</v>
      </c>
      <c r="D53" s="68">
        <f t="shared" si="1"/>
        <v>4</v>
      </c>
      <c r="E53" s="84" t="str">
        <f t="shared" si="2"/>
        <v>344</v>
      </c>
      <c r="F53" s="208" t="s">
        <v>502</v>
      </c>
      <c r="G53" s="75"/>
      <c r="H53" s="205"/>
      <c r="I53" s="73"/>
      <c r="J53" s="73" t="str">
        <f>VLOOKUP(E60,BDD!$A$2:$N$567,6,FALSE)</f>
        <v>Gestion des risques cyber</v>
      </c>
      <c r="K53" s="72"/>
      <c r="L53" s="75"/>
      <c r="M53" s="75"/>
      <c r="N53" s="75"/>
      <c r="O53" s="74"/>
      <c r="P53" s="296"/>
    </row>
    <row r="54" spans="1:16" x14ac:dyDescent="0.3">
      <c r="A54" s="268"/>
      <c r="B54" s="68"/>
      <c r="C54" s="68" t="str">
        <f t="shared" si="0"/>
        <v>3</v>
      </c>
      <c r="D54" s="68">
        <f t="shared" si="1"/>
        <v>4</v>
      </c>
      <c r="E54" s="84" t="str">
        <f t="shared" si="2"/>
        <v>34</v>
      </c>
      <c r="F54" s="68"/>
      <c r="G54" s="68"/>
      <c r="H54" s="68"/>
      <c r="I54" s="68"/>
      <c r="J54" s="68"/>
      <c r="K54" s="68"/>
      <c r="L54" s="68"/>
      <c r="M54" s="68"/>
      <c r="N54" s="68"/>
      <c r="O54" s="68"/>
      <c r="P54" s="268"/>
    </row>
    <row r="55" spans="1:16" ht="18" x14ac:dyDescent="0.35">
      <c r="A55" s="297"/>
      <c r="B55" s="76"/>
      <c r="C55" s="68" t="str">
        <f t="shared" si="0"/>
        <v>3</v>
      </c>
      <c r="D55" s="68">
        <f t="shared" si="1"/>
        <v>4</v>
      </c>
      <c r="E55" s="84" t="str">
        <f t="shared" si="2"/>
        <v>34</v>
      </c>
      <c r="F55" s="76"/>
      <c r="G55" s="76"/>
      <c r="H55" s="76"/>
      <c r="I55" s="77"/>
      <c r="J55" s="207" t="str">
        <f>IFERROR(_xlfn.TEXTBEFORE(VLOOKUP(E60,BDD!$A$2:$N$567,7,FALSE)," ",30),VLOOKUP(E60,BDD!$A$2:$N$567,7,FALSE))</f>
        <v>La DSI a défini et a mis en œuvre des dispositifs de protection de l'organisation contre les cyberattaques (rançongiciels, fuite de données, etc.)</v>
      </c>
      <c r="K55" s="77"/>
      <c r="L55" s="76"/>
      <c r="M55" s="76"/>
      <c r="N55" s="76"/>
      <c r="O55" s="76"/>
      <c r="P55" s="297"/>
    </row>
    <row r="56" spans="1:16" ht="18" x14ac:dyDescent="0.35">
      <c r="A56" s="268"/>
      <c r="B56" s="68"/>
      <c r="C56" s="68" t="str">
        <f t="shared" si="0"/>
        <v>3</v>
      </c>
      <c r="D56" s="68">
        <f t="shared" si="1"/>
        <v>4</v>
      </c>
      <c r="E56" s="84" t="str">
        <f t="shared" si="2"/>
        <v>34</v>
      </c>
      <c r="F56" s="68"/>
      <c r="G56" s="68"/>
      <c r="H56" s="68"/>
      <c r="I56" s="68"/>
      <c r="J56" s="207" t="str">
        <f>IFERROR(_xlfn.TEXTAFTER(VLOOKUP(E60,BDD!$A$2:$N$567,7,FALSE)," ",30),"")</f>
        <v/>
      </c>
      <c r="K56" s="68"/>
      <c r="L56" s="68"/>
      <c r="M56" s="68"/>
      <c r="N56" s="68"/>
      <c r="O56" s="68"/>
      <c r="P56" s="268"/>
    </row>
    <row r="57" spans="1:16" x14ac:dyDescent="0.3">
      <c r="A57" s="268"/>
      <c r="B57" s="68"/>
      <c r="C57" s="68" t="str">
        <f t="shared" si="0"/>
        <v>3</v>
      </c>
      <c r="D57" s="68">
        <f t="shared" si="1"/>
        <v>4</v>
      </c>
      <c r="E57" s="84" t="str">
        <f t="shared" si="2"/>
        <v>34</v>
      </c>
      <c r="F57" s="68"/>
      <c r="G57" s="68"/>
      <c r="H57" s="68"/>
      <c r="I57" s="68"/>
      <c r="J57" s="78"/>
      <c r="K57" s="68"/>
      <c r="L57" s="68"/>
      <c r="M57" s="619" t="s">
        <v>92</v>
      </c>
      <c r="N57" s="619"/>
      <c r="O57" s="68"/>
      <c r="P57" s="268"/>
    </row>
    <row r="58" spans="1:16" ht="33" x14ac:dyDescent="0.3">
      <c r="A58" s="268"/>
      <c r="B58" s="68"/>
      <c r="C58" s="68" t="str">
        <f t="shared" si="0"/>
        <v>3</v>
      </c>
      <c r="D58" s="68">
        <f t="shared" si="1"/>
        <v>4</v>
      </c>
      <c r="E58" s="84" t="str">
        <f t="shared" si="2"/>
        <v>34</v>
      </c>
      <c r="F58" s="79"/>
      <c r="G58" s="80" t="s">
        <v>561</v>
      </c>
      <c r="H58" s="80" t="s">
        <v>82</v>
      </c>
      <c r="I58" s="80" t="s">
        <v>83</v>
      </c>
      <c r="J58" s="80" t="s">
        <v>84</v>
      </c>
      <c r="K58" s="80" t="s">
        <v>85</v>
      </c>
      <c r="L58" s="78"/>
      <c r="M58" s="81" t="s">
        <v>86</v>
      </c>
      <c r="N58" s="82" t="s">
        <v>87</v>
      </c>
      <c r="O58" s="68"/>
      <c r="P58" s="268"/>
    </row>
    <row r="59" spans="1:16" x14ac:dyDescent="0.3">
      <c r="A59" s="268"/>
      <c r="B59" s="68"/>
      <c r="C59" s="68" t="str">
        <f t="shared" si="0"/>
        <v>3</v>
      </c>
      <c r="D59" s="68">
        <f t="shared" si="1"/>
        <v>4</v>
      </c>
      <c r="E59" s="84" t="str">
        <f t="shared" si="2"/>
        <v>34</v>
      </c>
      <c r="F59" s="68"/>
      <c r="G59" s="83"/>
      <c r="H59" s="83"/>
      <c r="I59" s="83"/>
      <c r="J59" s="68"/>
      <c r="K59" s="83"/>
      <c r="L59" s="68"/>
      <c r="M59" s="68"/>
      <c r="N59" s="68"/>
      <c r="O59" s="68"/>
      <c r="P59" s="268"/>
    </row>
    <row r="60" spans="1:16" ht="130.05000000000001" customHeight="1" x14ac:dyDescent="0.3">
      <c r="A60" s="268"/>
      <c r="B60" s="68"/>
      <c r="C60" s="68" t="str">
        <f t="shared" si="0"/>
        <v>3</v>
      </c>
      <c r="D60" s="68">
        <f t="shared" si="1"/>
        <v>4</v>
      </c>
      <c r="E60" s="84" t="str">
        <f t="shared" si="2"/>
        <v>341</v>
      </c>
      <c r="F60" s="66" t="s">
        <v>27</v>
      </c>
      <c r="G60" s="67" t="str">
        <f>IFERROR(IF(VLOOKUP($E60,BDD!$A$1:$S$567,MATCH(G$10,BDD!$A$1:$P$1,0),FALSE)=0,"",VLOOKUP($E60,BDD!$A$1:$S$567,MATCH(G$10,BDD!$A$1:$P$1,0),FALSE)),"")</f>
        <v>Une fonction RSSI est identifiée dans l'organisation et positionnée dans une logique d'indépendance de la fonction.</v>
      </c>
      <c r="H60" s="85" t="str">
        <f>IF(VLOOKUP(E60,BDD!$A$1:$S$567,15,FALSE)=0,"Critère non évalué","")</f>
        <v>Critère non évalué</v>
      </c>
      <c r="I60" s="66" t="str">
        <f>IFERROR(IF(VLOOKUP($E60,BDD!$A$1:$S$567,MATCH(I$10,BDD!$A$1:$P$1,0),FALSE)=0,"",VLOOKUP($E60,BDD!$A$1:$S$567,MATCH(I$10,BDD!$A$1:$P$1,0),FALSE)),"")</f>
        <v>N1</v>
      </c>
      <c r="J60" s="86"/>
      <c r="K60" s="67" t="str">
        <f>IFERROR(IF(VLOOKUP($E60,BDD!$A$1:$S$567,MATCH(K$10,BDD!$A$1:$P$1,0),FALSE)=0,"",VLOOKUP($E60,BDD!$A$1:$S$567,MATCH(K$10,BDD!$A$1:$P$1,0),FALSE)),"")</f>
        <v/>
      </c>
      <c r="L60" s="68"/>
      <c r="M60" s="87"/>
      <c r="N60" s="87"/>
      <c r="O60" s="68"/>
      <c r="P60" s="268"/>
    </row>
    <row r="61" spans="1:16" ht="130.05000000000001" customHeight="1" x14ac:dyDescent="0.3">
      <c r="A61" s="268"/>
      <c r="B61" s="68"/>
      <c r="C61" s="68" t="str">
        <f t="shared" si="0"/>
        <v>3</v>
      </c>
      <c r="D61" s="68">
        <f t="shared" si="1"/>
        <v>4</v>
      </c>
      <c r="E61" s="84" t="str">
        <f t="shared" si="2"/>
        <v>342</v>
      </c>
      <c r="F61" s="94" t="s">
        <v>28</v>
      </c>
      <c r="G61" s="65" t="str">
        <f>IFERROR(IF(VLOOKUP($E61,BDD!$A$1:$S$567,MATCH(G$10,BDD!$A$1:$P$1,0),FALSE)=0,"",VLOOKUP($E61,BDD!$A$1:$S$567,MATCH(G$10,BDD!$A$1:$P$1,0),FALSE)),"")</f>
        <v>Une PSSI (politique de sécurité des SI ), décrivant les grandes orientations et la vision stratégique de la direction de l'organisation vis-à-vis de la sécurité des SI, est élaborée par le RSSI et déclinée dans un corpus documentaire. </v>
      </c>
      <c r="H61" s="88" t="str">
        <f>IF(VLOOKUP(E61,BDD!$A$1:$S$567,15,FALSE)=0,"Critère non évalué","")</f>
        <v>Critère non évalué</v>
      </c>
      <c r="I61" s="64" t="str">
        <f>IFERROR(IF(VLOOKUP($E61,BDD!$A$1:$S$567,MATCH(I$10,BDD!$A$1:$P$1,0),FALSE)=0,"",VLOOKUP($E61,BDD!$A$1:$S$567,MATCH(I$10,BDD!$A$1:$P$1,0),FALSE)),"")</f>
        <v>N1</v>
      </c>
      <c r="J61" s="89"/>
      <c r="K61" s="65" t="str">
        <f>IFERROR(IF(VLOOKUP($E61,BDD!$A$1:$S$567,MATCH(K$10,BDD!$A$1:$P$1,0),FALSE)=0,"",VLOOKUP($E61,BDD!$A$1:$S$567,MATCH(K$10,BDD!$A$1:$P$1,0),FALSE)),"")</f>
        <v>• La PSSI définit notamment les rôles et responsabilités associés à la fonction RSSI.
• Le PAS (plan d'assurance sécurité) est sa déclinaison vis-à-vis des tierces parties.</v>
      </c>
      <c r="L61" s="68"/>
      <c r="M61" s="90"/>
      <c r="N61" s="90"/>
      <c r="O61" s="68"/>
      <c r="P61" s="268"/>
    </row>
    <row r="62" spans="1:16" ht="130.05000000000001" customHeight="1" x14ac:dyDescent="0.3">
      <c r="A62" s="268"/>
      <c r="B62" s="68"/>
      <c r="C62" s="68" t="str">
        <f t="shared" si="0"/>
        <v>3</v>
      </c>
      <c r="D62" s="68">
        <f>IF(LEFT(F62,14)="Bonne pratique",D61+1,D61)</f>
        <v>4</v>
      </c>
      <c r="E62" s="84" t="str">
        <f t="shared" si="2"/>
        <v>343</v>
      </c>
      <c r="F62" s="66" t="s">
        <v>30</v>
      </c>
      <c r="G62" s="67" t="str">
        <f>IFERROR(IF(VLOOKUP($E62,BDD!$A$1:$S$567,MATCH(G$10,BDD!$A$1:$P$1,0),FALSE)=0,"",VLOOKUP($E62,BDD!$A$1:$S$567,MATCH(G$10,BDD!$A$1:$P$1,0),FALSE)),"")</f>
        <v>La DSI met en place un dispositif de prévention, protection, détection et réaction contre les risques cyber (organisation, socle documentaire, processus et outils) en réponse à son évaluation de la menace. Les tierces parties sont intégrées dans ce dispositif.</v>
      </c>
      <c r="H62" s="85" t="str">
        <f>IF(VLOOKUP(E62,BDD!$A$1:$S$567,15,FALSE)=0,"Critère non évalué","")</f>
        <v>Critère non évalué</v>
      </c>
      <c r="I62" s="66" t="str">
        <f>IFERROR(IF(VLOOKUP($E62,BDD!$A$1:$S$567,MATCH(I$10,BDD!$A$1:$P$1,0),FALSE)=0,"",VLOOKUP($E62,BDD!$A$1:$S$567,MATCH(I$10,BDD!$A$1:$P$1,0),FALSE)),"")</f>
        <v>N1</v>
      </c>
      <c r="J62" s="86"/>
      <c r="K62" s="67" t="str">
        <f>IFERROR(IF(VLOOKUP($E62,BDD!$A$1:$S$567,MATCH(K$10,BDD!$A$1:$P$1,0),FALSE)=0,"",VLOOKUP($E62,BDD!$A$1:$S$567,MATCH(K$10,BDD!$A$1:$P$1,0),FALSE)),"")</f>
        <v>• Une feuille de route sécurité permet de couvrir toutes les facettes de la menace cyber. 
• La DSI s'assure de la bonne application de ce dispositif chaque fois qu’elle a recours à des services de type cloud.</v>
      </c>
      <c r="L62" s="68"/>
      <c r="M62" s="87"/>
      <c r="N62" s="87"/>
      <c r="O62" s="68"/>
      <c r="P62" s="268"/>
    </row>
    <row r="63" spans="1:16" ht="130.05000000000001" customHeight="1" x14ac:dyDescent="0.3">
      <c r="A63" s="268"/>
      <c r="B63" s="68"/>
      <c r="C63" s="68" t="str">
        <f t="shared" si="0"/>
        <v>3</v>
      </c>
      <c r="D63" s="68">
        <f t="shared" si="1"/>
        <v>4</v>
      </c>
      <c r="E63" s="84" t="str">
        <f t="shared" si="2"/>
        <v>344</v>
      </c>
      <c r="F63" s="64" t="s">
        <v>32</v>
      </c>
      <c r="G63" s="65" t="str">
        <f>IFERROR(IF(VLOOKUP($E63,BDD!$A$1:$S$567,MATCH(G$10,BDD!$A$1:$P$1,0),FALSE)=0,"",VLOOKUP($E63,BDD!$A$1:$S$567,MATCH(G$10,BDD!$A$1:$P$1,0),FALSE)),"")</f>
        <v>Le dispositif est évalué et maintenu régulièrement à l'état de l'art en réponse à l'évolution de la menace. </v>
      </c>
      <c r="H63" s="88" t="str">
        <f>IF(VLOOKUP(E63,BDD!$A$1:$S$567,15,FALSE)=0,"Critère non évalué","")</f>
        <v>Critère non évalué</v>
      </c>
      <c r="I63" s="64" t="str">
        <f>IFERROR(IF(VLOOKUP($E63,BDD!$A$1:$S$567,MATCH(I$10,BDD!$A$1:$P$1,0),FALSE)=0,"",VLOOKUP($E63,BDD!$A$1:$S$567,MATCH(I$10,BDD!$A$1:$P$1,0),FALSE)),"")</f>
        <v>N2</v>
      </c>
      <c r="J63" s="91"/>
      <c r="K63" s="65" t="str">
        <f>IFERROR(IF(VLOOKUP($E63,BDD!$A$1:$S$567,MATCH(K$10,BDD!$A$1:$P$1,0),FALSE)=0,"",VLOOKUP($E63,BDD!$A$1:$S$567,MATCH(K$10,BDD!$A$1:$P$1,0),FALSE)),"")</f>
        <v>• Modes d’évaluation : audit de sécurité (test de pénétration), tests des sauvegardes, scans de vulnérabilité, etc.</v>
      </c>
      <c r="L63" s="68"/>
      <c r="M63" s="90"/>
      <c r="N63" s="90"/>
      <c r="O63" s="68"/>
      <c r="P63" s="268"/>
    </row>
    <row r="64" spans="1:16" ht="130.05000000000001" customHeight="1" x14ac:dyDescent="0.3">
      <c r="A64" s="268"/>
      <c r="B64" s="68"/>
      <c r="C64" s="68" t="str">
        <f t="shared" si="0"/>
        <v>3</v>
      </c>
      <c r="D64" s="68">
        <f t="shared" si="1"/>
        <v>4</v>
      </c>
      <c r="E64" s="84" t="str">
        <f t="shared" si="2"/>
        <v>345</v>
      </c>
      <c r="F64" s="66" t="s">
        <v>33</v>
      </c>
      <c r="G64" s="67" t="str">
        <f>IFERROR(IF(VLOOKUP($E64,BDD!$A$1:$S$567,MATCH(G$10,BDD!$A$1:$P$1,0),FALSE)=0,"",VLOOKUP($E64,BDD!$A$1:$S$567,MATCH(G$10,BDD!$A$1:$P$1,0),FALSE)),"")</f>
        <v>Le dispositif est testé et certifié par des tiers indépendants.</v>
      </c>
      <c r="H64" s="85" t="str">
        <f>IF(VLOOKUP(E64,BDD!$A$1:$S$567,15,FALSE)=0,"Critère non évalué","")</f>
        <v>Critère non évalué</v>
      </c>
      <c r="I64" s="66" t="str">
        <f>IFERROR(IF(VLOOKUP($E64,BDD!$A$1:$S$567,MATCH(I$10,BDD!$A$1:$P$1,0),FALSE)=0,"",VLOOKUP($E64,BDD!$A$1:$S$567,MATCH(I$10,BDD!$A$1:$P$1,0),FALSE)),"")</f>
        <v>N4</v>
      </c>
      <c r="J64" s="86"/>
      <c r="K64" s="67" t="str">
        <f>IFERROR(IF(VLOOKUP($E64,BDD!$A$1:$S$567,MATCH(K$10,BDD!$A$1:$P$1,0),FALSE)=0,"",VLOOKUP($E64,BDD!$A$1:$S$567,MATCH(K$10,BDD!$A$1:$P$1,0),FALSE)),"")</f>
        <v/>
      </c>
      <c r="L64" s="68"/>
      <c r="M64" s="82"/>
      <c r="N64" s="82"/>
      <c r="O64" s="68"/>
      <c r="P64" s="268"/>
    </row>
    <row r="65" spans="1:16" ht="130.05000000000001" customHeight="1" x14ac:dyDescent="0.3">
      <c r="A65" s="268"/>
      <c r="B65" s="68"/>
      <c r="C65" s="68" t="str">
        <f t="shared" si="0"/>
        <v>3</v>
      </c>
      <c r="D65" s="68">
        <f t="shared" si="1"/>
        <v>4</v>
      </c>
      <c r="E65" s="84" t="str">
        <f t="shared" si="2"/>
        <v>346</v>
      </c>
      <c r="F65" s="64" t="s">
        <v>34</v>
      </c>
      <c r="G65" s="96" t="str">
        <f>IFERROR(IF(VLOOKUP($E65,BDD!$A$1:$S$567,MATCH(G$10,BDD!$A$1:$P$1,0),FALSE)=0,"",VLOOKUP($E65,BDD!$A$1:$S$567,MATCH(G$10,BDD!$A$1:$P$1,0),FALSE)),"")</f>
        <v>Des campagnes de formation et de sensibilisation à la sécurité des systèmes d'information sont réalisées régulièrement et leur efficacité est mesurée et rapportée. Des actions de remédiation peuvent être menées suite à ces campagnes.</v>
      </c>
      <c r="H65" s="92" t="str">
        <f>IF(VLOOKUP(E65,BDD!$A$1:$S$567,15,FALSE)=0,"Critère non évalué","")</f>
        <v>Critère non évalué</v>
      </c>
      <c r="I65" s="64" t="str">
        <f>IFERROR(IF(VLOOKUP($E65,BDD!$A$1:$S$567,MATCH(I$10,BDD!$A$1:$P$1,0),FALSE)=0,"",VLOOKUP($E65,BDD!$A$1:$S$567,MATCH(I$10,BDD!$A$1:$P$1,0),FALSE)),"")</f>
        <v>N2</v>
      </c>
      <c r="J65" s="206"/>
      <c r="K65" s="96" t="str">
        <f>IFERROR(IF(VLOOKUP($E65,BDD!$A$1:$S$567,MATCH(K$10,BDD!$A$1:$P$1,0),FALSE)=0,"",VLOOKUP($E65,BDD!$A$1:$S$567,MATCH(K$10,BDD!$A$1:$P$1,0),FALSE)),"")</f>
        <v>• Modes de remédiation : sensibilisation, hackathons, formations spécifiques, rappel du règlement intérieur, charte cybersécurité, sanction disciplinaire le cas échéant.
• Les partenaires externes sont intégrés aux campagnes de formation et aux actions de remédiations.</v>
      </c>
      <c r="L65" s="68"/>
      <c r="M65" s="90"/>
      <c r="N65" s="90"/>
      <c r="O65" s="68"/>
      <c r="P65" s="268"/>
    </row>
    <row r="66" spans="1:16" ht="130.05000000000001" hidden="1" customHeight="1" x14ac:dyDescent="0.3">
      <c r="A66" s="268"/>
      <c r="B66" s="68"/>
      <c r="C66" s="68" t="str">
        <f t="shared" si="0"/>
        <v>3</v>
      </c>
      <c r="D66" s="68">
        <f t="shared" si="1"/>
        <v>4</v>
      </c>
      <c r="E66" s="84" t="str">
        <f t="shared" si="2"/>
        <v>347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268"/>
    </row>
    <row r="67" spans="1:16" x14ac:dyDescent="0.3">
      <c r="A67" s="268"/>
      <c r="B67" s="68"/>
      <c r="C67" s="68" t="str">
        <f t="shared" si="0"/>
        <v>3</v>
      </c>
      <c r="D67" s="68">
        <f t="shared" si="1"/>
        <v>4</v>
      </c>
      <c r="E67" s="84" t="str">
        <f t="shared" si="2"/>
        <v>34</v>
      </c>
      <c r="F67" s="68"/>
      <c r="G67" s="68"/>
      <c r="H67" s="68"/>
      <c r="I67" s="68"/>
      <c r="J67" s="68"/>
      <c r="K67" s="68"/>
      <c r="L67" s="68"/>
      <c r="M67" s="68"/>
      <c r="N67" s="68"/>
      <c r="O67" s="68"/>
      <c r="P67" s="268"/>
    </row>
    <row r="68" spans="1:16" x14ac:dyDescent="0.3">
      <c r="A68" s="268"/>
      <c r="B68" s="68"/>
      <c r="C68" s="68" t="str">
        <f t="shared" si="0"/>
        <v>3</v>
      </c>
      <c r="D68" s="68"/>
      <c r="E68" s="84"/>
      <c r="F68" s="68"/>
      <c r="G68" s="68"/>
      <c r="H68" s="68"/>
      <c r="I68" s="68"/>
      <c r="J68" s="68"/>
      <c r="K68" s="68"/>
      <c r="L68" s="68"/>
      <c r="M68" s="68"/>
      <c r="N68" s="68"/>
      <c r="O68" s="68"/>
      <c r="P68" s="268"/>
    </row>
    <row r="69" spans="1:16" x14ac:dyDescent="0.3">
      <c r="A69" s="268"/>
      <c r="B69" s="68"/>
      <c r="C69" s="68" t="str">
        <f t="shared" si="0"/>
        <v>3</v>
      </c>
      <c r="D69" s="68"/>
      <c r="E69" s="84"/>
      <c r="F69" s="68"/>
      <c r="G69" s="68"/>
      <c r="H69" s="68"/>
      <c r="I69" s="68"/>
      <c r="J69" s="68"/>
      <c r="K69" s="68"/>
      <c r="L69" s="68"/>
      <c r="M69" s="68"/>
      <c r="N69" s="68"/>
      <c r="O69" s="68"/>
      <c r="P69" s="268"/>
    </row>
    <row r="70" spans="1:16" x14ac:dyDescent="0.3">
      <c r="A70" s="268"/>
      <c r="B70" s="68"/>
      <c r="C70" s="68" t="str">
        <f t="shared" ref="C70:C132" si="3">IF(LEFT(RIGHT($B$1,2),1)=" ",RIGHT($B$1,1),RIGHT($B$1,2))</f>
        <v>3</v>
      </c>
      <c r="D70" s="68"/>
      <c r="E70" s="84"/>
      <c r="F70" s="68"/>
      <c r="G70" s="68"/>
      <c r="H70" s="68"/>
      <c r="I70" s="68"/>
      <c r="J70" s="68"/>
      <c r="K70" s="68"/>
      <c r="L70" s="68"/>
      <c r="M70" s="68"/>
      <c r="N70" s="68"/>
      <c r="O70" s="68"/>
      <c r="P70" s="268"/>
    </row>
    <row r="71" spans="1:16" ht="25.8" x14ac:dyDescent="0.5">
      <c r="A71" s="296"/>
      <c r="B71" s="74"/>
      <c r="C71" s="68" t="str">
        <f t="shared" si="3"/>
        <v>3</v>
      </c>
      <c r="D71" s="68">
        <f>IF(LEFT(F71,14)="Bonne pratique",D67+1,D67)</f>
        <v>5</v>
      </c>
      <c r="E71" s="84" t="str">
        <f t="shared" si="2"/>
        <v>355</v>
      </c>
      <c r="F71" s="208" t="s">
        <v>503</v>
      </c>
      <c r="G71" s="75"/>
      <c r="H71" s="205"/>
      <c r="I71" s="73"/>
      <c r="J71" s="73" t="str">
        <f>VLOOKUP(E78,BDD!$A$2:$N$567,6,FALSE)</f>
        <v xml:space="preserve">Protection  des infrastructures </v>
      </c>
      <c r="K71" s="72"/>
      <c r="L71" s="75"/>
      <c r="M71" s="75"/>
      <c r="N71" s="75"/>
      <c r="O71" s="74"/>
      <c r="P71" s="296"/>
    </row>
    <row r="72" spans="1:16" x14ac:dyDescent="0.3">
      <c r="A72" s="268"/>
      <c r="B72" s="68"/>
      <c r="C72" s="68" t="str">
        <f t="shared" si="3"/>
        <v>3</v>
      </c>
      <c r="D72" s="68">
        <f t="shared" ref="D72:D84" si="4">IF(LEFT(F72,14)="Bonne pratique",D71+1,D71)</f>
        <v>5</v>
      </c>
      <c r="E72" s="84" t="str">
        <f t="shared" si="2"/>
        <v>35</v>
      </c>
      <c r="F72" s="68"/>
      <c r="G72" s="68"/>
      <c r="H72" s="68"/>
      <c r="I72" s="68"/>
      <c r="J72" s="68"/>
      <c r="K72" s="68"/>
      <c r="L72" s="68"/>
      <c r="M72" s="68"/>
      <c r="N72" s="68"/>
      <c r="O72" s="68"/>
      <c r="P72" s="268"/>
    </row>
    <row r="73" spans="1:16" ht="18" x14ac:dyDescent="0.35">
      <c r="A73" s="297"/>
      <c r="B73" s="76"/>
      <c r="C73" s="68" t="str">
        <f t="shared" si="3"/>
        <v>3</v>
      </c>
      <c r="D73" s="68">
        <f t="shared" si="4"/>
        <v>5</v>
      </c>
      <c r="E73" s="84" t="str">
        <f t="shared" si="2"/>
        <v>35</v>
      </c>
      <c r="F73" s="76"/>
      <c r="G73" s="76"/>
      <c r="H73" s="76"/>
      <c r="I73" s="77"/>
      <c r="J73" s="207" t="str">
        <f>IFERROR(_xlfn.TEXTBEFORE(VLOOKUP(E78,BDD!$A$2:$N$567,7,FALSE)," ",30),VLOOKUP(E78,BDD!$A$2:$N$567,7,FALSE))</f>
        <v>La DSI a défini et mis en œuvre une stratégie relative à la protection des infrastructures numériques et elle en contrôle la bonne exécution.</v>
      </c>
      <c r="K73" s="77"/>
      <c r="L73" s="76"/>
      <c r="M73" s="76"/>
      <c r="N73" s="76"/>
      <c r="O73" s="76"/>
      <c r="P73" s="297"/>
    </row>
    <row r="74" spans="1:16" ht="18" x14ac:dyDescent="0.35">
      <c r="A74" s="268"/>
      <c r="B74" s="68"/>
      <c r="C74" s="68" t="str">
        <f t="shared" si="3"/>
        <v>3</v>
      </c>
      <c r="D74" s="68">
        <f t="shared" si="4"/>
        <v>5</v>
      </c>
      <c r="E74" s="84" t="str">
        <f t="shared" si="2"/>
        <v>35</v>
      </c>
      <c r="F74" s="68"/>
      <c r="G74" s="68"/>
      <c r="H74" s="68"/>
      <c r="I74" s="68"/>
      <c r="J74" s="207" t="str">
        <f>IFERROR(_xlfn.TEXTAFTER(VLOOKUP(E78,BDD!$A$2:$N$567,7,FALSE)," ",30),"")</f>
        <v/>
      </c>
      <c r="K74" s="68"/>
      <c r="L74" s="68"/>
      <c r="M74" s="68"/>
      <c r="N74" s="68"/>
      <c r="O74" s="68"/>
      <c r="P74" s="268"/>
    </row>
    <row r="75" spans="1:16" x14ac:dyDescent="0.3">
      <c r="A75" s="268"/>
      <c r="B75" s="68"/>
      <c r="C75" s="68" t="str">
        <f t="shared" si="3"/>
        <v>3</v>
      </c>
      <c r="D75" s="68">
        <f t="shared" si="4"/>
        <v>5</v>
      </c>
      <c r="E75" s="84" t="str">
        <f t="shared" si="2"/>
        <v>35</v>
      </c>
      <c r="F75" s="68"/>
      <c r="G75" s="68"/>
      <c r="H75" s="68"/>
      <c r="I75" s="68"/>
      <c r="J75" s="78"/>
      <c r="K75" s="68"/>
      <c r="L75" s="68"/>
      <c r="M75" s="619" t="s">
        <v>92</v>
      </c>
      <c r="N75" s="619"/>
      <c r="O75" s="68"/>
      <c r="P75" s="268"/>
    </row>
    <row r="76" spans="1:16" ht="33" x14ac:dyDescent="0.3">
      <c r="A76" s="268"/>
      <c r="B76" s="68"/>
      <c r="C76" s="68" t="str">
        <f t="shared" si="3"/>
        <v>3</v>
      </c>
      <c r="D76" s="68">
        <f t="shared" si="4"/>
        <v>5</v>
      </c>
      <c r="E76" s="84" t="str">
        <f t="shared" si="2"/>
        <v>35</v>
      </c>
      <c r="F76" s="93"/>
      <c r="G76" s="80" t="s">
        <v>561</v>
      </c>
      <c r="H76" s="80" t="s">
        <v>82</v>
      </c>
      <c r="I76" s="80" t="s">
        <v>83</v>
      </c>
      <c r="J76" s="80" t="s">
        <v>84</v>
      </c>
      <c r="K76" s="80" t="s">
        <v>85</v>
      </c>
      <c r="L76" s="78"/>
      <c r="M76" s="81" t="s">
        <v>86</v>
      </c>
      <c r="N76" s="82" t="s">
        <v>87</v>
      </c>
      <c r="O76" s="68"/>
      <c r="P76" s="268"/>
    </row>
    <row r="77" spans="1:16" x14ac:dyDescent="0.3">
      <c r="A77" s="268"/>
      <c r="B77" s="68"/>
      <c r="C77" s="68" t="str">
        <f t="shared" si="3"/>
        <v>3</v>
      </c>
      <c r="D77" s="68">
        <f t="shared" si="4"/>
        <v>5</v>
      </c>
      <c r="E77" s="84" t="str">
        <f t="shared" si="2"/>
        <v>35</v>
      </c>
      <c r="F77" s="68"/>
      <c r="G77" s="83"/>
      <c r="H77" s="83"/>
      <c r="I77" s="83"/>
      <c r="J77" s="68"/>
      <c r="K77" s="83"/>
      <c r="L77" s="68"/>
      <c r="M77" s="68"/>
      <c r="N77" s="68"/>
      <c r="O77" s="68"/>
      <c r="P77" s="268"/>
    </row>
    <row r="78" spans="1:16" ht="130.05000000000001" customHeight="1" x14ac:dyDescent="0.3">
      <c r="A78" s="268"/>
      <c r="B78" s="68"/>
      <c r="C78" s="68" t="str">
        <f t="shared" si="3"/>
        <v>3</v>
      </c>
      <c r="D78" s="68">
        <f t="shared" si="4"/>
        <v>5</v>
      </c>
      <c r="E78" s="84" t="str">
        <f t="shared" si="2"/>
        <v>351</v>
      </c>
      <c r="F78" s="66" t="s">
        <v>27</v>
      </c>
      <c r="G78" s="67" t="str">
        <f>IFERROR(IF(VLOOKUP($E78,BDD!$A$1:$S$567,MATCH(G$10,BDD!$A$1:$P$1,0),FALSE)=0,"",VLOOKUP($E78,BDD!$A$1:$S$567,MATCH(G$10,BDD!$A$1:$P$1,0),FALSE)),"")</f>
        <v>Pour diminuer son exposition au risque, la DSI définit des éléments de redondance pour ses infrastructures.</v>
      </c>
      <c r="H78" s="85" t="str">
        <f>IF(VLOOKUP(E78,BDD!$A$1:$S$567,15,FALSE)=0,"Critère non évalué","")</f>
        <v>Critère non évalué</v>
      </c>
      <c r="I78" s="66" t="str">
        <f>IFERROR(IF(VLOOKUP($E78,BDD!$A$1:$S$567,MATCH(I$10,BDD!$A$1:$P$1,0),FALSE)=0,"",VLOOKUP($E78,BDD!$A$1:$S$567,MATCH(I$10,BDD!$A$1:$P$1,0),FALSE)),"")</f>
        <v>N1</v>
      </c>
      <c r="J78" s="86"/>
      <c r="K78" s="67" t="str">
        <f>IFERROR(IF(VLOOKUP($E78,BDD!$A$1:$S$567,MATCH(K$10,BDD!$A$1:$P$1,0),FALSE)=0,"",VLOOKUP($E78,BDD!$A$1:$S$567,MATCH(K$10,BDD!$A$1:$P$1,0),FALSE)),"")</f>
        <v xml:space="preserve">• Cette redondance peut passer par l'intégration de solutions hybrides combinant infrastructures locales et services cloud, ou par un recours à différents fournisseurs. 
C'est généralement la première étape dans la conception d'un PRA ou d'un PCA. 
• Remarque générale : l'évaluation de la maturité dépend de la taille et du contexte business de l'organisation. </v>
      </c>
      <c r="L78" s="68"/>
      <c r="M78" s="87"/>
      <c r="N78" s="87"/>
      <c r="O78" s="68"/>
      <c r="P78" s="268"/>
    </row>
    <row r="79" spans="1:16" ht="130.05000000000001" customHeight="1" x14ac:dyDescent="0.3">
      <c r="A79" s="268"/>
      <c r="B79" s="68"/>
      <c r="C79" s="68" t="str">
        <f t="shared" si="3"/>
        <v>3</v>
      </c>
      <c r="D79" s="68">
        <f t="shared" si="4"/>
        <v>5</v>
      </c>
      <c r="E79" s="84" t="str">
        <f t="shared" si="2"/>
        <v>352</v>
      </c>
      <c r="F79" s="94" t="s">
        <v>28</v>
      </c>
      <c r="G79" s="65" t="str">
        <f>IFERROR(IF(VLOOKUP($E79,BDD!$A$1:$S$567,MATCH(G$10,BDD!$A$1:$P$1,0),FALSE)=0,"",VLOOKUP($E79,BDD!$A$1:$S$567,MATCH(G$10,BDD!$A$1:$P$1,0),FALSE)),"")</f>
        <v xml:space="preserve">La DSI définit et met en œuvre une politique de sauvegarde qui couvre l'ensemble des données de l'organisation, qu'elles soient hébergées en interne, ou en externe par un prestataire. </v>
      </c>
      <c r="H79" s="88" t="str">
        <f>IF(VLOOKUP(E79,BDD!$A$1:$S$567,15,FALSE)=0,"Critère non évalué","")</f>
        <v>Critère non évalué</v>
      </c>
      <c r="I79" s="64" t="str">
        <f>IFERROR(IF(VLOOKUP($E79,BDD!$A$1:$S$567,MATCH(I$10,BDD!$A$1:$P$1,0),FALSE)=0,"",VLOOKUP($E79,BDD!$A$1:$S$567,MATCH(I$10,BDD!$A$1:$P$1,0),FALSE)),"")</f>
        <v>N1</v>
      </c>
      <c r="J79" s="89"/>
      <c r="K79" s="65" t="str">
        <f>IFERROR(IF(VLOOKUP($E79,BDD!$A$1:$S$567,MATCH(K$10,BDD!$A$1:$P$1,0),FALSE)=0,"",VLOOKUP($E79,BDD!$A$1:$S$567,MATCH(K$10,BDD!$A$1:$P$1,0),FALSE)),"")</f>
        <v>• Cette politique inclut la fréquence des sauvegardes et tient compte des objectifs de RPO (recovery point objective ou Objectif de point de reprise) et RTO (recovery time objective ou Objectif de temps de rétablissement) ainsi que des contraintes réglementaires.
• Elle prévoit des mécanismes de protection des sauvegardes et de toutes leurs copies sur des sites externes.
Des tests de restauration sont effectués à intervalles réguliers pour vérifier l'intégrité des sauvegardes.</v>
      </c>
      <c r="L79" s="68"/>
      <c r="M79" s="90"/>
      <c r="N79" s="90"/>
      <c r="O79" s="68"/>
      <c r="P79" s="268"/>
    </row>
    <row r="80" spans="1:16" ht="130.05000000000001" customHeight="1" x14ac:dyDescent="0.3">
      <c r="A80" s="268"/>
      <c r="B80" s="68"/>
      <c r="C80" s="68" t="str">
        <f t="shared" si="3"/>
        <v>3</v>
      </c>
      <c r="D80" s="68">
        <f t="shared" si="4"/>
        <v>5</v>
      </c>
      <c r="E80" s="84" t="str">
        <f t="shared" si="2"/>
        <v>353</v>
      </c>
      <c r="F80" s="66" t="s">
        <v>30</v>
      </c>
      <c r="G80" s="67" t="str">
        <f>IFERROR(IF(VLOOKUP($E80,BDD!$A$1:$S$567,MATCH(G$10,BDD!$A$1:$P$1,0),FALSE)=0,"",VLOOKUP($E80,BDD!$A$1:$S$567,MATCH(G$10,BDD!$A$1:$P$1,0),FALSE)),"")</f>
        <v>Un plan de reprise d'activité informatique est défini, mis en œuvre et testé.</v>
      </c>
      <c r="H80" s="85" t="str">
        <f>IF(VLOOKUP(E80,BDD!$A$1:$S$567,15,FALSE)=0,"Critère non évalué","")</f>
        <v>Critère non évalué</v>
      </c>
      <c r="I80" s="66" t="str">
        <f>IFERROR(IF(VLOOKUP($E80,BDD!$A$1:$S$567,MATCH(I$10,BDD!$A$1:$P$1,0),FALSE)=0,"",VLOOKUP($E80,BDD!$A$1:$S$567,MATCH(I$10,BDD!$A$1:$P$1,0),FALSE)),"")</f>
        <v>N2</v>
      </c>
      <c r="J80" s="86"/>
      <c r="K80" s="67" t="str">
        <f>IFERROR(IF(VLOOKUP($E80,BDD!$A$1:$S$567,MATCH(K$10,BDD!$A$1:$P$1,0),FALSE)=0,"",VLOOKUP($E80,BDD!$A$1:$S$567,MATCH(K$10,BDD!$A$1:$P$1,0),FALSE)),"")</f>
        <v/>
      </c>
      <c r="L80" s="68"/>
      <c r="M80" s="87"/>
      <c r="N80" s="87"/>
      <c r="O80" s="68"/>
      <c r="P80" s="268"/>
    </row>
    <row r="81" spans="1:16" ht="130.05000000000001" customHeight="1" x14ac:dyDescent="0.3">
      <c r="A81" s="268"/>
      <c r="B81" s="68"/>
      <c r="C81" s="68" t="str">
        <f t="shared" si="3"/>
        <v>3</v>
      </c>
      <c r="D81" s="68">
        <f t="shared" si="4"/>
        <v>5</v>
      </c>
      <c r="E81" s="84" t="str">
        <f t="shared" si="2"/>
        <v>354</v>
      </c>
      <c r="F81" s="64" t="s">
        <v>32</v>
      </c>
      <c r="G81" s="65" t="str">
        <f>IFERROR(IF(VLOOKUP($E81,BDD!$A$1:$S$567,MATCH(G$10,BDD!$A$1:$P$1,0),FALSE)=0,"",VLOOKUP($E81,BDD!$A$1:$S$567,MATCH(G$10,BDD!$A$1:$P$1,0),FALSE)),"")</f>
        <v>Un processus de gestion de l'obsolescence permet de piloter les risques d'obsolescence des différents composants du SI. </v>
      </c>
      <c r="H81" s="88" t="str">
        <f>IF(VLOOKUP(E81,BDD!$A$1:$S$567,15,FALSE)=0,"Critère non évalué","")</f>
        <v>Critère non évalué</v>
      </c>
      <c r="I81" s="64" t="str">
        <f>IFERROR(IF(VLOOKUP($E81,BDD!$A$1:$S$567,MATCH(I$10,BDD!$A$1:$P$1,0),FALSE)=0,"",VLOOKUP($E81,BDD!$A$1:$S$567,MATCH(I$10,BDD!$A$1:$P$1,0),FALSE)),"")</f>
        <v>N2</v>
      </c>
      <c r="J81" s="91"/>
      <c r="K81" s="65" t="str">
        <f>IFERROR(IF(VLOOKUP($E81,BDD!$A$1:$S$567,MATCH(K$10,BDD!$A$1:$P$1,0),FALSE)=0,"",VLOOKUP($E81,BDD!$A$1:$S$567,MATCH(K$10,BDD!$A$1:$P$1,0),FALSE)),"")</f>
        <v>• Il prend en compte le cycle de vie des matériels et logiciels et s'appuie sur une feuille de route prévoyant le renouvellement ou la mise à jour des composants avant leur obsolescence.
• Ce processus doit prévoir un dispositif de gestion des exceptions.</v>
      </c>
      <c r="L81" s="68"/>
      <c r="M81" s="90"/>
      <c r="N81" s="90"/>
      <c r="O81" s="68"/>
      <c r="P81" s="268"/>
    </row>
    <row r="82" spans="1:16" ht="130.05000000000001" customHeight="1" x14ac:dyDescent="0.3">
      <c r="A82" s="268"/>
      <c r="B82" s="68"/>
      <c r="C82" s="68" t="str">
        <f t="shared" si="3"/>
        <v>3</v>
      </c>
      <c r="D82" s="68">
        <f t="shared" si="4"/>
        <v>5</v>
      </c>
      <c r="E82" s="84" t="str">
        <f t="shared" si="2"/>
        <v>355</v>
      </c>
      <c r="F82" s="66" t="s">
        <v>33</v>
      </c>
      <c r="G82" s="67" t="str">
        <f>IFERROR(IF(VLOOKUP($E82,BDD!$A$1:$S$567,MATCH(G$10,BDD!$A$1:$P$1,0),FALSE)=0,"",VLOOKUP($E82,BDD!$A$1:$S$567,MATCH(G$10,BDD!$A$1:$P$1,0),FALSE)),"")</f>
        <v>L'organisation a mis en place un processus de gestion des vulnérabilités permettant de détecter et de traiter les vulnérabilités.</v>
      </c>
      <c r="H82" s="85" t="str">
        <f>IF(VLOOKUP(E82,BDD!$A$1:$S$567,15,FALSE)=0,"Critère non évalué","")</f>
        <v>Critère non évalué</v>
      </c>
      <c r="I82" s="66" t="str">
        <f>IFERROR(IF(VLOOKUP($E82,BDD!$A$1:$S$567,MATCH(I$10,BDD!$A$1:$P$1,0),FALSE)=0,"",VLOOKUP($E82,BDD!$A$1:$S$567,MATCH(I$10,BDD!$A$1:$P$1,0),FALSE)),"")</f>
        <v>N1</v>
      </c>
      <c r="J82" s="86"/>
      <c r="K82" s="67" t="str">
        <f>IFERROR(IF(VLOOKUP($E82,BDD!$A$1:$S$567,MATCH(K$10,BDD!$A$1:$P$1,0),FALSE)=0,"",VLOOKUP($E82,BDD!$A$1:$S$567,MATCH(K$10,BDD!$A$1:$P$1,0),FALSE)),"")</f>
        <v>• Ce processus est lié au processus de gestion des risques, qui permettra de déterminer si une action est à mettre en œuvre ou non.
• Le processus de gestion des vulnérabilités permet de connaître les fragilités du SI, et de mettre en place des actions correctives afin de diminuer l'exposition au risque de cyber attaque.</v>
      </c>
      <c r="L82" s="68"/>
      <c r="M82" s="82"/>
      <c r="N82" s="82"/>
      <c r="O82" s="68"/>
      <c r="P82" s="268"/>
    </row>
    <row r="83" spans="1:16" ht="130.05000000000001" hidden="1" customHeight="1" x14ac:dyDescent="0.3">
      <c r="A83" s="268"/>
      <c r="B83" s="68"/>
      <c r="C83" s="68" t="str">
        <f t="shared" si="3"/>
        <v>3</v>
      </c>
      <c r="D83" s="68">
        <f t="shared" si="4"/>
        <v>5</v>
      </c>
      <c r="E83" s="84" t="str">
        <f>C83&amp;D83&amp;RIGHT(F83,1)</f>
        <v>356</v>
      </c>
      <c r="F83" s="64" t="s">
        <v>34</v>
      </c>
      <c r="G83" s="65" t="str">
        <f>IFERROR(IF(VLOOKUP($E83,BDD!$A$1:$S$567,MATCH(G$10,BDD!$A$1:$P$1,0),FALSE)=0,"",VLOOKUP($E83,BDD!$A$1:$S$567,MATCH(G$10,BDD!$A$1:$P$1,0),FALSE)),"")</f>
        <v/>
      </c>
      <c r="H83" s="88" t="str">
        <f>IF(VLOOKUP(E83,BDD!$A$1:$S$567,15,FALSE)=0,"Critère non évalué","")</f>
        <v>Critère non évalué</v>
      </c>
      <c r="I83" s="64" t="str">
        <f>IFERROR(IF(VLOOKUP($E83,BDD!$A$1:$S$567,MATCH(I$10,BDD!$A$1:$P$1,0),FALSE)=0,"",VLOOKUP($E83,BDD!$A$1:$S$567,MATCH(I$10,BDD!$A$1:$P$1,0),FALSE)),"")</f>
        <v xml:space="preserve"> </v>
      </c>
      <c r="J83" s="91"/>
      <c r="K83" s="65" t="str">
        <f>IFERROR(IF(VLOOKUP($E83,BDD!$A$1:$S$567,MATCH(K$10,BDD!$A$1:$P$1,0),FALSE)=0,"",VLOOKUP($E83,BDD!$A$1:$S$567,MATCH(K$10,BDD!$A$1:$P$1,0),FALSE)),"")</f>
        <v/>
      </c>
      <c r="L83" s="68"/>
      <c r="M83" s="90"/>
      <c r="N83" s="90"/>
      <c r="O83" s="68"/>
      <c r="P83" s="268"/>
    </row>
    <row r="84" spans="1:16" ht="130.05000000000001" hidden="1" customHeight="1" x14ac:dyDescent="0.3">
      <c r="A84" s="268"/>
      <c r="B84" s="68"/>
      <c r="C84" s="68" t="str">
        <f t="shared" si="3"/>
        <v>3</v>
      </c>
      <c r="D84" s="68">
        <f t="shared" si="4"/>
        <v>5</v>
      </c>
      <c r="E84" s="84" t="str">
        <f>C84&amp;D84&amp;RIGHT(F84,1)</f>
        <v>357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268"/>
    </row>
    <row r="85" spans="1:16" x14ac:dyDescent="0.3">
      <c r="A85" s="268"/>
      <c r="B85" s="68"/>
      <c r="C85" s="68" t="str">
        <f t="shared" si="3"/>
        <v>3</v>
      </c>
      <c r="D85" s="68"/>
      <c r="E85" s="68"/>
      <c r="F85" s="68"/>
      <c r="G85" s="68"/>
      <c r="H85" s="68"/>
      <c r="I85" s="68"/>
      <c r="J85" s="68"/>
      <c r="K85" s="68"/>
      <c r="L85" s="68"/>
      <c r="M85" s="68"/>
      <c r="N85" s="68"/>
      <c r="O85" s="68"/>
      <c r="P85" s="268"/>
    </row>
    <row r="86" spans="1:16" x14ac:dyDescent="0.3">
      <c r="A86" s="268"/>
      <c r="B86" s="68"/>
      <c r="C86" s="68" t="str">
        <f t="shared" si="3"/>
        <v>3</v>
      </c>
      <c r="D86" s="68"/>
      <c r="E86" s="68"/>
      <c r="F86" s="68"/>
      <c r="G86" s="68"/>
      <c r="H86" s="68"/>
      <c r="I86" s="68"/>
      <c r="J86" s="68"/>
      <c r="K86" s="68"/>
      <c r="L86" s="68"/>
      <c r="M86" s="68"/>
      <c r="N86" s="68"/>
      <c r="O86" s="68"/>
      <c r="P86" s="268"/>
    </row>
    <row r="87" spans="1:16" ht="25.8" x14ac:dyDescent="0.5">
      <c r="A87" s="296"/>
      <c r="B87" s="74"/>
      <c r="C87" s="68" t="str">
        <f t="shared" si="3"/>
        <v>3</v>
      </c>
      <c r="D87" s="68">
        <f>IF(LEFT(F87,14)="Bonne pratique",D83+1,D83)</f>
        <v>6</v>
      </c>
      <c r="E87" s="84" t="str">
        <f t="shared" ref="E87:E100" si="5">C87&amp;D87&amp;RIGHT(F87,1)</f>
        <v>366</v>
      </c>
      <c r="F87" s="208" t="s">
        <v>556</v>
      </c>
      <c r="G87" s="75"/>
      <c r="H87" s="205"/>
      <c r="I87" s="73"/>
      <c r="J87" s="73" t="str">
        <f>VLOOKUP(E94,BDD!$A$2:$N$567,6,FALSE)</f>
        <v>Résilience et continuité d'activité</v>
      </c>
      <c r="K87" s="72"/>
      <c r="L87" s="75"/>
      <c r="M87" s="75"/>
      <c r="N87" s="75"/>
      <c r="O87" s="74"/>
      <c r="P87" s="296"/>
    </row>
    <row r="88" spans="1:16" x14ac:dyDescent="0.3">
      <c r="A88" s="268"/>
      <c r="B88" s="68"/>
      <c r="C88" s="68" t="str">
        <f t="shared" si="3"/>
        <v>3</v>
      </c>
      <c r="D88" s="68">
        <f t="shared" ref="D88:D100" si="6">IF(LEFT(F88,14)="Bonne pratique",D87+1,D87)</f>
        <v>6</v>
      </c>
      <c r="E88" s="84" t="str">
        <f t="shared" si="5"/>
        <v>36</v>
      </c>
      <c r="F88" s="68"/>
      <c r="G88" s="68"/>
      <c r="H88" s="68"/>
      <c r="I88" s="68"/>
      <c r="J88" s="68"/>
      <c r="K88" s="68"/>
      <c r="L88" s="68"/>
      <c r="M88" s="68"/>
      <c r="N88" s="68"/>
      <c r="O88" s="68"/>
      <c r="P88" s="268"/>
    </row>
    <row r="89" spans="1:16" ht="18" x14ac:dyDescent="0.35">
      <c r="A89" s="297"/>
      <c r="B89" s="76"/>
      <c r="C89" s="68" t="str">
        <f t="shared" si="3"/>
        <v>3</v>
      </c>
      <c r="D89" s="68">
        <f t="shared" si="6"/>
        <v>6</v>
      </c>
      <c r="E89" s="84" t="str">
        <f t="shared" si="5"/>
        <v>36</v>
      </c>
      <c r="F89" s="76"/>
      <c r="G89" s="76"/>
      <c r="H89" s="76"/>
      <c r="I89" s="77"/>
      <c r="J89" s="207" t="str">
        <f>IFERROR(_xlfn.TEXTBEFORE(VLOOKUP(E94,BDD!$A$2:$N$567,7,FALSE)," ",30),VLOOKUP(E94,BDD!$A$2:$N$567,7,FALSE))</f>
        <v xml:space="preserve">L'organisation est capable de réagir, efficacement et dans les délais impartis, à des incidents majeurs ayant un impact significatif sur les métiers et sur l'activité de l'organisation. </v>
      </c>
      <c r="K89" s="77"/>
      <c r="L89" s="76"/>
      <c r="M89" s="76"/>
      <c r="N89" s="76"/>
      <c r="O89" s="76"/>
      <c r="P89" s="297"/>
    </row>
    <row r="90" spans="1:16" ht="18" x14ac:dyDescent="0.35">
      <c r="A90" s="268"/>
      <c r="B90" s="68"/>
      <c r="C90" s="68" t="str">
        <f t="shared" si="3"/>
        <v>3</v>
      </c>
      <c r="D90" s="68">
        <f t="shared" si="6"/>
        <v>6</v>
      </c>
      <c r="E90" s="84" t="str">
        <f t="shared" si="5"/>
        <v>36</v>
      </c>
      <c r="F90" s="68"/>
      <c r="G90" s="68"/>
      <c r="H90" s="68"/>
      <c r="I90" s="68"/>
      <c r="J90" s="207" t="str">
        <f>IFERROR(_xlfn.TEXTAFTER(VLOOKUP(E94,BDD!$A$2:$N$567,7,FALSE)," ",30),"")</f>
        <v/>
      </c>
      <c r="K90" s="68"/>
      <c r="L90" s="68"/>
      <c r="M90" s="68"/>
      <c r="N90" s="68"/>
      <c r="O90" s="68"/>
      <c r="P90" s="268"/>
    </row>
    <row r="91" spans="1:16" x14ac:dyDescent="0.3">
      <c r="A91" s="268"/>
      <c r="B91" s="68"/>
      <c r="C91" s="68" t="str">
        <f t="shared" si="3"/>
        <v>3</v>
      </c>
      <c r="D91" s="68">
        <f t="shared" si="6"/>
        <v>6</v>
      </c>
      <c r="E91" s="84" t="str">
        <f t="shared" si="5"/>
        <v>36</v>
      </c>
      <c r="F91" s="68"/>
      <c r="G91" s="68"/>
      <c r="H91" s="68"/>
      <c r="I91" s="68"/>
      <c r="J91" s="78"/>
      <c r="K91" s="68"/>
      <c r="L91" s="68"/>
      <c r="M91" s="619" t="s">
        <v>92</v>
      </c>
      <c r="N91" s="619"/>
      <c r="O91" s="68"/>
      <c r="P91" s="268"/>
    </row>
    <row r="92" spans="1:16" ht="33" x14ac:dyDescent="0.3">
      <c r="A92" s="268"/>
      <c r="B92" s="68"/>
      <c r="C92" s="68" t="str">
        <f t="shared" si="3"/>
        <v>3</v>
      </c>
      <c r="D92" s="68">
        <f t="shared" si="6"/>
        <v>6</v>
      </c>
      <c r="E92" s="84" t="str">
        <f t="shared" si="5"/>
        <v>36</v>
      </c>
      <c r="F92" s="93"/>
      <c r="G92" s="80" t="s">
        <v>561</v>
      </c>
      <c r="H92" s="80" t="s">
        <v>82</v>
      </c>
      <c r="I92" s="80" t="s">
        <v>83</v>
      </c>
      <c r="J92" s="80" t="s">
        <v>84</v>
      </c>
      <c r="K92" s="80" t="s">
        <v>85</v>
      </c>
      <c r="L92" s="78"/>
      <c r="M92" s="81" t="s">
        <v>86</v>
      </c>
      <c r="N92" s="82" t="s">
        <v>87</v>
      </c>
      <c r="O92" s="68"/>
      <c r="P92" s="268"/>
    </row>
    <row r="93" spans="1:16" x14ac:dyDescent="0.3">
      <c r="A93" s="268"/>
      <c r="B93" s="68"/>
      <c r="C93" s="68" t="str">
        <f t="shared" si="3"/>
        <v>3</v>
      </c>
      <c r="D93" s="68">
        <f t="shared" si="6"/>
        <v>6</v>
      </c>
      <c r="E93" s="84" t="str">
        <f t="shared" si="5"/>
        <v>36</v>
      </c>
      <c r="F93" s="68"/>
      <c r="G93" s="83"/>
      <c r="H93" s="83"/>
      <c r="I93" s="83"/>
      <c r="J93" s="68"/>
      <c r="K93" s="83"/>
      <c r="L93" s="68"/>
      <c r="M93" s="68"/>
      <c r="N93" s="68"/>
      <c r="O93" s="68"/>
      <c r="P93" s="268"/>
    </row>
    <row r="94" spans="1:16" ht="130.05000000000001" customHeight="1" x14ac:dyDescent="0.3">
      <c r="A94" s="268"/>
      <c r="B94" s="68"/>
      <c r="C94" s="68" t="str">
        <f t="shared" si="3"/>
        <v>3</v>
      </c>
      <c r="D94" s="68">
        <f t="shared" si="6"/>
        <v>6</v>
      </c>
      <c r="E94" s="84" t="str">
        <f t="shared" si="5"/>
        <v>361</v>
      </c>
      <c r="F94" s="66" t="s">
        <v>27</v>
      </c>
      <c r="G94" s="67" t="str">
        <f>IFERROR(IF(VLOOKUP($E94,BDD!$A$1:$S$567,MATCH(G$10,BDD!$A$1:$P$1,0),FALSE)=0,"",VLOOKUP($E94,BDD!$A$1:$S$567,MATCH(G$10,BDD!$A$1:$P$1,0),FALSE)),"")</f>
        <v>Un plan de continuité informatique est prévu ; il intègre le plan de reprise après sinistre (PRAS) et un plan de continuité des opérations informatiques. </v>
      </c>
      <c r="H94" s="85" t="str">
        <f>IF(VLOOKUP(E94,BDD!$A$1:$S$567,15,FALSE)=0,"Critère non évalué","")</f>
        <v>Critère non évalué</v>
      </c>
      <c r="I94" s="66" t="str">
        <f>IFERROR(IF(VLOOKUP($E94,BDD!$A$1:$S$567,MATCH(I$10,BDD!$A$1:$P$1,0),FALSE)=0,"",VLOOKUP($E94,BDD!$A$1:$S$567,MATCH(I$10,BDD!$A$1:$P$1,0),FALSE)),"")</f>
        <v>N1</v>
      </c>
      <c r="J94" s="86"/>
      <c r="K94" s="67" t="str">
        <f>IFERROR(IF(VLOOKUP($E94,BDD!$A$1:$S$567,MATCH(K$10,BDD!$A$1:$P$1,0),FALSE)=0,"",VLOOKUP($E94,BDD!$A$1:$S$567,MATCH(K$10,BDD!$A$1:$P$1,0),FALSE)),"")</f>
        <v/>
      </c>
      <c r="L94" s="68"/>
      <c r="M94" s="87"/>
      <c r="N94" s="87"/>
      <c r="O94" s="68"/>
      <c r="P94" s="268"/>
    </row>
    <row r="95" spans="1:16" ht="147.6" customHeight="1" x14ac:dyDescent="0.3">
      <c r="A95" s="268"/>
      <c r="B95" s="68"/>
      <c r="C95" s="68" t="str">
        <f t="shared" si="3"/>
        <v>3</v>
      </c>
      <c r="D95" s="68">
        <f t="shared" si="6"/>
        <v>6</v>
      </c>
      <c r="E95" s="84" t="str">
        <f t="shared" si="5"/>
        <v>362</v>
      </c>
      <c r="F95" s="94" t="s">
        <v>28</v>
      </c>
      <c r="G95" s="65" t="str">
        <f>IFERROR(IF(VLOOKUP($E95,BDD!$A$1:$S$567,MATCH(G$10,BDD!$A$1:$P$1,0),FALSE)=0,"",VLOOKUP($E95,BDD!$A$1:$S$567,MATCH(G$10,BDD!$A$1:$P$1,0),FALSE)),"")</f>
        <v>Le plan de gestion de crise est formalisé et maintenu en condition opérationnelle. Il doit être associé au plan de continuité d’activité et au plan de reprise d’activité (PCA/PRA). Les conditions de déclenchement et de sortie du plan de gestion de crise sont définies et validées en fonction du type d’événements ou d’incidents. Des indicateurs précis doivent être (si possible) associés à ces conditions.</v>
      </c>
      <c r="H95" s="88" t="str">
        <f>IF(VLOOKUP(E95,BDD!$A$1:$S$567,15,FALSE)=0,"Critère non évalué","")</f>
        <v>Critère non évalué</v>
      </c>
      <c r="I95" s="64" t="str">
        <f>IFERROR(IF(VLOOKUP($E95,BDD!$A$1:$S$567,MATCH(I$10,BDD!$A$1:$P$1,0),FALSE)=0,"",VLOOKUP($E95,BDD!$A$1:$S$567,MATCH(I$10,BDD!$A$1:$P$1,0),FALSE)),"")</f>
        <v>N3</v>
      </c>
      <c r="J95" s="89"/>
      <c r="K95" s="65" t="str">
        <f>IFERROR(IF(VLOOKUP($E95,BDD!$A$1:$S$567,MATCH(K$10,BDD!$A$1:$P$1,0),FALSE)=0,"",VLOOKUP($E95,BDD!$A$1:$S$567,MATCH(K$10,BDD!$A$1:$P$1,0),FALSE)),"")</f>
        <v/>
      </c>
      <c r="L95" s="68"/>
      <c r="M95" s="90"/>
      <c r="N95" s="90"/>
      <c r="O95" s="68"/>
      <c r="P95" s="268"/>
    </row>
    <row r="96" spans="1:16" ht="130.05000000000001" customHeight="1" x14ac:dyDescent="0.3">
      <c r="A96" s="268"/>
      <c r="B96" s="68"/>
      <c r="C96" s="68" t="str">
        <f t="shared" si="3"/>
        <v>3</v>
      </c>
      <c r="D96" s="68">
        <f t="shared" si="6"/>
        <v>6</v>
      </c>
      <c r="E96" s="84" t="str">
        <f t="shared" si="5"/>
        <v>363</v>
      </c>
      <c r="F96" s="66" t="s">
        <v>30</v>
      </c>
      <c r="G96" s="67" t="str">
        <f>IFERROR(IF(VLOOKUP($E96,BDD!$A$1:$S$567,MATCH(G$10,BDD!$A$1:$P$1,0),FALSE)=0,"",VLOOKUP($E96,BDD!$A$1:$S$567,MATCH(G$10,BDD!$A$1:$P$1,0),FALSE)),"")</f>
        <v>Les scénarios de gestion de crise sont définis, validés et régulièrement testés. </v>
      </c>
      <c r="H96" s="85" t="str">
        <f>IF(VLOOKUP(E96,BDD!$A$1:$S$567,15,FALSE)=0,"Critère non évalué","")</f>
        <v>Critère non évalué</v>
      </c>
      <c r="I96" s="66" t="str">
        <f>IFERROR(IF(VLOOKUP($E96,BDD!$A$1:$S$567,MATCH(I$10,BDD!$A$1:$P$1,0),FALSE)=0,"",VLOOKUP($E96,BDD!$A$1:$S$567,MATCH(I$10,BDD!$A$1:$P$1,0),FALSE)),"")</f>
        <v>N4</v>
      </c>
      <c r="J96" s="86"/>
      <c r="K96" s="67" t="str">
        <f>IFERROR(IF(VLOOKUP($E96,BDD!$A$1:$S$567,MATCH(K$10,BDD!$A$1:$P$1,0),FALSE)=0,"",VLOOKUP($E96,BDD!$A$1:$S$567,MATCH(K$10,BDD!$A$1:$P$1,0),FALSE)),"")</f>
        <v>• Les tests incluent les éléments liés à la conformité.</v>
      </c>
      <c r="L96" s="68"/>
      <c r="M96" s="87"/>
      <c r="N96" s="87"/>
      <c r="O96" s="68"/>
      <c r="P96" s="268"/>
    </row>
    <row r="97" spans="1:16" ht="130.05000000000001" customHeight="1" x14ac:dyDescent="0.3">
      <c r="A97" s="268"/>
      <c r="B97" s="68"/>
      <c r="C97" s="68" t="str">
        <f t="shared" si="3"/>
        <v>3</v>
      </c>
      <c r="D97" s="68">
        <f t="shared" si="6"/>
        <v>6</v>
      </c>
      <c r="E97" s="84" t="str">
        <f t="shared" si="5"/>
        <v>364</v>
      </c>
      <c r="F97" s="64" t="s">
        <v>32</v>
      </c>
      <c r="G97" s="65" t="str">
        <f>IFERROR(IF(VLOOKUP($E97,BDD!$A$1:$S$567,MATCH(G$10,BDD!$A$1:$P$1,0),FALSE)=0,"",VLOOKUP($E97,BDD!$A$1:$S$567,MATCH(G$10,BDD!$A$1:$P$1,0),FALSE)),"")</f>
        <v>Les tests de ces scénarios ainsi que les incidents majeurs donnent lieu à des retours d'expérience, à des bilans et à des plans d'amélioration partagés et communiqués.</v>
      </c>
      <c r="H97" s="88" t="str">
        <f>IF(VLOOKUP(E97,BDD!$A$1:$S$567,15,FALSE)=0,"Critère non évalué","")</f>
        <v>Critère non évalué</v>
      </c>
      <c r="I97" s="64" t="str">
        <f>IFERROR(IF(VLOOKUP($E97,BDD!$A$1:$S$567,MATCH(I$10,BDD!$A$1:$P$1,0),FALSE)=0,"",VLOOKUP($E97,BDD!$A$1:$S$567,MATCH(I$10,BDD!$A$1:$P$1,0),FALSE)),"")</f>
        <v>N5</v>
      </c>
      <c r="J97" s="91"/>
      <c r="K97" s="65" t="str">
        <f>IFERROR(IF(VLOOKUP($E97,BDD!$A$1:$S$567,MATCH(K$10,BDD!$A$1:$P$1,0),FALSE)=0,"",VLOOKUP($E97,BDD!$A$1:$S$567,MATCH(K$10,BDD!$A$1:$P$1,0),FALSE)),"")</f>
        <v/>
      </c>
      <c r="L97" s="68"/>
      <c r="M97" s="90"/>
      <c r="N97" s="90"/>
      <c r="O97" s="68"/>
      <c r="P97" s="268"/>
    </row>
    <row r="98" spans="1:16" ht="130.05000000000001" customHeight="1" x14ac:dyDescent="0.3">
      <c r="A98" s="268"/>
      <c r="B98" s="68"/>
      <c r="C98" s="68" t="str">
        <f t="shared" si="3"/>
        <v>3</v>
      </c>
      <c r="D98" s="68">
        <f t="shared" si="6"/>
        <v>6</v>
      </c>
      <c r="E98" s="84" t="str">
        <f t="shared" si="5"/>
        <v>365</v>
      </c>
      <c r="F98" s="66" t="s">
        <v>33</v>
      </c>
      <c r="G98" s="67" t="str">
        <f>IFERROR(IF(VLOOKUP($E98,BDD!$A$1:$S$567,MATCH(G$10,BDD!$A$1:$P$1,0),FALSE)=0,"",VLOOKUP($E98,BDD!$A$1:$S$567,MATCH(G$10,BDD!$A$1:$P$1,0),FALSE)),"")</f>
        <v>La composante numérique du plan de continuité d'activité est définie, mise en œuvre et testée régulièrement.</v>
      </c>
      <c r="H98" s="85" t="str">
        <f>IF(VLOOKUP(E98,BDD!$A$1:$S$567,15,FALSE)=0,"Critère non évalué","")</f>
        <v>Critère non évalué</v>
      </c>
      <c r="I98" s="66" t="str">
        <f>IFERROR(IF(VLOOKUP($E98,BDD!$A$1:$S$567,MATCH(I$10,BDD!$A$1:$P$1,0),FALSE)=0,"",VLOOKUP($E98,BDD!$A$1:$S$567,MATCH(I$10,BDD!$A$1:$P$1,0),FALSE)),"")</f>
        <v>N5</v>
      </c>
      <c r="J98" s="86"/>
      <c r="K98" s="67" t="str">
        <f>IFERROR(IF(VLOOKUP($E98,BDD!$A$1:$S$567,MATCH(K$10,BDD!$A$1:$P$1,0),FALSE)=0,"",VLOOKUP($E98,BDD!$A$1:$S$567,MATCH(K$10,BDD!$A$1:$P$1,0),FALSE)),"")</f>
        <v xml:space="preserve">• La composante numérique du PCA est élaborée sur la base de la cartographie des risques.
• Elle tient compte des risques de non-conformité réglementaire acceptables par l'organisation. </v>
      </c>
      <c r="L98" s="68"/>
      <c r="M98" s="82"/>
      <c r="N98" s="82"/>
      <c r="O98" s="68"/>
      <c r="P98" s="268"/>
    </row>
    <row r="99" spans="1:16" ht="130.05000000000001" hidden="1" customHeight="1" x14ac:dyDescent="0.3">
      <c r="A99" s="268"/>
      <c r="B99" s="68"/>
      <c r="C99" s="68" t="str">
        <f t="shared" si="3"/>
        <v>3</v>
      </c>
      <c r="D99" s="68">
        <f t="shared" si="6"/>
        <v>6</v>
      </c>
      <c r="E99" s="84" t="str">
        <f t="shared" si="5"/>
        <v>366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xml:space="preserve"> </v>
      </c>
      <c r="J99" s="91"/>
      <c r="K99" s="65" t="str">
        <f>IFERROR(IF(VLOOKUP($E99,BDD!$A$1:$S$567,MATCH(K$10,BDD!$A$1:$P$1,0),FALSE)=0,"",VLOOKUP($E99,BDD!$A$1:$S$567,MATCH(K$10,BDD!$A$1:$P$1,0),FALSE)),"")</f>
        <v/>
      </c>
      <c r="L99" s="68"/>
      <c r="M99" s="90"/>
      <c r="N99" s="90"/>
      <c r="O99" s="68"/>
      <c r="P99" s="268"/>
    </row>
    <row r="100" spans="1:16" ht="130.05000000000001" hidden="1" customHeight="1" x14ac:dyDescent="0.3">
      <c r="A100" s="268"/>
      <c r="B100" s="68"/>
      <c r="C100" s="68" t="str">
        <f t="shared" si="3"/>
        <v>3</v>
      </c>
      <c r="D100" s="68">
        <f t="shared" si="6"/>
        <v>6</v>
      </c>
      <c r="E100" s="84" t="str">
        <f t="shared" si="5"/>
        <v>367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xml:space="preserve"> </v>
      </c>
      <c r="J100" s="86"/>
      <c r="K100" s="67" t="str">
        <f>IFERROR(IF(VLOOKUP($E100,BDD!$A$1:$S$567,MATCH(K$10,BDD!$A$1:$P$1,0),FALSE)=0,"",VLOOKUP($E100,BDD!$A$1:$S$567,MATCH(K$10,BDD!$A$1:$P$1,0),FALSE)),"")</f>
        <v/>
      </c>
      <c r="L100" s="68"/>
      <c r="M100" s="82"/>
      <c r="N100" s="82"/>
      <c r="O100" s="68"/>
      <c r="P100" s="268"/>
    </row>
    <row r="101" spans="1:16" x14ac:dyDescent="0.3">
      <c r="A101" s="268"/>
      <c r="B101" s="68"/>
      <c r="C101" s="68" t="str">
        <f t="shared" si="3"/>
        <v>3</v>
      </c>
      <c r="D101" s="68"/>
      <c r="E101" s="68"/>
      <c r="F101" s="68"/>
      <c r="G101" s="68"/>
      <c r="H101" s="68"/>
      <c r="I101" s="68"/>
      <c r="J101" s="68"/>
      <c r="K101" s="68"/>
      <c r="L101" s="68"/>
      <c r="M101" s="68"/>
      <c r="N101" s="68"/>
      <c r="O101" s="68"/>
      <c r="P101" s="268"/>
    </row>
    <row r="102" spans="1:16" x14ac:dyDescent="0.3">
      <c r="A102" s="268"/>
      <c r="B102" s="68"/>
      <c r="C102" s="68" t="str">
        <f t="shared" si="3"/>
        <v>3</v>
      </c>
      <c r="D102" s="68"/>
      <c r="E102" s="68"/>
      <c r="F102" s="68"/>
      <c r="G102" s="68"/>
      <c r="H102" s="68"/>
      <c r="I102" s="68"/>
      <c r="J102" s="68"/>
      <c r="K102" s="68"/>
      <c r="L102" s="68"/>
      <c r="M102" s="68"/>
      <c r="N102" s="68"/>
      <c r="O102" s="68"/>
      <c r="P102" s="268"/>
    </row>
    <row r="103" spans="1:16" ht="25.8" x14ac:dyDescent="0.5">
      <c r="A103" s="296"/>
      <c r="B103" s="74"/>
      <c r="C103" s="68" t="str">
        <f t="shared" si="3"/>
        <v>3</v>
      </c>
      <c r="D103" s="68">
        <f>IF(LEFT(F103,14)="Bonne pratique",D99+1,D99)</f>
        <v>7</v>
      </c>
      <c r="E103" s="84" t="str">
        <f t="shared" ref="E103:E114" si="7">C103&amp;D103&amp;RIGHT(F103,1)</f>
        <v>377</v>
      </c>
      <c r="F103" s="208" t="s">
        <v>557</v>
      </c>
      <c r="G103" s="75"/>
      <c r="H103" s="205"/>
      <c r="I103" s="73"/>
      <c r="J103" s="73" t="str">
        <f>VLOOKUP(E110,BDD!$A$2:$N$567,6,FALSE)</f>
        <v>Protection des données</v>
      </c>
      <c r="K103" s="72"/>
      <c r="L103" s="75"/>
      <c r="M103" s="75"/>
      <c r="N103" s="75"/>
      <c r="O103" s="74"/>
      <c r="P103" s="296"/>
    </row>
    <row r="104" spans="1:16" x14ac:dyDescent="0.3">
      <c r="A104" s="268"/>
      <c r="B104" s="68"/>
      <c r="C104" s="68" t="str">
        <f t="shared" si="3"/>
        <v>3</v>
      </c>
      <c r="D104" s="68">
        <f t="shared" ref="D104:D114" si="8">IF(LEFT(F104,14)="Bonne pratique",D103+1,D103)</f>
        <v>7</v>
      </c>
      <c r="E104" s="84" t="str">
        <f t="shared" si="7"/>
        <v>37</v>
      </c>
      <c r="F104" s="68"/>
      <c r="G104" s="68"/>
      <c r="H104" s="68"/>
      <c r="I104" s="68"/>
      <c r="J104" s="68"/>
      <c r="K104" s="68"/>
      <c r="L104" s="68"/>
      <c r="M104" s="68"/>
      <c r="N104" s="68"/>
      <c r="O104" s="68"/>
      <c r="P104" s="268"/>
    </row>
    <row r="105" spans="1:16" ht="18" x14ac:dyDescent="0.35">
      <c r="A105" s="297"/>
      <c r="B105" s="76"/>
      <c r="C105" s="68" t="str">
        <f t="shared" si="3"/>
        <v>3</v>
      </c>
      <c r="D105" s="68">
        <f t="shared" si="8"/>
        <v>7</v>
      </c>
      <c r="E105" s="84" t="str">
        <f t="shared" si="7"/>
        <v>37</v>
      </c>
      <c r="F105" s="76"/>
      <c r="G105" s="76"/>
      <c r="H105" s="76"/>
      <c r="I105" s="77"/>
      <c r="J105" s="207" t="str">
        <f>IFERROR(_xlfn.TEXTBEFORE(VLOOKUP(E110,BDD!$A$2:$N$567,7,FALSE)," ",30),VLOOKUP(E110,BDD!$A$2:$N$567,7,FALSE))</f>
        <v xml:space="preserve">Les données de l'organisation sont protégées avec un niveau de sécurité adapté et leur qualité permet d'alimenter sans risque les systèmes numériques. </v>
      </c>
      <c r="K105" s="77"/>
      <c r="L105" s="76"/>
      <c r="M105" s="76"/>
      <c r="N105" s="76"/>
      <c r="O105" s="76"/>
      <c r="P105" s="297"/>
    </row>
    <row r="106" spans="1:16" ht="18" x14ac:dyDescent="0.35">
      <c r="A106" s="268"/>
      <c r="B106" s="68"/>
      <c r="C106" s="68" t="str">
        <f t="shared" si="3"/>
        <v>3</v>
      </c>
      <c r="D106" s="68">
        <f t="shared" si="8"/>
        <v>7</v>
      </c>
      <c r="E106" s="84" t="str">
        <f t="shared" si="7"/>
        <v>37</v>
      </c>
      <c r="F106" s="68"/>
      <c r="G106" s="68"/>
      <c r="H106" s="68"/>
      <c r="I106" s="68"/>
      <c r="J106" s="207" t="str">
        <f>IFERROR(_xlfn.TEXTAFTER(VLOOKUP(E110,BDD!$A$2:$N$567,7,FALSE)," ",30),"")</f>
        <v/>
      </c>
      <c r="K106" s="68"/>
      <c r="L106" s="68"/>
      <c r="M106" s="68"/>
      <c r="N106" s="68"/>
      <c r="O106" s="68"/>
      <c r="P106" s="268"/>
    </row>
    <row r="107" spans="1:16" x14ac:dyDescent="0.3">
      <c r="A107" s="268"/>
      <c r="B107" s="68"/>
      <c r="C107" s="68" t="str">
        <f t="shared" si="3"/>
        <v>3</v>
      </c>
      <c r="D107" s="68">
        <f t="shared" si="8"/>
        <v>7</v>
      </c>
      <c r="E107" s="84" t="str">
        <f t="shared" si="7"/>
        <v>37</v>
      </c>
      <c r="F107" s="68"/>
      <c r="G107" s="68"/>
      <c r="H107" s="68"/>
      <c r="I107" s="68"/>
      <c r="J107" s="78"/>
      <c r="K107" s="68"/>
      <c r="L107" s="68"/>
      <c r="M107" s="619" t="s">
        <v>92</v>
      </c>
      <c r="N107" s="619"/>
      <c r="O107" s="68"/>
      <c r="P107" s="268"/>
    </row>
    <row r="108" spans="1:16" ht="33" x14ac:dyDescent="0.3">
      <c r="A108" s="268"/>
      <c r="B108" s="68"/>
      <c r="C108" s="68" t="str">
        <f t="shared" si="3"/>
        <v>3</v>
      </c>
      <c r="D108" s="68">
        <f t="shared" si="8"/>
        <v>7</v>
      </c>
      <c r="E108" s="84" t="str">
        <f t="shared" si="7"/>
        <v>37</v>
      </c>
      <c r="F108" s="93"/>
      <c r="G108" s="80" t="s">
        <v>561</v>
      </c>
      <c r="H108" s="80" t="s">
        <v>82</v>
      </c>
      <c r="I108" s="80" t="s">
        <v>83</v>
      </c>
      <c r="J108" s="80" t="s">
        <v>84</v>
      </c>
      <c r="K108" s="80" t="s">
        <v>85</v>
      </c>
      <c r="L108" s="78"/>
      <c r="M108" s="81" t="s">
        <v>86</v>
      </c>
      <c r="N108" s="82" t="s">
        <v>87</v>
      </c>
      <c r="O108" s="68"/>
      <c r="P108" s="268"/>
    </row>
    <row r="109" spans="1:16" x14ac:dyDescent="0.3">
      <c r="A109" s="268"/>
      <c r="B109" s="68"/>
      <c r="C109" s="68" t="str">
        <f t="shared" si="3"/>
        <v>3</v>
      </c>
      <c r="D109" s="68">
        <f t="shared" si="8"/>
        <v>7</v>
      </c>
      <c r="E109" s="84" t="str">
        <f t="shared" si="7"/>
        <v>37</v>
      </c>
      <c r="F109" s="68"/>
      <c r="G109" s="83"/>
      <c r="H109" s="83"/>
      <c r="I109" s="83"/>
      <c r="J109" s="68"/>
      <c r="K109" s="83"/>
      <c r="L109" s="68"/>
      <c r="M109" s="68"/>
      <c r="N109" s="68"/>
      <c r="O109" s="68"/>
      <c r="P109" s="268"/>
    </row>
    <row r="110" spans="1:16" ht="130.05000000000001" customHeight="1" x14ac:dyDescent="0.3">
      <c r="A110" s="268"/>
      <c r="B110" s="68"/>
      <c r="C110" s="68" t="str">
        <f t="shared" si="3"/>
        <v>3</v>
      </c>
      <c r="D110" s="68">
        <f t="shared" si="8"/>
        <v>7</v>
      </c>
      <c r="E110" s="84" t="str">
        <f t="shared" si="7"/>
        <v>371</v>
      </c>
      <c r="F110" s="66" t="s">
        <v>27</v>
      </c>
      <c r="G110" s="67" t="str">
        <f>IFERROR(IF(VLOOKUP($E110,BDD!$A$1:$S$567,MATCH(G$10,BDD!$A$1:$P$1,0),FALSE)=0,"",VLOOKUP($E110,BDD!$A$1:$S$567,MATCH(G$10,BDD!$A$1:$P$1,0),FALSE)),"")</f>
        <v>L’organisation a défini une liste des « données clés » avec la DSI et les métiers. </v>
      </c>
      <c r="H110" s="85" t="str">
        <f>IF(VLOOKUP(E110,BDD!$A$1:$S$567,15,FALSE)=0,"Critère non évalué","")</f>
        <v>Critère non évalué</v>
      </c>
      <c r="I110" s="66" t="str">
        <f>IFERROR(IF(VLOOKUP($E110,BDD!$A$1:$S$567,MATCH(I$10,BDD!$A$1:$P$1,0),FALSE)=0,"",VLOOKUP($E110,BDD!$A$1:$S$567,MATCH(I$10,BDD!$A$1:$P$1,0),FALSE)),"")</f>
        <v>N1</v>
      </c>
      <c r="J110" s="86"/>
      <c r="K110" s="67" t="str">
        <f>IFERROR(IF(VLOOKUP($E110,BDD!$A$1:$S$567,MATCH(K$10,BDD!$A$1:$P$1,0),FALSE)=0,"",VLOOKUP($E110,BDD!$A$1:$S$567,MATCH(K$10,BDD!$A$1:$P$1,0),FALSE)),"")</f>
        <v xml:space="preserve">• La connaissance des données qualifiées de « sensibles » permet à l’organisation d’adapter au mieux ses dispositifs de maîtrise des risques.
• Des outils de cartographie des données ou Master Data Management (MDM) peuvent être utilisés. </v>
      </c>
      <c r="L110" s="68"/>
      <c r="M110" s="87"/>
      <c r="N110" s="87"/>
      <c r="O110" s="68"/>
      <c r="P110" s="268"/>
    </row>
    <row r="111" spans="1:16" ht="130.05000000000001" customHeight="1" x14ac:dyDescent="0.3">
      <c r="A111" s="268"/>
      <c r="B111" s="68"/>
      <c r="C111" s="68" t="str">
        <f t="shared" si="3"/>
        <v>3</v>
      </c>
      <c r="D111" s="68">
        <f t="shared" si="8"/>
        <v>7</v>
      </c>
      <c r="E111" s="84" t="str">
        <f t="shared" si="7"/>
        <v>372</v>
      </c>
      <c r="F111" s="94" t="s">
        <v>28</v>
      </c>
      <c r="G111" s="65" t="str">
        <f>IFERROR(IF(VLOOKUP($E111,BDD!$A$1:$S$567,MATCH(G$10,BDD!$A$1:$P$1,0),FALSE)=0,"",VLOOKUP($E111,BDD!$A$1:$S$567,MATCH(G$10,BDD!$A$1:$P$1,0),FALSE)),"")</f>
        <v>La DSI met en place des mesures pour protéger les données en termes de CIA (Confidentialité, Intégrité, Authenticité) dans tous les environnements qu'elle gère.</v>
      </c>
      <c r="H111" s="88" t="str">
        <f>IF(VLOOKUP(E111,BDD!$A$1:$S$567,15,FALSE)=0,"Critère non évalué","")</f>
        <v>Critère non évalué</v>
      </c>
      <c r="I111" s="64" t="str">
        <f>IFERROR(IF(VLOOKUP($E111,BDD!$A$1:$S$567,MATCH(I$10,BDD!$A$1:$P$1,0),FALSE)=0,"",VLOOKUP($E111,BDD!$A$1:$S$567,MATCH(I$10,BDD!$A$1:$P$1,0),FALSE)),"")</f>
        <v>N1</v>
      </c>
      <c r="J111" s="89"/>
      <c r="K111" s="65" t="str">
        <f>IFERROR(IF(VLOOKUP($E111,BDD!$A$1:$S$567,MATCH(K$10,BDD!$A$1:$P$1,0),FALSE)=0,"",VLOOKUP($E111,BDD!$A$1:$S$567,MATCH(K$10,BDD!$A$1:$P$1,0),FALSE)),"")</f>
        <v>• Ces mesures de protection incluent, par exemple, la gestion des habilitations pour accéder aux applications et les sauvegardes.</v>
      </c>
      <c r="L111" s="68"/>
      <c r="M111" s="90"/>
      <c r="N111" s="90"/>
      <c r="O111" s="68"/>
      <c r="P111" s="268"/>
    </row>
    <row r="112" spans="1:16" ht="130.05000000000001" customHeight="1" x14ac:dyDescent="0.3">
      <c r="A112" s="268"/>
      <c r="B112" s="68"/>
      <c r="C112" s="68" t="str">
        <f t="shared" si="3"/>
        <v>3</v>
      </c>
      <c r="D112" s="68">
        <f t="shared" si="8"/>
        <v>7</v>
      </c>
      <c r="E112" s="84" t="str">
        <f t="shared" si="7"/>
        <v>373</v>
      </c>
      <c r="F112" s="66" t="s">
        <v>30</v>
      </c>
      <c r="G112" s="67" t="str">
        <f>IFERROR(IF(VLOOKUP($E112,BDD!$A$1:$S$567,MATCH(G$10,BDD!$A$1:$P$1,0),FALSE)=0,"",VLOOKUP($E112,BDD!$A$1:$S$567,MATCH(G$10,BDD!$A$1:$P$1,0),FALSE)),"")</f>
        <v>Les mesures de protection des données comprennent des contrôles embarqués dans les applications (ou applications controls).</v>
      </c>
      <c r="H112" s="85" t="str">
        <f>IF(VLOOKUP(E112,BDD!$A$1:$S$567,15,FALSE)=0,"Critère non évalué","")</f>
        <v>Critère non évalué</v>
      </c>
      <c r="I112" s="66" t="str">
        <f>IFERROR(IF(VLOOKUP($E112,BDD!$A$1:$S$567,MATCH(I$10,BDD!$A$1:$P$1,0),FALSE)=0,"",VLOOKUP($E112,BDD!$A$1:$S$567,MATCH(I$10,BDD!$A$1:$P$1,0),FALSE)),"")</f>
        <v>N3</v>
      </c>
      <c r="J112" s="86"/>
      <c r="K112" s="67" t="str">
        <f>IFERROR(IF(VLOOKUP($E112,BDD!$A$1:$S$567,MATCH(K$10,BDD!$A$1:$P$1,0),FALSE)=0,"",VLOOKUP($E112,BDD!$A$1:$S$567,MATCH(K$10,BDD!$A$1:$P$1,0),FALSE)),"")</f>
        <v/>
      </c>
      <c r="L112" s="68"/>
      <c r="M112" s="87"/>
      <c r="N112" s="87"/>
      <c r="O112" s="68"/>
      <c r="P112" s="268"/>
    </row>
    <row r="113" spans="1:16" ht="130.05000000000001" customHeight="1" x14ac:dyDescent="0.3">
      <c r="A113" s="268"/>
      <c r="B113" s="68"/>
      <c r="C113" s="68" t="str">
        <f t="shared" si="3"/>
        <v>3</v>
      </c>
      <c r="D113" s="68">
        <f t="shared" si="8"/>
        <v>7</v>
      </c>
      <c r="E113" s="84" t="str">
        <f t="shared" si="7"/>
        <v>374</v>
      </c>
      <c r="F113" s="64" t="s">
        <v>32</v>
      </c>
      <c r="G113" s="65" t="str">
        <f>IFERROR(IF(VLOOKUP($E113,BDD!$A$1:$S$567,MATCH(G$10,BDD!$A$1:$P$1,0),FALSE)=0,"",VLOOKUP($E113,BDD!$A$1:$S$567,MATCH(G$10,BDD!$A$1:$P$1,0),FALSE)),"")</f>
        <v>En tant que propriétaire des données, le métier reste responsable des informations qu’il traite et il partage avec la DSI la responsabilité des contrôles, qu’ils soient manuels ou automatisés. </v>
      </c>
      <c r="H113" s="88" t="str">
        <f>IF(VLOOKUP(E113,BDD!$A$1:$S$567,15,FALSE)=0,"Critère non évalué","")</f>
        <v>Critère non évalué</v>
      </c>
      <c r="I113" s="64" t="str">
        <f>IFERROR(IF(VLOOKUP($E113,BDD!$A$1:$S$567,MATCH(I$10,BDD!$A$1:$P$1,0),FALSE)=0,"",VLOOKUP($E113,BDD!$A$1:$S$567,MATCH(I$10,BDD!$A$1:$P$1,0),FALSE)),"")</f>
        <v>N2</v>
      </c>
      <c r="J113" s="91"/>
      <c r="K113" s="65" t="str">
        <f>IFERROR(IF(VLOOKUP($E113,BDD!$A$1:$S$567,MATCH(K$10,BDD!$A$1:$P$1,0),FALSE)=0,"",VLOOKUP($E113,BDD!$A$1:$S$567,MATCH(K$10,BDD!$A$1:$P$1,0),FALSE)),"")</f>
        <v>• Le périmètre de responsabilité intègre les traitements liés aux données sensibles (mise en place de traces, conservation, revues périodiques des droits d’accès, etc.).</v>
      </c>
      <c r="L113" s="68"/>
      <c r="M113" s="90"/>
      <c r="N113" s="90"/>
      <c r="O113" s="68"/>
      <c r="P113" s="268"/>
    </row>
    <row r="114" spans="1:16" ht="130.05000000000001" customHeight="1" x14ac:dyDescent="0.3">
      <c r="A114" s="268"/>
      <c r="B114" s="68"/>
      <c r="C114" s="68" t="str">
        <f t="shared" si="3"/>
        <v>3</v>
      </c>
      <c r="D114" s="68">
        <f t="shared" si="8"/>
        <v>7</v>
      </c>
      <c r="E114" s="84" t="str">
        <f t="shared" si="7"/>
        <v>375</v>
      </c>
      <c r="F114" s="66" t="s">
        <v>33</v>
      </c>
      <c r="G114" s="67" t="str">
        <f>IFERROR(IF(VLOOKUP($E114,BDD!$A$1:$S$567,MATCH(G$10,BDD!$A$1:$P$1,0),FALSE)=0,"",VLOOKUP($E114,BDD!$A$1:$S$567,MATCH(G$10,BDD!$A$1:$P$1,0),FALSE)),"")</f>
        <v>Un dispositif de gouvernance et de mise en qualité des données supervise les risques liés à leurs  usages, notamment ceux engendrés par l'IA (hallucination, biais, décisions induites). Des dispositifs de suivi de la qualité des données sont utilisés.</v>
      </c>
      <c r="H114" s="85" t="str">
        <f>IF(VLOOKUP(E114,BDD!$A$1:$S$567,15,FALSE)=0,"Critère non évalué","")</f>
        <v>Critère non évalué</v>
      </c>
      <c r="I114" s="66" t="str">
        <f>IFERROR(IF(VLOOKUP($E114,BDD!$A$1:$S$567,MATCH(I$10,BDD!$A$1:$P$1,0),FALSE)=0,"",VLOOKUP($E114,BDD!$A$1:$S$567,MATCH(I$10,BDD!$A$1:$P$1,0),FALSE)),"")</f>
        <v>N3</v>
      </c>
      <c r="J114" s="86"/>
      <c r="K114" s="67" t="str">
        <f>IFERROR(IF(VLOOKUP($E114,BDD!$A$1:$S$567,MATCH(K$10,BDD!$A$1:$P$1,0),FALSE)=0,"",VLOOKUP($E114,BDD!$A$1:$S$567,MATCH(K$10,BDD!$A$1:$P$1,0),FALSE)),"")</f>
        <v/>
      </c>
      <c r="L114" s="68"/>
      <c r="M114" s="82"/>
      <c r="N114" s="82"/>
      <c r="O114" s="68"/>
      <c r="P114" s="268"/>
    </row>
    <row r="115" spans="1:16" ht="130.05000000000001" hidden="1" customHeight="1" x14ac:dyDescent="0.3">
      <c r="A115" s="268"/>
      <c r="B115" s="68"/>
      <c r="C115" s="68" t="str">
        <f t="shared" si="3"/>
        <v>3</v>
      </c>
      <c r="D115" s="68">
        <f t="shared" ref="D115:D132" si="9">IF(LEFT(F115,14)="Bonne pratique",D114+1,D114)</f>
        <v>7</v>
      </c>
      <c r="E115" s="84" t="str">
        <f t="shared" ref="E115:E132" si="10">C115&amp;D115&amp;RIGHT(F115,1)</f>
        <v>376</v>
      </c>
      <c r="F115" s="64" t="s">
        <v>34</v>
      </c>
      <c r="G115" s="65" t="str">
        <f>IFERROR(IF(VLOOKUP($E115,BDD!$A$1:$S$567,MATCH(G$10,BDD!$A$1:$P$1,0),FALSE)=0,"",VLOOKUP($E115,BDD!$A$1:$S$567,MATCH(G$10,BDD!$A$1:$P$1,0),FALSE)),"")</f>
        <v/>
      </c>
      <c r="H115" s="88" t="str">
        <f>IF(VLOOKUP(E115,BDD!$A$1:$S$567,15,FALSE)=0,"Critère non évalué","")</f>
        <v>Critère non évalué</v>
      </c>
      <c r="I115" s="64" t="str">
        <f>IFERROR(IF(VLOOKUP($E115,BDD!$A$1:$S$567,MATCH(I$10,BDD!$A$1:$P$1,0),FALSE)=0,"",VLOOKUP($E115,BDD!$A$1:$S$567,MATCH(I$10,BDD!$A$1:$P$1,0),FALSE)),"")</f>
        <v xml:space="preserve"> </v>
      </c>
      <c r="J115" s="91"/>
      <c r="K115" s="65" t="str">
        <f>IFERROR(IF(VLOOKUP($E115,BDD!$A$1:$S$567,MATCH(K$10,BDD!$A$1:$P$1,0),FALSE)=0,"",VLOOKUP($E115,BDD!$A$1:$S$567,MATCH(K$10,BDD!$A$1:$P$1,0),FALSE)),"")</f>
        <v/>
      </c>
      <c r="L115" s="68"/>
      <c r="M115" s="90"/>
      <c r="N115" s="90"/>
      <c r="O115" s="68"/>
      <c r="P115" s="268"/>
    </row>
    <row r="116" spans="1:16" ht="130.05000000000001" hidden="1" customHeight="1" x14ac:dyDescent="0.3">
      <c r="A116" s="268"/>
      <c r="B116" s="68"/>
      <c r="C116" s="68" t="str">
        <f t="shared" si="3"/>
        <v>3</v>
      </c>
      <c r="D116" s="68">
        <f t="shared" si="9"/>
        <v>7</v>
      </c>
      <c r="E116" s="84" t="str">
        <f t="shared" si="10"/>
        <v>377</v>
      </c>
      <c r="F116" s="66" t="s">
        <v>36</v>
      </c>
      <c r="G116" s="67" t="str">
        <f>IFERROR(IF(VLOOKUP($E116,BDD!$A$1:$S$567,MATCH(G$10,BDD!$A$1:$P$1,0),FALSE)=0,"",VLOOKUP($E116,BDD!$A$1:$S$567,MATCH(G$10,BDD!$A$1:$P$1,0),FALSE)),"")</f>
        <v/>
      </c>
      <c r="H116" s="85" t="str">
        <f>IF(VLOOKUP(E116,BDD!$A$1:$S$567,15,FALSE)=0,"Critère non évalué","")</f>
        <v>Critère non évalué</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68"/>
    </row>
    <row r="117" spans="1:16" x14ac:dyDescent="0.3">
      <c r="A117" s="268"/>
      <c r="B117" s="68"/>
      <c r="C117" s="68" t="str">
        <f t="shared" si="3"/>
        <v>3</v>
      </c>
      <c r="D117" s="68">
        <f t="shared" si="9"/>
        <v>7</v>
      </c>
      <c r="E117" s="84" t="str">
        <f t="shared" si="10"/>
        <v>37</v>
      </c>
      <c r="F117" s="68"/>
      <c r="G117" s="68"/>
      <c r="H117" s="68"/>
      <c r="I117" s="68"/>
      <c r="J117" s="68"/>
      <c r="K117" s="68"/>
      <c r="L117" s="68"/>
      <c r="M117" s="68"/>
      <c r="N117" s="68"/>
      <c r="O117" s="68"/>
      <c r="P117" s="268"/>
    </row>
    <row r="118" spans="1:16" x14ac:dyDescent="0.3">
      <c r="A118" s="268"/>
      <c r="B118" s="68"/>
      <c r="C118" s="68" t="str">
        <f t="shared" si="3"/>
        <v>3</v>
      </c>
      <c r="D118" s="68">
        <f t="shared" si="9"/>
        <v>7</v>
      </c>
      <c r="E118" s="84" t="str">
        <f t="shared" si="10"/>
        <v>37</v>
      </c>
      <c r="F118" s="68"/>
      <c r="G118" s="68"/>
      <c r="H118" s="68"/>
      <c r="I118" s="68"/>
      <c r="J118" s="68"/>
      <c r="K118" s="68"/>
      <c r="L118" s="68"/>
      <c r="M118" s="68"/>
      <c r="N118" s="68"/>
      <c r="O118" s="68"/>
      <c r="P118" s="268"/>
    </row>
    <row r="119" spans="1:16" ht="25.8" x14ac:dyDescent="0.5">
      <c r="A119" s="296"/>
      <c r="B119" s="74"/>
      <c r="C119" s="68" t="str">
        <f t="shared" si="3"/>
        <v>3</v>
      </c>
      <c r="D119" s="68">
        <f t="shared" si="9"/>
        <v>8</v>
      </c>
      <c r="E119" s="84" t="str">
        <f t="shared" si="10"/>
        <v>388</v>
      </c>
      <c r="F119" s="208" t="s">
        <v>640</v>
      </c>
      <c r="G119" s="75"/>
      <c r="H119" s="205"/>
      <c r="I119" s="73"/>
      <c r="J119" s="73" t="str">
        <f>VLOOKUP(E126,BDD!$A$2:$N$567,6,FALSE)</f>
        <v>Conformité</v>
      </c>
      <c r="K119" s="72"/>
      <c r="L119" s="75"/>
      <c r="M119" s="75"/>
      <c r="N119" s="75"/>
      <c r="O119" s="74"/>
      <c r="P119" s="296"/>
    </row>
    <row r="120" spans="1:16" x14ac:dyDescent="0.3">
      <c r="A120" s="268"/>
      <c r="B120" s="68"/>
      <c r="C120" s="68" t="str">
        <f t="shared" si="3"/>
        <v>3</v>
      </c>
      <c r="D120" s="68">
        <f t="shared" si="9"/>
        <v>8</v>
      </c>
      <c r="E120" s="84" t="str">
        <f t="shared" si="10"/>
        <v>38</v>
      </c>
      <c r="F120" s="68"/>
      <c r="G120" s="68"/>
      <c r="H120" s="68"/>
      <c r="I120" s="68"/>
      <c r="J120" s="68"/>
      <c r="K120" s="68"/>
      <c r="L120" s="68"/>
      <c r="M120" s="68"/>
      <c r="N120" s="68"/>
      <c r="O120" s="68"/>
      <c r="P120" s="268"/>
    </row>
    <row r="121" spans="1:16" ht="18" x14ac:dyDescent="0.35">
      <c r="A121" s="297"/>
      <c r="B121" s="76"/>
      <c r="C121" s="68" t="str">
        <f t="shared" si="3"/>
        <v>3</v>
      </c>
      <c r="D121" s="68">
        <f t="shared" si="9"/>
        <v>8</v>
      </c>
      <c r="E121" s="84" t="str">
        <f t="shared" si="10"/>
        <v>38</v>
      </c>
      <c r="F121" s="76"/>
      <c r="G121" s="76"/>
      <c r="H121" s="76"/>
      <c r="I121" s="77"/>
      <c r="J121" s="207" t="str">
        <f>IFERROR(_xlfn.TEXTBEFORE(VLOOKUP(E126,BDD!$A$2:$N$567,7,FALSE)," ",19),VLOOKUP(E126,BDD!$A$2:$N$567,7,FALSE))</f>
        <v>La DSI assure la conformité aux réglementations numériques et contribue au dispositif de gestion de la conformité réglementaire, contractuelle</v>
      </c>
      <c r="K121" s="77"/>
      <c r="L121" s="76"/>
      <c r="M121" s="76"/>
      <c r="N121" s="76"/>
      <c r="O121" s="76"/>
      <c r="P121" s="297"/>
    </row>
    <row r="122" spans="1:16" ht="18" x14ac:dyDescent="0.35">
      <c r="A122" s="268"/>
      <c r="B122" s="68"/>
      <c r="C122" s="68" t="str">
        <f t="shared" si="3"/>
        <v>3</v>
      </c>
      <c r="D122" s="68">
        <f t="shared" si="9"/>
        <v>8</v>
      </c>
      <c r="E122" s="84" t="str">
        <f t="shared" si="10"/>
        <v>38</v>
      </c>
      <c r="F122" s="68"/>
      <c r="G122" s="68"/>
      <c r="H122" s="68"/>
      <c r="I122" s="68"/>
      <c r="J122" s="207" t="str">
        <f>IFERROR(_xlfn.TEXTAFTER(VLOOKUP(E126,BDD!$A$2:$N$567,7,FALSE)," ",19),"")</f>
        <v>ainsi que la conformité aux référentiels internes de l’organisation.</v>
      </c>
      <c r="K122" s="68"/>
      <c r="L122" s="68"/>
      <c r="M122" s="68"/>
      <c r="N122" s="68"/>
      <c r="O122" s="68"/>
      <c r="P122" s="268"/>
    </row>
    <row r="123" spans="1:16" x14ac:dyDescent="0.3">
      <c r="A123" s="268"/>
      <c r="B123" s="68"/>
      <c r="C123" s="68" t="str">
        <f t="shared" si="3"/>
        <v>3</v>
      </c>
      <c r="D123" s="68">
        <f t="shared" si="9"/>
        <v>8</v>
      </c>
      <c r="E123" s="84" t="str">
        <f t="shared" si="10"/>
        <v>38</v>
      </c>
      <c r="F123" s="68"/>
      <c r="G123" s="68"/>
      <c r="H123" s="68"/>
      <c r="I123" s="68"/>
      <c r="J123" s="78"/>
      <c r="K123" s="68"/>
      <c r="L123" s="68"/>
      <c r="M123" s="619" t="s">
        <v>92</v>
      </c>
      <c r="N123" s="619"/>
      <c r="O123" s="68"/>
      <c r="P123" s="268"/>
    </row>
    <row r="124" spans="1:16" ht="33" x14ac:dyDescent="0.3">
      <c r="A124" s="268"/>
      <c r="B124" s="68"/>
      <c r="C124" s="68" t="str">
        <f t="shared" si="3"/>
        <v>3</v>
      </c>
      <c r="D124" s="68">
        <f t="shared" si="9"/>
        <v>8</v>
      </c>
      <c r="E124" s="84" t="str">
        <f t="shared" si="10"/>
        <v>38</v>
      </c>
      <c r="F124" s="93"/>
      <c r="G124" s="80" t="s">
        <v>561</v>
      </c>
      <c r="H124" s="80" t="s">
        <v>82</v>
      </c>
      <c r="I124" s="80" t="s">
        <v>83</v>
      </c>
      <c r="J124" s="80" t="s">
        <v>84</v>
      </c>
      <c r="K124" s="80" t="s">
        <v>85</v>
      </c>
      <c r="L124" s="78"/>
      <c r="M124" s="81" t="s">
        <v>86</v>
      </c>
      <c r="N124" s="82" t="s">
        <v>87</v>
      </c>
      <c r="O124" s="68"/>
      <c r="P124" s="268"/>
    </row>
    <row r="125" spans="1:16" x14ac:dyDescent="0.3">
      <c r="A125" s="268"/>
      <c r="B125" s="68"/>
      <c r="C125" s="68" t="str">
        <f t="shared" si="3"/>
        <v>3</v>
      </c>
      <c r="D125" s="68">
        <f t="shared" si="9"/>
        <v>8</v>
      </c>
      <c r="E125" s="84" t="str">
        <f t="shared" si="10"/>
        <v>38</v>
      </c>
      <c r="F125" s="68"/>
      <c r="G125" s="83"/>
      <c r="H125" s="83"/>
      <c r="I125" s="83"/>
      <c r="J125" s="68"/>
      <c r="K125" s="83"/>
      <c r="L125" s="68"/>
      <c r="M125" s="68"/>
      <c r="N125" s="68"/>
      <c r="O125" s="68"/>
      <c r="P125" s="268"/>
    </row>
    <row r="126" spans="1:16" ht="147" customHeight="1" x14ac:dyDescent="0.3">
      <c r="A126" s="268"/>
      <c r="B126" s="68"/>
      <c r="C126" s="68" t="str">
        <f t="shared" si="3"/>
        <v>3</v>
      </c>
      <c r="D126" s="68">
        <f t="shared" si="9"/>
        <v>8</v>
      </c>
      <c r="E126" s="84" t="str">
        <f t="shared" si="10"/>
        <v>381</v>
      </c>
      <c r="F126" s="66" t="s">
        <v>27</v>
      </c>
      <c r="G126" s="67" t="str">
        <f>IFERROR(IF(VLOOKUP($E126,BDD!$A$1:$S$567,MATCH(G$10,BDD!$A$1:$P$1,0),FALSE)=0,"",VLOOKUP($E126,BDD!$A$1:$S$567,MATCH(G$10,BDD!$A$1:$P$1,0),FALSE)),"")</f>
        <v>La DSI assure une veille juridique et réglementaire structurée sur son périmètre lui permettant d’identifier les réglementations applicables et leurs évolutions.</v>
      </c>
      <c r="H126" s="85" t="str">
        <f>IF(VLOOKUP(E126,BDD!$A$1:$S$567,15,FALSE)=0,"Critère non évalué","")</f>
        <v>Critère non évalué</v>
      </c>
      <c r="I126" s="66" t="str">
        <f>IFERROR(IF(VLOOKUP($E126,BDD!$A$1:$S$567,MATCH(I$10,BDD!$A$1:$P$1,0),FALSE)=0,"",VLOOKUP($E126,BDD!$A$1:$S$567,MATCH(I$10,BDD!$A$1:$P$1,0),FALSE)),"")</f>
        <v>N1</v>
      </c>
      <c r="J126" s="86"/>
      <c r="K126" s="67" t="str">
        <f>IFERROR(IF(VLOOKUP($E126,BDD!$A$1:$S$567,MATCH(K$10,BDD!$A$1:$P$1,0),FALSE)=0,"",VLOOKUP($E126,BDD!$A$1:$S$567,MATCH(K$10,BDD!$A$1:$P$1,0),FALSE)),"")</f>
        <v>• La veille est pilotée par un responsable identifié au sein de l’organisation, et s’effectue à travers un processus
documenté et contrôlé.
• Un processus d’amélioration continue permet de faire évoluer le dispositif.
• Parmi les réglementations concernées figurent les textes suivants : RGPD, CSRD, REEN, NIS, DORA, AI Act.
• Le processus prévoit notamment l’identification des sources et le maintien à jour du répertoire associé.
• Les sources peuvent être alimentées par des alertes automatiques, des scans de site,...
• Des mécanismes de remontées d’informations en interne peuvent être identifiés.</v>
      </c>
      <c r="L126" s="68"/>
      <c r="M126" s="87"/>
      <c r="N126" s="87"/>
      <c r="O126" s="68"/>
      <c r="P126" s="268"/>
    </row>
    <row r="127" spans="1:16" ht="130.05000000000001" customHeight="1" x14ac:dyDescent="0.3">
      <c r="A127" s="268"/>
      <c r="B127" s="68"/>
      <c r="C127" s="68" t="str">
        <f t="shared" si="3"/>
        <v>3</v>
      </c>
      <c r="D127" s="68">
        <f t="shared" si="9"/>
        <v>8</v>
      </c>
      <c r="E127" s="84" t="str">
        <f t="shared" si="10"/>
        <v>382</v>
      </c>
      <c r="F127" s="94" t="s">
        <v>28</v>
      </c>
      <c r="G127" s="65" t="str">
        <f>IFERROR(IF(VLOOKUP($E127,BDD!$A$1:$S$567,MATCH(G$10,BDD!$A$1:$P$1,0),FALSE)=0,"",VLOOKUP($E127,BDD!$A$1:$S$567,MATCH(G$10,BDD!$A$1:$P$1,0),FALSE)),"")</f>
        <v>Un dispositif de conformité structuré permet à la DSI de définir ses objectifs et d’évaluer les risques de nonconformité à travers une charte validée par la direction générale.</v>
      </c>
      <c r="H127" s="88" t="str">
        <f>IF(VLOOKUP(E127,BDD!$A$1:$S$567,15,FALSE)=0,"Critère non évalué","")</f>
        <v>Critère non évalué</v>
      </c>
      <c r="I127" s="64" t="str">
        <f>IFERROR(IF(VLOOKUP($E127,BDD!$A$1:$S$567,MATCH(I$10,BDD!$A$1:$P$1,0),FALSE)=0,"",VLOOKUP($E127,BDD!$A$1:$S$567,MATCH(I$10,BDD!$A$1:$P$1,0),FALSE)),"")</f>
        <v>N2</v>
      </c>
      <c r="J127" s="89"/>
      <c r="K127" s="65" t="str">
        <f>IFERROR(IF(VLOOKUP($E127,BDD!$A$1:$S$567,MATCH(K$10,BDD!$A$1:$P$1,0),FALSE)=0,"",VLOOKUP($E127,BDD!$A$1:$S$567,MATCH(K$10,BDD!$A$1:$P$1,0),FALSE)),"")</f>
        <v>• Pour bâtir cette charte de conformité, la DSI se dote de ressources identifiées, d’un socle documentaire adapté
et d’indicateurs de performance régulièrement suivis garantissant l’effectivité du dispositif.
• Le dispositif de conformité est actualisé en tenant compte des résultats de la veille et des évolutions de
l’environnement réglementaire.</v>
      </c>
      <c r="L127" s="68"/>
      <c r="M127" s="90"/>
      <c r="N127" s="90"/>
      <c r="O127" s="68"/>
      <c r="P127" s="268"/>
    </row>
    <row r="128" spans="1:16" ht="130.05000000000001" customHeight="1" x14ac:dyDescent="0.3">
      <c r="A128" s="268"/>
      <c r="B128" s="68"/>
      <c r="C128" s="68" t="str">
        <f t="shared" si="3"/>
        <v>3</v>
      </c>
      <c r="D128" s="68">
        <f t="shared" si="9"/>
        <v>8</v>
      </c>
      <c r="E128" s="84" t="str">
        <f t="shared" si="10"/>
        <v>383</v>
      </c>
      <c r="F128" s="66" t="s">
        <v>30</v>
      </c>
      <c r="G128" s="67" t="str">
        <f>IFERROR(IF(VLOOKUP($E128,BDD!$A$1:$S$567,MATCH(G$10,BDD!$A$1:$P$1,0),FALSE)=0,"",VLOOKUP($E128,BDD!$A$1:$S$567,MATCH(G$10,BDD!$A$1:$P$1,0),FALSE)),"")</f>
        <v>La DSI s’insère dans un plan structuré de communication, formation et acculturation, aligné sur les objectifs de conformité.</v>
      </c>
      <c r="H128" s="85" t="str">
        <f>IF(VLOOKUP(E128,BDD!$A$1:$S$567,15,FALSE)=0,"Critère non évalué","")</f>
        <v>Critère non évalué</v>
      </c>
      <c r="I128" s="66" t="str">
        <f>IFERROR(IF(VLOOKUP($E128,BDD!$A$1:$S$567,MATCH(I$10,BDD!$A$1:$P$1,0),FALSE)=0,"",VLOOKUP($E128,BDD!$A$1:$S$567,MATCH(I$10,BDD!$A$1:$P$1,0),FALSE)),"")</f>
        <v>N3</v>
      </c>
      <c r="J128" s="86"/>
      <c r="K128" s="67" t="str">
        <f>IFERROR(IF(VLOOKUP($E128,BDD!$A$1:$S$567,MATCH(K$10,BDD!$A$1:$P$1,0),FALSE)=0,"",VLOOKUP($E128,BDD!$A$1:$S$567,MATCH(K$10,BDD!$A$1:$P$1,0),FALSE)),"")</f>
        <v>• Ce plan est mis en oeuvre, évalué et ajusté en fonction des retours d’expérience et des évolutions réglementaires
pour garantir une montée en compétences continue.
• Le plan de formation concerne également les ressources externes (prestataires) intervenant dans l’organisation.
• Les compétences associées à la conformité figurent dans les fiches de poste des rôles concernés.</v>
      </c>
      <c r="L128" s="68"/>
      <c r="M128" s="87"/>
      <c r="N128" s="87"/>
      <c r="O128" s="68"/>
      <c r="P128" s="268"/>
    </row>
    <row r="129" spans="1:16" ht="130.05000000000001" customHeight="1" x14ac:dyDescent="0.3">
      <c r="A129" s="268"/>
      <c r="B129" s="68"/>
      <c r="C129" s="68" t="str">
        <f t="shared" si="3"/>
        <v>3</v>
      </c>
      <c r="D129" s="68">
        <f t="shared" si="9"/>
        <v>8</v>
      </c>
      <c r="E129" s="84" t="str">
        <f t="shared" si="10"/>
        <v>384</v>
      </c>
      <c r="F129" s="64" t="s">
        <v>32</v>
      </c>
      <c r="G129" s="65" t="str">
        <f>IFERROR(IF(VLOOKUP($E129,BDD!$A$1:$S$567,MATCH(G$10,BDD!$A$1:$P$1,0),FALSE)=0,"",VLOOKUP($E129,BDD!$A$1:$S$567,MATCH(G$10,BDD!$A$1:$P$1,0),FALSE)),"")</f>
        <v>La DSI identifie les écarts de conformité, elle les corrige et documente ses actions.</v>
      </c>
      <c r="H129" s="88" t="str">
        <f>IF(VLOOKUP(E129,BDD!$A$1:$S$567,15,FALSE)=0,"Critère non évalué","")</f>
        <v>Critère non évalué</v>
      </c>
      <c r="I129" s="64" t="str">
        <f>IFERROR(IF(VLOOKUP($E129,BDD!$A$1:$S$567,MATCH(I$10,BDD!$A$1:$P$1,0),FALSE)=0,"",VLOOKUP($E129,BDD!$A$1:$S$567,MATCH(I$10,BDD!$A$1:$P$1,0),FALSE)),"")</f>
        <v>N2</v>
      </c>
      <c r="J129" s="91"/>
      <c r="K129" s="65" t="str">
        <f>IFERROR(IF(VLOOKUP($E129,BDD!$A$1:$S$567,MATCH(K$10,BDD!$A$1:$P$1,0),FALSE)=0,"",VLOOKUP($E129,BDD!$A$1:$S$567,MATCH(K$10,BDD!$A$1:$P$1,0),FALSE)),"")</f>
        <v>• Elle s’inscrit dans le programme de conformité de l’organisation et réalise un bilan annuel pour ajuster son plan
en fonction des évolutions réglementaires et stratégiques.
• Les actions proposées sont évaluées et priorisées en fonction des risques associés.</v>
      </c>
      <c r="L129" s="68"/>
      <c r="M129" s="90"/>
      <c r="N129" s="90"/>
      <c r="O129" s="68"/>
      <c r="P129" s="268"/>
    </row>
    <row r="130" spans="1:16" ht="130.05000000000001" customHeight="1" x14ac:dyDescent="0.3">
      <c r="A130" s="268"/>
      <c r="B130" s="68"/>
      <c r="C130" s="68" t="str">
        <f t="shared" si="3"/>
        <v>3</v>
      </c>
      <c r="D130" s="68">
        <f t="shared" si="9"/>
        <v>8</v>
      </c>
      <c r="E130" s="84" t="str">
        <f t="shared" si="10"/>
        <v>385</v>
      </c>
      <c r="F130" s="66" t="s">
        <v>33</v>
      </c>
      <c r="G130" s="67" t="str">
        <f>IFERROR(IF(VLOOKUP($E130,BDD!$A$1:$S$567,MATCH(G$10,BDD!$A$1:$P$1,0),FALSE)=0,"",VLOOKUP($E130,BDD!$A$1:$S$567,MATCH(G$10,BDD!$A$1:$P$1,0),FALSE)),"")</f>
        <v>Les exigences de conformité sont prises en compte dès la conception des solutions (compliance by design).</v>
      </c>
      <c r="H130" s="85" t="str">
        <f>IF(VLOOKUP(E130,BDD!$A$1:$S$567,15,FALSE)=0,"Critère non évalué","")</f>
        <v>Critère non évalué</v>
      </c>
      <c r="I130" s="66" t="str">
        <f>IFERROR(IF(VLOOKUP($E130,BDD!$A$1:$S$567,MATCH(I$10,BDD!$A$1:$P$1,0),FALSE)=0,"",VLOOKUP($E130,BDD!$A$1:$S$567,MATCH(I$10,BDD!$A$1:$P$1,0),FALSE)),"")</f>
        <v>N3</v>
      </c>
      <c r="J130" s="86"/>
      <c r="K130" s="67" t="str">
        <f>IFERROR(IF(VLOOKUP($E130,BDD!$A$1:$S$567,MATCH(K$10,BDD!$A$1:$P$1,0),FALSE)=0,"",VLOOKUP($E130,BDD!$A$1:$S$567,MATCH(K$10,BDD!$A$1:$P$1,0),FALSE)),"")</f>
        <v/>
      </c>
      <c r="L130" s="68"/>
      <c r="M130" s="82"/>
      <c r="N130" s="82"/>
      <c r="O130" s="68"/>
      <c r="P130" s="268"/>
    </row>
    <row r="131" spans="1:16" ht="130.05000000000001" customHeight="1" x14ac:dyDescent="0.3">
      <c r="A131" s="268"/>
      <c r="B131" s="68"/>
      <c r="C131" s="68" t="str">
        <f t="shared" si="3"/>
        <v>3</v>
      </c>
      <c r="D131" s="68">
        <f t="shared" si="9"/>
        <v>8</v>
      </c>
      <c r="E131" s="84" t="str">
        <f t="shared" si="10"/>
        <v>386</v>
      </c>
      <c r="F131" s="64" t="s">
        <v>34</v>
      </c>
      <c r="G131" s="65" t="str">
        <f>IFERROR(IF(VLOOKUP($E131,BDD!$A$1:$S$567,MATCH(G$10,BDD!$A$1:$P$1,0),FALSE)=0,"",VLOOKUP($E131,BDD!$A$1:$S$567,MATCH(G$10,BDD!$A$1:$P$1,0),FALSE)),"")</f>
        <v>La DSI a défini un plan de contrôle de la conformité structuré, basé sur l’analyse des risques numériques et prenant en compte les dysfonctionnements potentiels. Ce plan inclut notamment la gestion des tierces parties (par exemple, les fournisseurs de cloud).</v>
      </c>
      <c r="H131" s="92" t="str">
        <f>IF(VLOOKUP(E131,BDD!$A$1:$S$567,15,FALSE)=0,"Critère non évalué","")</f>
        <v>Critère non évalué</v>
      </c>
      <c r="I131" s="64" t="str">
        <f>IFERROR(IF(VLOOKUP($E131,BDD!$A$1:$S$567,MATCH(I$10,BDD!$A$1:$P$1,0),FALSE)=0,"",VLOOKUP($E131,BDD!$A$1:$S$567,MATCH(I$10,BDD!$A$1:$P$1,0),FALSE)),"")</f>
        <v>N4</v>
      </c>
      <c r="J131" s="89"/>
      <c r="K131" s="65" t="str">
        <f>IFERROR(IF(VLOOKUP($E131,BDD!$A$1:$S$567,MATCH(K$10,BDD!$A$1:$P$1,0),FALSE)=0,"",VLOOKUP($E131,BDD!$A$1:$S$567,MATCH(K$10,BDD!$A$1:$P$1,0),FALSE)),"")</f>
        <v>• Le plan est déployé, suivi et réévalué régulièrement, avec une communication des résultats et un pilotage des
actions correctives.
• Il prévoit le cas échéant de faire appel à des ressources externes pour une évaluation indépendante (audit,
benchmark,...).</v>
      </c>
      <c r="L131" s="68"/>
      <c r="M131" s="90"/>
      <c r="N131" s="90"/>
      <c r="O131" s="68"/>
      <c r="P131" s="268"/>
    </row>
    <row r="132" spans="1:16" ht="129.6" customHeight="1" x14ac:dyDescent="0.3">
      <c r="A132" s="268"/>
      <c r="B132" s="68"/>
      <c r="C132" s="68" t="str">
        <f t="shared" si="3"/>
        <v>3</v>
      </c>
      <c r="D132" s="68">
        <f t="shared" si="9"/>
        <v>8</v>
      </c>
      <c r="E132" s="84" t="str">
        <f t="shared" si="10"/>
        <v>387</v>
      </c>
      <c r="F132" s="66" t="s">
        <v>36</v>
      </c>
      <c r="G132" s="67" t="str">
        <f>IFERROR(IF(VLOOKUP($E132,BDD!$A$1:$S$567,MATCH(G$10,BDD!$A$1:$P$1,0),FALSE)=0,"",VLOOKUP($E132,BDD!$A$1:$S$567,MATCH(G$10,BDD!$A$1:$P$1,0),FALSE)),"")</f>
        <v>Le dispositif de conformité de la DSI assure une communication régulière sur ses risques et valide les reportings réglementaires avant diffusion interne et externe.</v>
      </c>
      <c r="H132" s="85" t="str">
        <f>IF(VLOOKUP(E132,BDD!$A$1:$S$567,15,FALSE)=0,"Critère non évalué","")</f>
        <v>Critère non évalué</v>
      </c>
      <c r="I132" s="66" t="str">
        <f>IFERROR(IF(VLOOKUP($E132,BDD!$A$1:$S$567,MATCH(I$10,BDD!$A$1:$P$1,0),FALSE)=0,"",VLOOKUP($E132,BDD!$A$1:$S$567,MATCH(I$10,BDD!$A$1:$P$1,0),FALSE)),"")</f>
        <v>N3</v>
      </c>
      <c r="J132" s="86"/>
      <c r="K132" s="67" t="str">
        <f>IFERROR(IF(VLOOKUP($E132,BDD!$A$1:$S$567,MATCH(K$10,BDD!$A$1:$P$1,0),FALSE)=0,"",VLOOKUP($E132,BDD!$A$1:$S$567,MATCH(K$10,BDD!$A$1:$P$1,0),FALSE)),"")</f>
        <v>• Les reportings ont pour objectif de comprendre le profil de risques de l’organisation et de prendre les décisions
appropriées
• Un processus de communication de crise, conforme aux réglementations, est appliqué, par exemple, en cas de
fuite de données.</v>
      </c>
      <c r="L132" s="68"/>
      <c r="M132" s="82"/>
      <c r="N132" s="82"/>
      <c r="O132" s="68"/>
      <c r="P132" s="268"/>
    </row>
    <row r="133" spans="1:16" x14ac:dyDescent="0.3">
      <c r="A133" s="268"/>
      <c r="B133" s="68"/>
      <c r="C133" s="68"/>
      <c r="D133" s="68"/>
      <c r="E133" s="68"/>
      <c r="F133" s="68"/>
      <c r="G133" s="68"/>
      <c r="H133" s="68"/>
      <c r="I133" s="68"/>
      <c r="J133" s="68"/>
      <c r="K133" s="68"/>
      <c r="L133" s="68"/>
      <c r="M133" s="68"/>
      <c r="N133" s="68"/>
      <c r="O133" s="68"/>
      <c r="P133" s="268"/>
    </row>
    <row r="134" spans="1:16" x14ac:dyDescent="0.3">
      <c r="A134" s="268"/>
      <c r="B134" s="68"/>
      <c r="C134" s="68"/>
      <c r="D134" s="68"/>
      <c r="E134" s="68"/>
      <c r="F134" s="68"/>
      <c r="G134" s="68"/>
      <c r="H134" s="68"/>
      <c r="I134" s="68"/>
      <c r="J134" s="68"/>
      <c r="K134" s="68"/>
      <c r="L134" s="68"/>
      <c r="M134" s="68"/>
      <c r="N134" s="68"/>
      <c r="O134" s="68"/>
      <c r="P134" s="268"/>
    </row>
    <row r="135" spans="1:16" x14ac:dyDescent="0.3">
      <c r="A135" s="268" t="s">
        <v>164</v>
      </c>
      <c r="B135" s="268"/>
      <c r="C135" s="268"/>
      <c r="D135" s="268"/>
      <c r="E135" s="268"/>
      <c r="F135" s="268"/>
      <c r="G135" s="268"/>
      <c r="H135" s="268"/>
      <c r="I135" s="268"/>
      <c r="J135" s="268"/>
      <c r="K135" s="268"/>
      <c r="L135" s="268"/>
      <c r="M135" s="268"/>
      <c r="N135" s="268"/>
      <c r="O135" s="268"/>
      <c r="P135" s="268" t="s">
        <v>164</v>
      </c>
    </row>
  </sheetData>
  <sheetProtection algorithmName="SHA-512" hashValue="9bmrHkjTyxtZRR9idedEDkMmhaJqL4pSmgrvH9Be/KHQFyojgoIUROuzfPypWlQNxxdRDzHDk7FchYu9oF9Gcg==" saltValue="FiLtLcmc3mGsN6cNmn+8vw=="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8">
    <mergeCell ref="M123:N123"/>
    <mergeCell ref="M107:N107"/>
    <mergeCell ref="M9:N9"/>
    <mergeCell ref="M25:N25"/>
    <mergeCell ref="M41:N41"/>
    <mergeCell ref="M57:N57"/>
    <mergeCell ref="M75:N75"/>
    <mergeCell ref="M91:N91"/>
  </mergeCells>
  <hyperlinks>
    <hyperlink ref="F13" location="V2Quest!A1" display="(Cf. Vecteur 2 - Innovation)" xr:uid="{963F93ED-0716-4D92-9D38-8F8B60170FFF}"/>
    <hyperlink ref="F29" location="V2Quest!A1" display="(Cf. Vecteur 2 - Innovation)" xr:uid="{1F70C590-ECB9-4093-91C5-F591483FA3FA}"/>
    <hyperlink ref="F45" location="V2Quest!A1" display="(Cf. Vecteur 2 - Innovation)" xr:uid="{B61E3E3B-636B-4582-A59E-4625102F902D}"/>
    <hyperlink ref="F61" location="V2Quest!A1" display="(Cf. Vecteur 2 - Innovation)" xr:uid="{4DA8789C-2E0E-4BDE-8E7E-2585B910D601}"/>
    <hyperlink ref="F79" location="V2Quest!A1" display="(Cf. Vecteur 2 - Innovation)" xr:uid="{2A659FCA-A9FD-497C-9F67-699501591627}"/>
    <hyperlink ref="F95" location="V2Quest!A1" display="(Cf. Vecteur 2 - Innovation)" xr:uid="{22EEC4D7-50F8-4B13-9A48-BE408BD19135}"/>
    <hyperlink ref="F111" location="V2Quest!A1" display="(Cf. Vecteur 2 - Innovation)" xr:uid="{C57216D4-CA95-4F93-BDAD-30F3ECAC5D35}"/>
    <hyperlink ref="F127" location="V2Quest!A1" display="(Cf. Vecteur 2 - Innovation)" xr:uid="{B940C69A-577F-42D5-A9F5-F4B86B3FC95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1665" r:id="rId3" name="Option Button 1">
              <controlPr defaultSize="0" autoFill="0" autoLine="0" autoPict="0">
                <anchor moveWithCells="1">
                  <from>
                    <xdr:col>7</xdr:col>
                    <xdr:colOff>114300</xdr:colOff>
                    <xdr:row>12</xdr:row>
                    <xdr:rowOff>175260</xdr:rowOff>
                  </from>
                  <to>
                    <xdr:col>7</xdr:col>
                    <xdr:colOff>1958340</xdr:colOff>
                    <xdr:row>12</xdr:row>
                    <xdr:rowOff>381000</xdr:rowOff>
                  </to>
                </anchor>
              </controlPr>
            </control>
          </mc:Choice>
        </mc:AlternateContent>
        <mc:AlternateContent xmlns:mc="http://schemas.openxmlformats.org/markup-compatibility/2006">
          <mc:Choice Requires="x14">
            <control shapeId="241666" r:id="rId4" name="Option Button 2">
              <controlPr defaultSize="0" autoFill="0" autoLine="0" autoPict="0">
                <anchor moveWithCells="1">
                  <from>
                    <xdr:col>7</xdr:col>
                    <xdr:colOff>114300</xdr:colOff>
                    <xdr:row>12</xdr:row>
                    <xdr:rowOff>472440</xdr:rowOff>
                  </from>
                  <to>
                    <xdr:col>7</xdr:col>
                    <xdr:colOff>1958340</xdr:colOff>
                    <xdr:row>12</xdr:row>
                    <xdr:rowOff>701040</xdr:rowOff>
                  </to>
                </anchor>
              </controlPr>
            </control>
          </mc:Choice>
        </mc:AlternateContent>
        <mc:AlternateContent xmlns:mc="http://schemas.openxmlformats.org/markup-compatibility/2006">
          <mc:Choice Requires="x14">
            <control shapeId="241667" r:id="rId5" name="Option Button 3">
              <controlPr defaultSize="0" autoFill="0" autoLine="0" autoPict="0">
                <anchor moveWithCells="1">
                  <from>
                    <xdr:col>7</xdr:col>
                    <xdr:colOff>114300</xdr:colOff>
                    <xdr:row>12</xdr:row>
                    <xdr:rowOff>769620</xdr:rowOff>
                  </from>
                  <to>
                    <xdr:col>7</xdr:col>
                    <xdr:colOff>1958340</xdr:colOff>
                    <xdr:row>12</xdr:row>
                    <xdr:rowOff>998220</xdr:rowOff>
                  </to>
                </anchor>
              </controlPr>
            </control>
          </mc:Choice>
        </mc:AlternateContent>
        <mc:AlternateContent xmlns:mc="http://schemas.openxmlformats.org/markup-compatibility/2006">
          <mc:Choice Requires="x14">
            <control shapeId="241668" r:id="rId6" name="Option Button 4">
              <controlPr defaultSize="0" autoFill="0" autoLine="0" autoPict="0">
                <anchor moveWithCells="1">
                  <from>
                    <xdr:col>7</xdr:col>
                    <xdr:colOff>114300</xdr:colOff>
                    <xdr:row>12</xdr:row>
                    <xdr:rowOff>1104900</xdr:rowOff>
                  </from>
                  <to>
                    <xdr:col>7</xdr:col>
                    <xdr:colOff>1958340</xdr:colOff>
                    <xdr:row>12</xdr:row>
                    <xdr:rowOff>1333500</xdr:rowOff>
                  </to>
                </anchor>
              </controlPr>
            </control>
          </mc:Choice>
        </mc:AlternateContent>
        <mc:AlternateContent xmlns:mc="http://schemas.openxmlformats.org/markup-compatibility/2006">
          <mc:Choice Requires="x14">
            <control shapeId="241669"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241671"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241672"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241673" r:id="rId10" name="Option Button 9">
              <controlPr defaultSize="0" autoFill="0" autoLine="0" autoPict="0">
                <anchor moveWithCells="1">
                  <from>
                    <xdr:col>7</xdr:col>
                    <xdr:colOff>106680</xdr:colOff>
                    <xdr:row>11</xdr:row>
                    <xdr:rowOff>304800</xdr:rowOff>
                  </from>
                  <to>
                    <xdr:col>7</xdr:col>
                    <xdr:colOff>1958340</xdr:colOff>
                    <xdr:row>11</xdr:row>
                    <xdr:rowOff>502920</xdr:rowOff>
                  </to>
                </anchor>
              </controlPr>
            </control>
          </mc:Choice>
        </mc:AlternateContent>
        <mc:AlternateContent xmlns:mc="http://schemas.openxmlformats.org/markup-compatibility/2006">
          <mc:Choice Requires="x14">
            <control shapeId="241674"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241675"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241676" r:id="rId13" name="Option Button 12">
              <controlPr defaultSize="0" autoFill="0" autoLine="0" autoPict="0">
                <anchor moveWithCells="1">
                  <from>
                    <xdr:col>7</xdr:col>
                    <xdr:colOff>114300</xdr:colOff>
                    <xdr:row>17</xdr:row>
                    <xdr:rowOff>144780</xdr:rowOff>
                  </from>
                  <to>
                    <xdr:col>7</xdr:col>
                    <xdr:colOff>1958340</xdr:colOff>
                    <xdr:row>17</xdr:row>
                    <xdr:rowOff>320040</xdr:rowOff>
                  </to>
                </anchor>
              </controlPr>
            </control>
          </mc:Choice>
        </mc:AlternateContent>
        <mc:AlternateContent xmlns:mc="http://schemas.openxmlformats.org/markup-compatibility/2006">
          <mc:Choice Requires="x14">
            <control shapeId="241677" r:id="rId14" name="Option Button 13">
              <controlPr defaultSize="0" autoFill="0" autoLine="0" autoPict="0">
                <anchor moveWithCells="1">
                  <from>
                    <xdr:col>7</xdr:col>
                    <xdr:colOff>114300</xdr:colOff>
                    <xdr:row>17</xdr:row>
                    <xdr:rowOff>396240</xdr:rowOff>
                  </from>
                  <to>
                    <xdr:col>7</xdr:col>
                    <xdr:colOff>1958340</xdr:colOff>
                    <xdr:row>17</xdr:row>
                    <xdr:rowOff>586740</xdr:rowOff>
                  </to>
                </anchor>
              </controlPr>
            </control>
          </mc:Choice>
        </mc:AlternateContent>
        <mc:AlternateContent xmlns:mc="http://schemas.openxmlformats.org/markup-compatibility/2006">
          <mc:Choice Requires="x14">
            <control shapeId="241678" r:id="rId15" name="Option Button 14">
              <controlPr defaultSize="0" autoFill="0" autoLine="0" autoPict="0">
                <anchor moveWithCells="1">
                  <from>
                    <xdr:col>7</xdr:col>
                    <xdr:colOff>114300</xdr:colOff>
                    <xdr:row>17</xdr:row>
                    <xdr:rowOff>640080</xdr:rowOff>
                  </from>
                  <to>
                    <xdr:col>7</xdr:col>
                    <xdr:colOff>1958340</xdr:colOff>
                    <xdr:row>17</xdr:row>
                    <xdr:rowOff>830580</xdr:rowOff>
                  </to>
                </anchor>
              </controlPr>
            </control>
          </mc:Choice>
        </mc:AlternateContent>
        <mc:AlternateContent xmlns:mc="http://schemas.openxmlformats.org/markup-compatibility/2006">
          <mc:Choice Requires="x14">
            <control shapeId="241679" r:id="rId16" name="Option Button 15">
              <controlPr defaultSize="0" autoFill="0" autoLine="0" autoPict="0">
                <anchor moveWithCells="1">
                  <from>
                    <xdr:col>7</xdr:col>
                    <xdr:colOff>114300</xdr:colOff>
                    <xdr:row>17</xdr:row>
                    <xdr:rowOff>922020</xdr:rowOff>
                  </from>
                  <to>
                    <xdr:col>7</xdr:col>
                    <xdr:colOff>1958340</xdr:colOff>
                    <xdr:row>17</xdr:row>
                    <xdr:rowOff>1112520</xdr:rowOff>
                  </to>
                </anchor>
              </controlPr>
            </control>
          </mc:Choice>
        </mc:AlternateContent>
        <mc:AlternateContent xmlns:mc="http://schemas.openxmlformats.org/markup-compatibility/2006">
          <mc:Choice Requires="x14">
            <control shapeId="241680" r:id="rId17" name="Group Box 16">
              <controlPr defaultSize="0" autoFill="0" autoPict="0">
                <anchor moveWithCells="1">
                  <from>
                    <xdr:col>7</xdr:col>
                    <xdr:colOff>0</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241681" r:id="rId18" name="Option Button 17">
              <controlPr defaultSize="0" autoFill="0" autoLine="0" autoPict="0" altText="Case d'option 47">
                <anchor moveWithCells="1">
                  <from>
                    <xdr:col>7</xdr:col>
                    <xdr:colOff>106680</xdr:colOff>
                    <xdr:row>16</xdr:row>
                    <xdr:rowOff>45720</xdr:rowOff>
                  </from>
                  <to>
                    <xdr:col>7</xdr:col>
                    <xdr:colOff>1501140</xdr:colOff>
                    <xdr:row>16</xdr:row>
                    <xdr:rowOff>266700</xdr:rowOff>
                  </to>
                </anchor>
              </controlPr>
            </control>
          </mc:Choice>
        </mc:AlternateContent>
        <mc:AlternateContent xmlns:mc="http://schemas.openxmlformats.org/markup-compatibility/2006">
          <mc:Choice Requires="x14">
            <control shapeId="241682" r:id="rId19" name="Option Button 18">
              <controlPr defaultSize="0" autoFill="0" autoLine="0" autoPict="0">
                <anchor moveWithCells="1">
                  <from>
                    <xdr:col>7</xdr:col>
                    <xdr:colOff>106680</xdr:colOff>
                    <xdr:row>16</xdr:row>
                    <xdr:rowOff>320040</xdr:rowOff>
                  </from>
                  <to>
                    <xdr:col>8</xdr:col>
                    <xdr:colOff>0</xdr:colOff>
                    <xdr:row>16</xdr:row>
                    <xdr:rowOff>548640</xdr:rowOff>
                  </to>
                </anchor>
              </controlPr>
            </control>
          </mc:Choice>
        </mc:AlternateContent>
        <mc:AlternateContent xmlns:mc="http://schemas.openxmlformats.org/markup-compatibility/2006">
          <mc:Choice Requires="x14">
            <control shapeId="241683" r:id="rId20" name="Option Button 19">
              <controlPr defaultSize="0" autoFill="0" autoLine="0" autoPict="0">
                <anchor moveWithCells="1">
                  <from>
                    <xdr:col>7</xdr:col>
                    <xdr:colOff>106680</xdr:colOff>
                    <xdr:row>16</xdr:row>
                    <xdr:rowOff>632460</xdr:rowOff>
                  </from>
                  <to>
                    <xdr:col>8</xdr:col>
                    <xdr:colOff>0</xdr:colOff>
                    <xdr:row>16</xdr:row>
                    <xdr:rowOff>838200</xdr:rowOff>
                  </to>
                </anchor>
              </controlPr>
            </control>
          </mc:Choice>
        </mc:AlternateContent>
        <mc:AlternateContent xmlns:mc="http://schemas.openxmlformats.org/markup-compatibility/2006">
          <mc:Choice Requires="x14">
            <control shapeId="241684" r:id="rId21" name="Option Button 20">
              <controlPr defaultSize="0" autoFill="0" autoLine="0" autoPict="0">
                <anchor moveWithCells="1">
                  <from>
                    <xdr:col>7</xdr:col>
                    <xdr:colOff>106680</xdr:colOff>
                    <xdr:row>16</xdr:row>
                    <xdr:rowOff>914400</xdr:rowOff>
                  </from>
                  <to>
                    <xdr:col>7</xdr:col>
                    <xdr:colOff>937260</xdr:colOff>
                    <xdr:row>16</xdr:row>
                    <xdr:rowOff>1127760</xdr:rowOff>
                  </to>
                </anchor>
              </controlPr>
            </control>
          </mc:Choice>
        </mc:AlternateContent>
        <mc:AlternateContent xmlns:mc="http://schemas.openxmlformats.org/markup-compatibility/2006">
          <mc:Choice Requires="x14">
            <control shapeId="241685" r:id="rId22" name="Group Box 21">
              <controlPr defaultSize="0" autoFill="0" autoPict="0">
                <anchor moveWithCells="1">
                  <from>
                    <xdr:col>7</xdr:col>
                    <xdr:colOff>0</xdr:colOff>
                    <xdr:row>16</xdr:row>
                    <xdr:rowOff>7620</xdr:rowOff>
                  </from>
                  <to>
                    <xdr:col>8</xdr:col>
                    <xdr:colOff>0</xdr:colOff>
                    <xdr:row>17</xdr:row>
                    <xdr:rowOff>7620</xdr:rowOff>
                  </to>
                </anchor>
              </controlPr>
            </control>
          </mc:Choice>
        </mc:AlternateContent>
        <mc:AlternateContent xmlns:mc="http://schemas.openxmlformats.org/markup-compatibility/2006">
          <mc:Choice Requires="x14">
            <control shapeId="241686" r:id="rId23" name="Option Button 22">
              <controlPr defaultSize="0" autoFill="0" autoLine="0" autoPict="0">
                <anchor moveWithCells="1">
                  <from>
                    <xdr:col>7</xdr:col>
                    <xdr:colOff>114300</xdr:colOff>
                    <xdr:row>15</xdr:row>
                    <xdr:rowOff>144780</xdr:rowOff>
                  </from>
                  <to>
                    <xdr:col>7</xdr:col>
                    <xdr:colOff>1958340</xdr:colOff>
                    <xdr:row>15</xdr:row>
                    <xdr:rowOff>312420</xdr:rowOff>
                  </to>
                </anchor>
              </controlPr>
            </control>
          </mc:Choice>
        </mc:AlternateContent>
        <mc:AlternateContent xmlns:mc="http://schemas.openxmlformats.org/markup-compatibility/2006">
          <mc:Choice Requires="x14">
            <control shapeId="241687" r:id="rId24" name="Option Button 23">
              <controlPr defaultSize="0" autoFill="0" autoLine="0" autoPict="0">
                <anchor moveWithCells="1">
                  <from>
                    <xdr:col>7</xdr:col>
                    <xdr:colOff>114300</xdr:colOff>
                    <xdr:row>15</xdr:row>
                    <xdr:rowOff>388620</xdr:rowOff>
                  </from>
                  <to>
                    <xdr:col>7</xdr:col>
                    <xdr:colOff>1958340</xdr:colOff>
                    <xdr:row>15</xdr:row>
                    <xdr:rowOff>579120</xdr:rowOff>
                  </to>
                </anchor>
              </controlPr>
            </control>
          </mc:Choice>
        </mc:AlternateContent>
        <mc:AlternateContent xmlns:mc="http://schemas.openxmlformats.org/markup-compatibility/2006">
          <mc:Choice Requires="x14">
            <control shapeId="241688" r:id="rId25" name="Option Button 24">
              <controlPr defaultSize="0" autoFill="0" autoLine="0" autoPict="0">
                <anchor moveWithCells="1">
                  <from>
                    <xdr:col>7</xdr:col>
                    <xdr:colOff>114300</xdr:colOff>
                    <xdr:row>15</xdr:row>
                    <xdr:rowOff>624840</xdr:rowOff>
                  </from>
                  <to>
                    <xdr:col>7</xdr:col>
                    <xdr:colOff>1958340</xdr:colOff>
                    <xdr:row>15</xdr:row>
                    <xdr:rowOff>815340</xdr:rowOff>
                  </to>
                </anchor>
              </controlPr>
            </control>
          </mc:Choice>
        </mc:AlternateContent>
        <mc:AlternateContent xmlns:mc="http://schemas.openxmlformats.org/markup-compatibility/2006">
          <mc:Choice Requires="x14">
            <control shapeId="241689" r:id="rId26" name="Option Button 25">
              <controlPr defaultSize="0" autoFill="0" autoLine="0" autoPict="0">
                <anchor moveWithCells="1">
                  <from>
                    <xdr:col>7</xdr:col>
                    <xdr:colOff>114300</xdr:colOff>
                    <xdr:row>15</xdr:row>
                    <xdr:rowOff>906780</xdr:rowOff>
                  </from>
                  <to>
                    <xdr:col>7</xdr:col>
                    <xdr:colOff>1958340</xdr:colOff>
                    <xdr:row>15</xdr:row>
                    <xdr:rowOff>1089660</xdr:rowOff>
                  </to>
                </anchor>
              </controlPr>
            </control>
          </mc:Choice>
        </mc:AlternateContent>
        <mc:AlternateContent xmlns:mc="http://schemas.openxmlformats.org/markup-compatibility/2006">
          <mc:Choice Requires="x14">
            <control shapeId="241690" r:id="rId27"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241691" r:id="rId28" name="Option Button 27">
              <controlPr defaultSize="0" autoFill="0" autoLine="0" autoPict="0" altText="Case d'option 47">
                <anchor moveWithCells="1">
                  <from>
                    <xdr:col>7</xdr:col>
                    <xdr:colOff>106680</xdr:colOff>
                    <xdr:row>14</xdr:row>
                    <xdr:rowOff>76200</xdr:rowOff>
                  </from>
                  <to>
                    <xdr:col>7</xdr:col>
                    <xdr:colOff>1501140</xdr:colOff>
                    <xdr:row>14</xdr:row>
                    <xdr:rowOff>289560</xdr:rowOff>
                  </to>
                </anchor>
              </controlPr>
            </control>
          </mc:Choice>
        </mc:AlternateContent>
        <mc:AlternateContent xmlns:mc="http://schemas.openxmlformats.org/markup-compatibility/2006">
          <mc:Choice Requires="x14">
            <control shapeId="241692" r:id="rId29" name="Option Button 28">
              <controlPr defaultSize="0" autoFill="0" autoLine="0" autoPict="0">
                <anchor moveWithCells="1">
                  <from>
                    <xdr:col>7</xdr:col>
                    <xdr:colOff>106680</xdr:colOff>
                    <xdr:row>14</xdr:row>
                    <xdr:rowOff>342900</xdr:rowOff>
                  </from>
                  <to>
                    <xdr:col>7</xdr:col>
                    <xdr:colOff>1958340</xdr:colOff>
                    <xdr:row>14</xdr:row>
                    <xdr:rowOff>563880</xdr:rowOff>
                  </to>
                </anchor>
              </controlPr>
            </control>
          </mc:Choice>
        </mc:AlternateContent>
        <mc:AlternateContent xmlns:mc="http://schemas.openxmlformats.org/markup-compatibility/2006">
          <mc:Choice Requires="x14">
            <control shapeId="241693" r:id="rId30" name="Option Button 29">
              <controlPr defaultSize="0" autoFill="0" autoLine="0" autoPict="0">
                <anchor moveWithCells="1">
                  <from>
                    <xdr:col>7</xdr:col>
                    <xdr:colOff>106680</xdr:colOff>
                    <xdr:row>14</xdr:row>
                    <xdr:rowOff>647700</xdr:rowOff>
                  </from>
                  <to>
                    <xdr:col>7</xdr:col>
                    <xdr:colOff>1958340</xdr:colOff>
                    <xdr:row>14</xdr:row>
                    <xdr:rowOff>845820</xdr:rowOff>
                  </to>
                </anchor>
              </controlPr>
            </control>
          </mc:Choice>
        </mc:AlternateContent>
        <mc:AlternateContent xmlns:mc="http://schemas.openxmlformats.org/markup-compatibility/2006">
          <mc:Choice Requires="x14">
            <control shapeId="241694" r:id="rId31" name="Option Button 30">
              <controlPr defaultSize="0" autoFill="0" autoLine="0" autoPict="0">
                <anchor moveWithCells="1">
                  <from>
                    <xdr:col>7</xdr:col>
                    <xdr:colOff>106680</xdr:colOff>
                    <xdr:row>14</xdr:row>
                    <xdr:rowOff>922020</xdr:rowOff>
                  </from>
                  <to>
                    <xdr:col>7</xdr:col>
                    <xdr:colOff>937260</xdr:colOff>
                    <xdr:row>14</xdr:row>
                    <xdr:rowOff>1127760</xdr:rowOff>
                  </to>
                </anchor>
              </controlPr>
            </control>
          </mc:Choice>
        </mc:AlternateContent>
        <mc:AlternateContent xmlns:mc="http://schemas.openxmlformats.org/markup-compatibility/2006">
          <mc:Choice Requires="x14">
            <control shapeId="241695" r:id="rId32"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241696" r:id="rId33"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241697" r:id="rId34" name="Option Button 33">
              <controlPr defaultSize="0" autoFill="0" autoLine="0" autoPict="0">
                <anchor moveWithCells="1">
                  <from>
                    <xdr:col>7</xdr:col>
                    <xdr:colOff>106680</xdr:colOff>
                    <xdr:row>13</xdr:row>
                    <xdr:rowOff>304800</xdr:rowOff>
                  </from>
                  <to>
                    <xdr:col>7</xdr:col>
                    <xdr:colOff>1958340</xdr:colOff>
                    <xdr:row>13</xdr:row>
                    <xdr:rowOff>502920</xdr:rowOff>
                  </to>
                </anchor>
              </controlPr>
            </control>
          </mc:Choice>
        </mc:AlternateContent>
        <mc:AlternateContent xmlns:mc="http://schemas.openxmlformats.org/markup-compatibility/2006">
          <mc:Choice Requires="x14">
            <control shapeId="241698" r:id="rId35" name="Option Button 34">
              <controlPr defaultSize="0" autoFill="0" autoLine="0" autoPict="0">
                <anchor moveWithCells="1">
                  <from>
                    <xdr:col>7</xdr:col>
                    <xdr:colOff>106680</xdr:colOff>
                    <xdr:row>13</xdr:row>
                    <xdr:rowOff>579120</xdr:rowOff>
                  </from>
                  <to>
                    <xdr:col>7</xdr:col>
                    <xdr:colOff>1958340</xdr:colOff>
                    <xdr:row>13</xdr:row>
                    <xdr:rowOff>754380</xdr:rowOff>
                  </to>
                </anchor>
              </controlPr>
            </control>
          </mc:Choice>
        </mc:AlternateContent>
        <mc:AlternateContent xmlns:mc="http://schemas.openxmlformats.org/markup-compatibility/2006">
          <mc:Choice Requires="x14">
            <control shapeId="241699" r:id="rId36"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241700" r:id="rId37"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241701" r:id="rId38" name="Option Button 37">
              <controlPr defaultSize="0" autoFill="0" autoLine="0" autoPict="0">
                <anchor moveWithCells="1">
                  <from>
                    <xdr:col>7</xdr:col>
                    <xdr:colOff>114300</xdr:colOff>
                    <xdr:row>28</xdr:row>
                    <xdr:rowOff>144780</xdr:rowOff>
                  </from>
                  <to>
                    <xdr:col>7</xdr:col>
                    <xdr:colOff>1958340</xdr:colOff>
                    <xdr:row>28</xdr:row>
                    <xdr:rowOff>320040</xdr:rowOff>
                  </to>
                </anchor>
              </controlPr>
            </control>
          </mc:Choice>
        </mc:AlternateContent>
        <mc:AlternateContent xmlns:mc="http://schemas.openxmlformats.org/markup-compatibility/2006">
          <mc:Choice Requires="x14">
            <control shapeId="241702" r:id="rId39" name="Option Button 38">
              <controlPr defaultSize="0" autoFill="0" autoLine="0" autoPict="0">
                <anchor moveWithCells="1">
                  <from>
                    <xdr:col>7</xdr:col>
                    <xdr:colOff>114300</xdr:colOff>
                    <xdr:row>28</xdr:row>
                    <xdr:rowOff>396240</xdr:rowOff>
                  </from>
                  <to>
                    <xdr:col>7</xdr:col>
                    <xdr:colOff>1958340</xdr:colOff>
                    <xdr:row>28</xdr:row>
                    <xdr:rowOff>586740</xdr:rowOff>
                  </to>
                </anchor>
              </controlPr>
            </control>
          </mc:Choice>
        </mc:AlternateContent>
        <mc:AlternateContent xmlns:mc="http://schemas.openxmlformats.org/markup-compatibility/2006">
          <mc:Choice Requires="x14">
            <control shapeId="241703" r:id="rId40" name="Option Button 39">
              <controlPr defaultSize="0" autoFill="0" autoLine="0" autoPict="0">
                <anchor moveWithCells="1">
                  <from>
                    <xdr:col>7</xdr:col>
                    <xdr:colOff>114300</xdr:colOff>
                    <xdr:row>28</xdr:row>
                    <xdr:rowOff>640080</xdr:rowOff>
                  </from>
                  <to>
                    <xdr:col>7</xdr:col>
                    <xdr:colOff>1958340</xdr:colOff>
                    <xdr:row>28</xdr:row>
                    <xdr:rowOff>830580</xdr:rowOff>
                  </to>
                </anchor>
              </controlPr>
            </control>
          </mc:Choice>
        </mc:AlternateContent>
        <mc:AlternateContent xmlns:mc="http://schemas.openxmlformats.org/markup-compatibility/2006">
          <mc:Choice Requires="x14">
            <control shapeId="241704" r:id="rId41" name="Option Button 40">
              <controlPr defaultSize="0" autoFill="0" autoLine="0" autoPict="0">
                <anchor moveWithCells="1">
                  <from>
                    <xdr:col>7</xdr:col>
                    <xdr:colOff>114300</xdr:colOff>
                    <xdr:row>28</xdr:row>
                    <xdr:rowOff>922020</xdr:rowOff>
                  </from>
                  <to>
                    <xdr:col>7</xdr:col>
                    <xdr:colOff>1958340</xdr:colOff>
                    <xdr:row>28</xdr:row>
                    <xdr:rowOff>1112520</xdr:rowOff>
                  </to>
                </anchor>
              </controlPr>
            </control>
          </mc:Choice>
        </mc:AlternateContent>
        <mc:AlternateContent xmlns:mc="http://schemas.openxmlformats.org/markup-compatibility/2006">
          <mc:Choice Requires="x14">
            <control shapeId="241705" r:id="rId42"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241706" r:id="rId43" name="Group Box 42">
              <controlPr defaultSize="0" autoFill="0" autoPict="0" altText="">
                <anchor moveWithCells="1">
                  <from>
                    <xdr:col>7</xdr:col>
                    <xdr:colOff>0</xdr:colOff>
                    <xdr:row>32</xdr:row>
                    <xdr:rowOff>0</xdr:rowOff>
                  </from>
                  <to>
                    <xdr:col>8</xdr:col>
                    <xdr:colOff>0</xdr:colOff>
                    <xdr:row>34</xdr:row>
                    <xdr:rowOff>0</xdr:rowOff>
                  </to>
                </anchor>
              </controlPr>
            </control>
          </mc:Choice>
        </mc:AlternateContent>
        <mc:AlternateContent xmlns:mc="http://schemas.openxmlformats.org/markup-compatibility/2006">
          <mc:Choice Requires="x14">
            <control shapeId="241707" r:id="rId44" name="Option Button 43">
              <controlPr defaultSize="0" autoFill="0" autoLine="0" autoPict="0">
                <anchor moveWithCells="1">
                  <from>
                    <xdr:col>7</xdr:col>
                    <xdr:colOff>114300</xdr:colOff>
                    <xdr:row>33</xdr:row>
                    <xdr:rowOff>144780</xdr:rowOff>
                  </from>
                  <to>
                    <xdr:col>7</xdr:col>
                    <xdr:colOff>1958340</xdr:colOff>
                    <xdr:row>33</xdr:row>
                    <xdr:rowOff>320040</xdr:rowOff>
                  </to>
                </anchor>
              </controlPr>
            </control>
          </mc:Choice>
        </mc:AlternateContent>
        <mc:AlternateContent xmlns:mc="http://schemas.openxmlformats.org/markup-compatibility/2006">
          <mc:Choice Requires="x14">
            <control shapeId="241708" r:id="rId45" name="Option Button 44">
              <controlPr defaultSize="0" autoFill="0" autoLine="0" autoPict="0">
                <anchor moveWithCells="1">
                  <from>
                    <xdr:col>7</xdr:col>
                    <xdr:colOff>114300</xdr:colOff>
                    <xdr:row>33</xdr:row>
                    <xdr:rowOff>396240</xdr:rowOff>
                  </from>
                  <to>
                    <xdr:col>7</xdr:col>
                    <xdr:colOff>1958340</xdr:colOff>
                    <xdr:row>33</xdr:row>
                    <xdr:rowOff>586740</xdr:rowOff>
                  </to>
                </anchor>
              </controlPr>
            </control>
          </mc:Choice>
        </mc:AlternateContent>
        <mc:AlternateContent xmlns:mc="http://schemas.openxmlformats.org/markup-compatibility/2006">
          <mc:Choice Requires="x14">
            <control shapeId="241709" r:id="rId46" name="Option Button 45">
              <controlPr defaultSize="0" autoFill="0" autoLine="0" autoPict="0">
                <anchor moveWithCells="1">
                  <from>
                    <xdr:col>7</xdr:col>
                    <xdr:colOff>114300</xdr:colOff>
                    <xdr:row>33</xdr:row>
                    <xdr:rowOff>640080</xdr:rowOff>
                  </from>
                  <to>
                    <xdr:col>7</xdr:col>
                    <xdr:colOff>1958340</xdr:colOff>
                    <xdr:row>33</xdr:row>
                    <xdr:rowOff>830580</xdr:rowOff>
                  </to>
                </anchor>
              </controlPr>
            </control>
          </mc:Choice>
        </mc:AlternateContent>
        <mc:AlternateContent xmlns:mc="http://schemas.openxmlformats.org/markup-compatibility/2006">
          <mc:Choice Requires="x14">
            <control shapeId="241710" r:id="rId47" name="Option Button 46">
              <controlPr defaultSize="0" autoFill="0" autoLine="0" autoPict="0">
                <anchor moveWithCells="1">
                  <from>
                    <xdr:col>7</xdr:col>
                    <xdr:colOff>114300</xdr:colOff>
                    <xdr:row>33</xdr:row>
                    <xdr:rowOff>922020</xdr:rowOff>
                  </from>
                  <to>
                    <xdr:col>7</xdr:col>
                    <xdr:colOff>1958340</xdr:colOff>
                    <xdr:row>33</xdr:row>
                    <xdr:rowOff>1112520</xdr:rowOff>
                  </to>
                </anchor>
              </controlPr>
            </control>
          </mc:Choice>
        </mc:AlternateContent>
        <mc:AlternateContent xmlns:mc="http://schemas.openxmlformats.org/markup-compatibility/2006">
          <mc:Choice Requires="x14">
            <control shapeId="241711" r:id="rId48" name="Group Box 47">
              <controlPr defaultSize="0" autoFill="0" autoPict="0">
                <anchor moveWithCells="1">
                  <from>
                    <xdr:col>7</xdr:col>
                    <xdr:colOff>0</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241712" r:id="rId49"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241713" r:id="rId50"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241714" r:id="rId51"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241715" r:id="rId52"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241716" r:id="rId53"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241717" r:id="rId54" name="Option Button 53">
              <controlPr defaultSize="0" autoFill="0" autoLine="0" autoPict="0">
                <anchor moveWithCells="1">
                  <from>
                    <xdr:col>7</xdr:col>
                    <xdr:colOff>114300</xdr:colOff>
                    <xdr:row>31</xdr:row>
                    <xdr:rowOff>144780</xdr:rowOff>
                  </from>
                  <to>
                    <xdr:col>7</xdr:col>
                    <xdr:colOff>1958340</xdr:colOff>
                    <xdr:row>31</xdr:row>
                    <xdr:rowOff>320040</xdr:rowOff>
                  </to>
                </anchor>
              </controlPr>
            </control>
          </mc:Choice>
        </mc:AlternateContent>
        <mc:AlternateContent xmlns:mc="http://schemas.openxmlformats.org/markup-compatibility/2006">
          <mc:Choice Requires="x14">
            <control shapeId="241718" r:id="rId55" name="Option Button 54">
              <controlPr defaultSize="0" autoFill="0" autoLine="0" autoPict="0">
                <anchor moveWithCells="1">
                  <from>
                    <xdr:col>7</xdr:col>
                    <xdr:colOff>114300</xdr:colOff>
                    <xdr:row>31</xdr:row>
                    <xdr:rowOff>396240</xdr:rowOff>
                  </from>
                  <to>
                    <xdr:col>7</xdr:col>
                    <xdr:colOff>1958340</xdr:colOff>
                    <xdr:row>31</xdr:row>
                    <xdr:rowOff>586740</xdr:rowOff>
                  </to>
                </anchor>
              </controlPr>
            </control>
          </mc:Choice>
        </mc:AlternateContent>
        <mc:AlternateContent xmlns:mc="http://schemas.openxmlformats.org/markup-compatibility/2006">
          <mc:Choice Requires="x14">
            <control shapeId="241719" r:id="rId56" name="Option Button 55">
              <controlPr defaultSize="0" autoFill="0" autoLine="0" autoPict="0">
                <anchor moveWithCells="1">
                  <from>
                    <xdr:col>7</xdr:col>
                    <xdr:colOff>114300</xdr:colOff>
                    <xdr:row>31</xdr:row>
                    <xdr:rowOff>640080</xdr:rowOff>
                  </from>
                  <to>
                    <xdr:col>7</xdr:col>
                    <xdr:colOff>1958340</xdr:colOff>
                    <xdr:row>31</xdr:row>
                    <xdr:rowOff>830580</xdr:rowOff>
                  </to>
                </anchor>
              </controlPr>
            </control>
          </mc:Choice>
        </mc:AlternateContent>
        <mc:AlternateContent xmlns:mc="http://schemas.openxmlformats.org/markup-compatibility/2006">
          <mc:Choice Requires="x14">
            <control shapeId="241720" r:id="rId57" name="Option Button 56">
              <controlPr defaultSize="0" autoFill="0" autoLine="0" autoPict="0">
                <anchor moveWithCells="1">
                  <from>
                    <xdr:col>7</xdr:col>
                    <xdr:colOff>114300</xdr:colOff>
                    <xdr:row>31</xdr:row>
                    <xdr:rowOff>922020</xdr:rowOff>
                  </from>
                  <to>
                    <xdr:col>7</xdr:col>
                    <xdr:colOff>1958340</xdr:colOff>
                    <xdr:row>31</xdr:row>
                    <xdr:rowOff>1112520</xdr:rowOff>
                  </to>
                </anchor>
              </controlPr>
            </control>
          </mc:Choice>
        </mc:AlternateContent>
        <mc:AlternateContent xmlns:mc="http://schemas.openxmlformats.org/markup-compatibility/2006">
          <mc:Choice Requires="x14">
            <control shapeId="241721" r:id="rId58"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241722" r:id="rId59" name="Option Button 58">
              <controlPr defaultSize="0" autoFill="0" autoLine="0" autoPict="0" altText="Case d'option 47">
                <anchor moveWithCells="1">
                  <from>
                    <xdr:col>7</xdr:col>
                    <xdr:colOff>106680</xdr:colOff>
                    <xdr:row>30</xdr:row>
                    <xdr:rowOff>99060</xdr:rowOff>
                  </from>
                  <to>
                    <xdr:col>7</xdr:col>
                    <xdr:colOff>1501140</xdr:colOff>
                    <xdr:row>30</xdr:row>
                    <xdr:rowOff>365760</xdr:rowOff>
                  </to>
                </anchor>
              </controlPr>
            </control>
          </mc:Choice>
        </mc:AlternateContent>
        <mc:AlternateContent xmlns:mc="http://schemas.openxmlformats.org/markup-compatibility/2006">
          <mc:Choice Requires="x14">
            <control shapeId="241723" r:id="rId60" name="Option Button 59">
              <controlPr defaultSize="0" autoFill="0" autoLine="0" autoPict="0">
                <anchor moveWithCells="1">
                  <from>
                    <xdr:col>7</xdr:col>
                    <xdr:colOff>106680</xdr:colOff>
                    <xdr:row>30</xdr:row>
                    <xdr:rowOff>365760</xdr:rowOff>
                  </from>
                  <to>
                    <xdr:col>7</xdr:col>
                    <xdr:colOff>1958340</xdr:colOff>
                    <xdr:row>30</xdr:row>
                    <xdr:rowOff>647700</xdr:rowOff>
                  </to>
                </anchor>
              </controlPr>
            </control>
          </mc:Choice>
        </mc:AlternateContent>
        <mc:AlternateContent xmlns:mc="http://schemas.openxmlformats.org/markup-compatibility/2006">
          <mc:Choice Requires="x14">
            <control shapeId="241724" r:id="rId61" name="Option Button 60">
              <controlPr defaultSize="0" autoFill="0" autoLine="0" autoPict="0">
                <anchor moveWithCells="1">
                  <from>
                    <xdr:col>7</xdr:col>
                    <xdr:colOff>106680</xdr:colOff>
                    <xdr:row>30</xdr:row>
                    <xdr:rowOff>647700</xdr:rowOff>
                  </from>
                  <to>
                    <xdr:col>8</xdr:col>
                    <xdr:colOff>0</xdr:colOff>
                    <xdr:row>30</xdr:row>
                    <xdr:rowOff>891540</xdr:rowOff>
                  </to>
                </anchor>
              </controlPr>
            </control>
          </mc:Choice>
        </mc:AlternateContent>
        <mc:AlternateContent xmlns:mc="http://schemas.openxmlformats.org/markup-compatibility/2006">
          <mc:Choice Requires="x14">
            <control shapeId="241725" r:id="rId62" name="Option Button 61">
              <controlPr defaultSize="0" autoFill="0" autoLine="0" autoPict="0">
                <anchor moveWithCells="1">
                  <from>
                    <xdr:col>7</xdr:col>
                    <xdr:colOff>106680</xdr:colOff>
                    <xdr:row>30</xdr:row>
                    <xdr:rowOff>891540</xdr:rowOff>
                  </from>
                  <to>
                    <xdr:col>7</xdr:col>
                    <xdr:colOff>937260</xdr:colOff>
                    <xdr:row>30</xdr:row>
                    <xdr:rowOff>1150620</xdr:rowOff>
                  </to>
                </anchor>
              </controlPr>
            </control>
          </mc:Choice>
        </mc:AlternateContent>
        <mc:AlternateContent xmlns:mc="http://schemas.openxmlformats.org/markup-compatibility/2006">
          <mc:Choice Requires="x14">
            <control shapeId="241726" r:id="rId63" name="Group Box 62">
              <controlPr defaultSize="0" autoFill="0" autoPict="0">
                <anchor moveWithCells="1">
                  <from>
                    <xdr:col>7</xdr:col>
                    <xdr:colOff>0</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241727" r:id="rId64"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241728" r:id="rId65" name="Option Button 64">
              <controlPr defaultSize="0" autoFill="0" autoLine="0" autoPict="0">
                <anchor moveWithCells="1">
                  <from>
                    <xdr:col>7</xdr:col>
                    <xdr:colOff>106680</xdr:colOff>
                    <xdr:row>29</xdr:row>
                    <xdr:rowOff>304800</xdr:rowOff>
                  </from>
                  <to>
                    <xdr:col>7</xdr:col>
                    <xdr:colOff>1958340</xdr:colOff>
                    <xdr:row>29</xdr:row>
                    <xdr:rowOff>502920</xdr:rowOff>
                  </to>
                </anchor>
              </controlPr>
            </control>
          </mc:Choice>
        </mc:AlternateContent>
        <mc:AlternateContent xmlns:mc="http://schemas.openxmlformats.org/markup-compatibility/2006">
          <mc:Choice Requires="x14">
            <control shapeId="241729" r:id="rId66"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241730" r:id="rId67"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241731" r:id="rId68"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241732" r:id="rId69"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241733" r:id="rId70" name="Option Button 69">
              <controlPr defaultSize="0" autoFill="0" autoLine="0" autoPict="0">
                <anchor moveWithCells="1">
                  <from>
                    <xdr:col>7</xdr:col>
                    <xdr:colOff>106680</xdr:colOff>
                    <xdr:row>43</xdr:row>
                    <xdr:rowOff>304800</xdr:rowOff>
                  </from>
                  <to>
                    <xdr:col>7</xdr:col>
                    <xdr:colOff>1958340</xdr:colOff>
                    <xdr:row>43</xdr:row>
                    <xdr:rowOff>502920</xdr:rowOff>
                  </to>
                </anchor>
              </controlPr>
            </control>
          </mc:Choice>
        </mc:AlternateContent>
        <mc:AlternateContent xmlns:mc="http://schemas.openxmlformats.org/markup-compatibility/2006">
          <mc:Choice Requires="x14">
            <control shapeId="241734" r:id="rId71"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241735" r:id="rId72"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241736" r:id="rId73"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241737" r:id="rId74" name="Option Button 73">
              <controlPr defaultSize="0" autoFill="0" autoLine="0" autoPict="0">
                <anchor moveWithCells="1">
                  <from>
                    <xdr:col>7</xdr:col>
                    <xdr:colOff>114300</xdr:colOff>
                    <xdr:row>44</xdr:row>
                    <xdr:rowOff>167640</xdr:rowOff>
                  </from>
                  <to>
                    <xdr:col>7</xdr:col>
                    <xdr:colOff>1958340</xdr:colOff>
                    <xdr:row>44</xdr:row>
                    <xdr:rowOff>373380</xdr:rowOff>
                  </to>
                </anchor>
              </controlPr>
            </control>
          </mc:Choice>
        </mc:AlternateContent>
        <mc:AlternateContent xmlns:mc="http://schemas.openxmlformats.org/markup-compatibility/2006">
          <mc:Choice Requires="x14">
            <control shapeId="241738" r:id="rId75" name="Option Button 74">
              <controlPr defaultSize="0" autoFill="0" autoLine="0" autoPict="0">
                <anchor moveWithCells="1">
                  <from>
                    <xdr:col>7</xdr:col>
                    <xdr:colOff>114300</xdr:colOff>
                    <xdr:row>44</xdr:row>
                    <xdr:rowOff>457200</xdr:rowOff>
                  </from>
                  <to>
                    <xdr:col>7</xdr:col>
                    <xdr:colOff>1958340</xdr:colOff>
                    <xdr:row>44</xdr:row>
                    <xdr:rowOff>678180</xdr:rowOff>
                  </to>
                </anchor>
              </controlPr>
            </control>
          </mc:Choice>
        </mc:AlternateContent>
        <mc:AlternateContent xmlns:mc="http://schemas.openxmlformats.org/markup-compatibility/2006">
          <mc:Choice Requires="x14">
            <control shapeId="241739" r:id="rId76" name="Option Button 75">
              <controlPr defaultSize="0" autoFill="0" autoLine="0" autoPict="0">
                <anchor moveWithCells="1">
                  <from>
                    <xdr:col>7</xdr:col>
                    <xdr:colOff>114300</xdr:colOff>
                    <xdr:row>44</xdr:row>
                    <xdr:rowOff>746760</xdr:rowOff>
                  </from>
                  <to>
                    <xdr:col>7</xdr:col>
                    <xdr:colOff>1958340</xdr:colOff>
                    <xdr:row>44</xdr:row>
                    <xdr:rowOff>967740</xdr:rowOff>
                  </to>
                </anchor>
              </controlPr>
            </control>
          </mc:Choice>
        </mc:AlternateContent>
        <mc:AlternateContent xmlns:mc="http://schemas.openxmlformats.org/markup-compatibility/2006">
          <mc:Choice Requires="x14">
            <control shapeId="241740" r:id="rId77" name="Option Button 76">
              <controlPr defaultSize="0" autoFill="0" autoLine="0" autoPict="0">
                <anchor moveWithCells="1">
                  <from>
                    <xdr:col>7</xdr:col>
                    <xdr:colOff>114300</xdr:colOff>
                    <xdr:row>44</xdr:row>
                    <xdr:rowOff>1074420</xdr:rowOff>
                  </from>
                  <to>
                    <xdr:col>7</xdr:col>
                    <xdr:colOff>1958340</xdr:colOff>
                    <xdr:row>44</xdr:row>
                    <xdr:rowOff>1295400</xdr:rowOff>
                  </to>
                </anchor>
              </controlPr>
            </control>
          </mc:Choice>
        </mc:AlternateContent>
        <mc:AlternateContent xmlns:mc="http://schemas.openxmlformats.org/markup-compatibility/2006">
          <mc:Choice Requires="x14">
            <control shapeId="241741" r:id="rId78"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241747" r:id="rId79"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241748" r:id="rId80" name="Option Button 84">
              <controlPr defaultSize="0" autoFill="0" autoLine="0" autoPict="0">
                <anchor moveWithCells="1">
                  <from>
                    <xdr:col>7</xdr:col>
                    <xdr:colOff>106680</xdr:colOff>
                    <xdr:row>45</xdr:row>
                    <xdr:rowOff>304800</xdr:rowOff>
                  </from>
                  <to>
                    <xdr:col>7</xdr:col>
                    <xdr:colOff>1958340</xdr:colOff>
                    <xdr:row>45</xdr:row>
                    <xdr:rowOff>502920</xdr:rowOff>
                  </to>
                </anchor>
              </controlPr>
            </control>
          </mc:Choice>
        </mc:AlternateContent>
        <mc:AlternateContent xmlns:mc="http://schemas.openxmlformats.org/markup-compatibility/2006">
          <mc:Choice Requires="x14">
            <control shapeId="241749" r:id="rId81"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241750" r:id="rId82"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241751" r:id="rId83"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241752" r:id="rId84" name="Option Button 88">
              <controlPr defaultSize="0" autoFill="0" autoLine="0" autoPict="0">
                <anchor moveWithCells="1">
                  <from>
                    <xdr:col>7</xdr:col>
                    <xdr:colOff>114300</xdr:colOff>
                    <xdr:row>60</xdr:row>
                    <xdr:rowOff>144780</xdr:rowOff>
                  </from>
                  <to>
                    <xdr:col>7</xdr:col>
                    <xdr:colOff>1958340</xdr:colOff>
                    <xdr:row>60</xdr:row>
                    <xdr:rowOff>320040</xdr:rowOff>
                  </to>
                </anchor>
              </controlPr>
            </control>
          </mc:Choice>
        </mc:AlternateContent>
        <mc:AlternateContent xmlns:mc="http://schemas.openxmlformats.org/markup-compatibility/2006">
          <mc:Choice Requires="x14">
            <control shapeId="241753" r:id="rId85" name="Option Button 89">
              <controlPr defaultSize="0" autoFill="0" autoLine="0" autoPict="0">
                <anchor moveWithCells="1">
                  <from>
                    <xdr:col>7</xdr:col>
                    <xdr:colOff>114300</xdr:colOff>
                    <xdr:row>60</xdr:row>
                    <xdr:rowOff>396240</xdr:rowOff>
                  </from>
                  <to>
                    <xdr:col>7</xdr:col>
                    <xdr:colOff>1958340</xdr:colOff>
                    <xdr:row>60</xdr:row>
                    <xdr:rowOff>586740</xdr:rowOff>
                  </to>
                </anchor>
              </controlPr>
            </control>
          </mc:Choice>
        </mc:AlternateContent>
        <mc:AlternateContent xmlns:mc="http://schemas.openxmlformats.org/markup-compatibility/2006">
          <mc:Choice Requires="x14">
            <control shapeId="241754" r:id="rId86" name="Option Button 90">
              <controlPr defaultSize="0" autoFill="0" autoLine="0" autoPict="0">
                <anchor moveWithCells="1">
                  <from>
                    <xdr:col>7</xdr:col>
                    <xdr:colOff>114300</xdr:colOff>
                    <xdr:row>60</xdr:row>
                    <xdr:rowOff>640080</xdr:rowOff>
                  </from>
                  <to>
                    <xdr:col>7</xdr:col>
                    <xdr:colOff>1958340</xdr:colOff>
                    <xdr:row>60</xdr:row>
                    <xdr:rowOff>830580</xdr:rowOff>
                  </to>
                </anchor>
              </controlPr>
            </control>
          </mc:Choice>
        </mc:AlternateContent>
        <mc:AlternateContent xmlns:mc="http://schemas.openxmlformats.org/markup-compatibility/2006">
          <mc:Choice Requires="x14">
            <control shapeId="241755" r:id="rId87" name="Option Button 91">
              <controlPr defaultSize="0" autoFill="0" autoLine="0" autoPict="0">
                <anchor moveWithCells="1">
                  <from>
                    <xdr:col>7</xdr:col>
                    <xdr:colOff>114300</xdr:colOff>
                    <xdr:row>60</xdr:row>
                    <xdr:rowOff>922020</xdr:rowOff>
                  </from>
                  <to>
                    <xdr:col>7</xdr:col>
                    <xdr:colOff>1958340</xdr:colOff>
                    <xdr:row>60</xdr:row>
                    <xdr:rowOff>1112520</xdr:rowOff>
                  </to>
                </anchor>
              </controlPr>
            </control>
          </mc:Choice>
        </mc:AlternateContent>
        <mc:AlternateContent xmlns:mc="http://schemas.openxmlformats.org/markup-compatibility/2006">
          <mc:Choice Requires="x14">
            <control shapeId="241756" r:id="rId88"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241757" r:id="rId89"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241758" r:id="rId90" name="Option Button 94">
              <controlPr defaultSize="0" autoFill="0" autoLine="0" autoPict="0">
                <anchor moveWithCells="1">
                  <from>
                    <xdr:col>7</xdr:col>
                    <xdr:colOff>106680</xdr:colOff>
                    <xdr:row>59</xdr:row>
                    <xdr:rowOff>304800</xdr:rowOff>
                  </from>
                  <to>
                    <xdr:col>7</xdr:col>
                    <xdr:colOff>1958340</xdr:colOff>
                    <xdr:row>59</xdr:row>
                    <xdr:rowOff>502920</xdr:rowOff>
                  </to>
                </anchor>
              </controlPr>
            </control>
          </mc:Choice>
        </mc:AlternateContent>
        <mc:AlternateContent xmlns:mc="http://schemas.openxmlformats.org/markup-compatibility/2006">
          <mc:Choice Requires="x14">
            <control shapeId="241759" r:id="rId91"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241760" r:id="rId92"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241761" r:id="rId93"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241762" r:id="rId94" name="Group Box 98">
              <controlPr defaultSize="0" autoFill="0" autoPict="0" altText="">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241763" r:id="rId95" name="Option Button 99">
              <controlPr defaultSize="0" autoFill="0" autoLine="0" autoPict="0">
                <anchor moveWithCells="1">
                  <from>
                    <xdr:col>7</xdr:col>
                    <xdr:colOff>114300</xdr:colOff>
                    <xdr:row>63</xdr:row>
                    <xdr:rowOff>144780</xdr:rowOff>
                  </from>
                  <to>
                    <xdr:col>7</xdr:col>
                    <xdr:colOff>1958340</xdr:colOff>
                    <xdr:row>63</xdr:row>
                    <xdr:rowOff>320040</xdr:rowOff>
                  </to>
                </anchor>
              </controlPr>
            </control>
          </mc:Choice>
        </mc:AlternateContent>
        <mc:AlternateContent xmlns:mc="http://schemas.openxmlformats.org/markup-compatibility/2006">
          <mc:Choice Requires="x14">
            <control shapeId="241764" r:id="rId96" name="Option Button 100">
              <controlPr defaultSize="0" autoFill="0" autoLine="0" autoPict="0">
                <anchor moveWithCells="1">
                  <from>
                    <xdr:col>7</xdr:col>
                    <xdr:colOff>114300</xdr:colOff>
                    <xdr:row>63</xdr:row>
                    <xdr:rowOff>396240</xdr:rowOff>
                  </from>
                  <to>
                    <xdr:col>7</xdr:col>
                    <xdr:colOff>1958340</xdr:colOff>
                    <xdr:row>63</xdr:row>
                    <xdr:rowOff>586740</xdr:rowOff>
                  </to>
                </anchor>
              </controlPr>
            </control>
          </mc:Choice>
        </mc:AlternateContent>
        <mc:AlternateContent xmlns:mc="http://schemas.openxmlformats.org/markup-compatibility/2006">
          <mc:Choice Requires="x14">
            <control shapeId="241765" r:id="rId97" name="Option Button 101">
              <controlPr defaultSize="0" autoFill="0" autoLine="0" autoPict="0">
                <anchor moveWithCells="1">
                  <from>
                    <xdr:col>7</xdr:col>
                    <xdr:colOff>114300</xdr:colOff>
                    <xdr:row>63</xdr:row>
                    <xdr:rowOff>640080</xdr:rowOff>
                  </from>
                  <to>
                    <xdr:col>7</xdr:col>
                    <xdr:colOff>1958340</xdr:colOff>
                    <xdr:row>63</xdr:row>
                    <xdr:rowOff>830580</xdr:rowOff>
                  </to>
                </anchor>
              </controlPr>
            </control>
          </mc:Choice>
        </mc:AlternateContent>
        <mc:AlternateContent xmlns:mc="http://schemas.openxmlformats.org/markup-compatibility/2006">
          <mc:Choice Requires="x14">
            <control shapeId="241766" r:id="rId98" name="Option Button 102">
              <controlPr defaultSize="0" autoFill="0" autoLine="0" autoPict="0">
                <anchor moveWithCells="1">
                  <from>
                    <xdr:col>7</xdr:col>
                    <xdr:colOff>114300</xdr:colOff>
                    <xdr:row>63</xdr:row>
                    <xdr:rowOff>922020</xdr:rowOff>
                  </from>
                  <to>
                    <xdr:col>7</xdr:col>
                    <xdr:colOff>1958340</xdr:colOff>
                    <xdr:row>63</xdr:row>
                    <xdr:rowOff>1112520</xdr:rowOff>
                  </to>
                </anchor>
              </controlPr>
            </control>
          </mc:Choice>
        </mc:AlternateContent>
        <mc:AlternateContent xmlns:mc="http://schemas.openxmlformats.org/markup-compatibility/2006">
          <mc:Choice Requires="x14">
            <control shapeId="241767" r:id="rId99"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241768" r:id="rId100"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241769" r:id="rId101" name="Option Button 105">
              <controlPr defaultSize="0" autoFill="0" autoLine="0" autoPict="0">
                <anchor moveWithCells="1">
                  <from>
                    <xdr:col>7</xdr:col>
                    <xdr:colOff>106680</xdr:colOff>
                    <xdr:row>62</xdr:row>
                    <xdr:rowOff>304800</xdr:rowOff>
                  </from>
                  <to>
                    <xdr:col>7</xdr:col>
                    <xdr:colOff>1958340</xdr:colOff>
                    <xdr:row>62</xdr:row>
                    <xdr:rowOff>502920</xdr:rowOff>
                  </to>
                </anchor>
              </controlPr>
            </control>
          </mc:Choice>
        </mc:AlternateContent>
        <mc:AlternateContent xmlns:mc="http://schemas.openxmlformats.org/markup-compatibility/2006">
          <mc:Choice Requires="x14">
            <control shapeId="241770" r:id="rId102" name="Option Button 106">
              <controlPr defaultSize="0" autoFill="0" autoLine="0" autoPict="0">
                <anchor moveWithCells="1">
                  <from>
                    <xdr:col>7</xdr:col>
                    <xdr:colOff>106680</xdr:colOff>
                    <xdr:row>62</xdr:row>
                    <xdr:rowOff>579120</xdr:rowOff>
                  </from>
                  <to>
                    <xdr:col>8</xdr:col>
                    <xdr:colOff>0</xdr:colOff>
                    <xdr:row>62</xdr:row>
                    <xdr:rowOff>754380</xdr:rowOff>
                  </to>
                </anchor>
              </controlPr>
            </control>
          </mc:Choice>
        </mc:AlternateContent>
        <mc:AlternateContent xmlns:mc="http://schemas.openxmlformats.org/markup-compatibility/2006">
          <mc:Choice Requires="x14">
            <control shapeId="241771" r:id="rId103"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241772" r:id="rId104" name="Group Box 108">
              <controlPr defaultSize="0" autoFill="0" autoPict="0">
                <anchor moveWithCells="1">
                  <from>
                    <xdr:col>7</xdr:col>
                    <xdr:colOff>0</xdr:colOff>
                    <xdr:row>62</xdr:row>
                    <xdr:rowOff>0</xdr:rowOff>
                  </from>
                  <to>
                    <xdr:col>7</xdr:col>
                    <xdr:colOff>1958340</xdr:colOff>
                    <xdr:row>63</xdr:row>
                    <xdr:rowOff>0</xdr:rowOff>
                  </to>
                </anchor>
              </controlPr>
            </control>
          </mc:Choice>
        </mc:AlternateContent>
        <mc:AlternateContent xmlns:mc="http://schemas.openxmlformats.org/markup-compatibility/2006">
          <mc:Choice Requires="x14">
            <control shapeId="241773" r:id="rId105"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241774" r:id="rId106" name="Option Button 110">
              <controlPr defaultSize="0" autoFill="0" autoLine="0" autoPict="0">
                <anchor moveWithCells="1">
                  <from>
                    <xdr:col>7</xdr:col>
                    <xdr:colOff>106680</xdr:colOff>
                    <xdr:row>61</xdr:row>
                    <xdr:rowOff>304800</xdr:rowOff>
                  </from>
                  <to>
                    <xdr:col>7</xdr:col>
                    <xdr:colOff>1958340</xdr:colOff>
                    <xdr:row>61</xdr:row>
                    <xdr:rowOff>502920</xdr:rowOff>
                  </to>
                </anchor>
              </controlPr>
            </control>
          </mc:Choice>
        </mc:AlternateContent>
        <mc:AlternateContent xmlns:mc="http://schemas.openxmlformats.org/markup-compatibility/2006">
          <mc:Choice Requires="x14">
            <control shapeId="241775" r:id="rId107"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241776" r:id="rId108"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241777" r:id="rId109"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241778" r:id="rId110" name="Option Button 114">
              <controlPr defaultSize="0" autoFill="0" autoLine="0" autoPict="0" altText="Case d'option 47">
                <anchor moveWithCells="1">
                  <from>
                    <xdr:col>7</xdr:col>
                    <xdr:colOff>106680</xdr:colOff>
                    <xdr:row>64</xdr:row>
                    <xdr:rowOff>68580</xdr:rowOff>
                  </from>
                  <to>
                    <xdr:col>7</xdr:col>
                    <xdr:colOff>1501140</xdr:colOff>
                    <xdr:row>64</xdr:row>
                    <xdr:rowOff>259080</xdr:rowOff>
                  </to>
                </anchor>
              </controlPr>
            </control>
          </mc:Choice>
        </mc:AlternateContent>
        <mc:AlternateContent xmlns:mc="http://schemas.openxmlformats.org/markup-compatibility/2006">
          <mc:Choice Requires="x14">
            <control shapeId="241779" r:id="rId111" name="Option Button 115">
              <controlPr defaultSize="0" autoFill="0" autoLine="0" autoPict="0">
                <anchor moveWithCells="1">
                  <from>
                    <xdr:col>7</xdr:col>
                    <xdr:colOff>106680</xdr:colOff>
                    <xdr:row>64</xdr:row>
                    <xdr:rowOff>304800</xdr:rowOff>
                  </from>
                  <to>
                    <xdr:col>7</xdr:col>
                    <xdr:colOff>1958340</xdr:colOff>
                    <xdr:row>64</xdr:row>
                    <xdr:rowOff>502920</xdr:rowOff>
                  </to>
                </anchor>
              </controlPr>
            </control>
          </mc:Choice>
        </mc:AlternateContent>
        <mc:AlternateContent xmlns:mc="http://schemas.openxmlformats.org/markup-compatibility/2006">
          <mc:Choice Requires="x14">
            <control shapeId="241780" r:id="rId112" name="Option Button 116">
              <controlPr defaultSize="0" autoFill="0" autoLine="0" autoPict="0">
                <anchor moveWithCells="1">
                  <from>
                    <xdr:col>7</xdr:col>
                    <xdr:colOff>106680</xdr:colOff>
                    <xdr:row>64</xdr:row>
                    <xdr:rowOff>579120</xdr:rowOff>
                  </from>
                  <to>
                    <xdr:col>8</xdr:col>
                    <xdr:colOff>0</xdr:colOff>
                    <xdr:row>64</xdr:row>
                    <xdr:rowOff>754380</xdr:rowOff>
                  </to>
                </anchor>
              </controlPr>
            </control>
          </mc:Choice>
        </mc:AlternateContent>
        <mc:AlternateContent xmlns:mc="http://schemas.openxmlformats.org/markup-compatibility/2006">
          <mc:Choice Requires="x14">
            <control shapeId="241781" r:id="rId113" name="Option Button 117">
              <controlPr defaultSize="0" autoFill="0" autoLine="0" autoPict="0">
                <anchor moveWithCells="1">
                  <from>
                    <xdr:col>7</xdr:col>
                    <xdr:colOff>106680</xdr:colOff>
                    <xdr:row>64</xdr:row>
                    <xdr:rowOff>822960</xdr:rowOff>
                  </from>
                  <to>
                    <xdr:col>7</xdr:col>
                    <xdr:colOff>937260</xdr:colOff>
                    <xdr:row>64</xdr:row>
                    <xdr:rowOff>1005840</xdr:rowOff>
                  </to>
                </anchor>
              </controlPr>
            </control>
          </mc:Choice>
        </mc:AlternateContent>
        <mc:AlternateContent xmlns:mc="http://schemas.openxmlformats.org/markup-compatibility/2006">
          <mc:Choice Requires="x14">
            <control shapeId="241782" r:id="rId114" name="Group Box 118">
              <controlPr defaultSize="0" autoFill="0" autoPict="0">
                <anchor moveWithCells="1">
                  <from>
                    <xdr:col>7</xdr:col>
                    <xdr:colOff>0</xdr:colOff>
                    <xdr:row>64</xdr:row>
                    <xdr:rowOff>0</xdr:rowOff>
                  </from>
                  <to>
                    <xdr:col>7</xdr:col>
                    <xdr:colOff>1958340</xdr:colOff>
                    <xdr:row>65</xdr:row>
                    <xdr:rowOff>0</xdr:rowOff>
                  </to>
                </anchor>
              </controlPr>
            </control>
          </mc:Choice>
        </mc:AlternateContent>
        <mc:AlternateContent xmlns:mc="http://schemas.openxmlformats.org/markup-compatibility/2006">
          <mc:Choice Requires="x14">
            <control shapeId="241783" r:id="rId115" name="Option Button 119">
              <controlPr defaultSize="0" autoFill="0" autoLine="0" autoPict="0">
                <anchor moveWithCells="1">
                  <from>
                    <xdr:col>7</xdr:col>
                    <xdr:colOff>114300</xdr:colOff>
                    <xdr:row>78</xdr:row>
                    <xdr:rowOff>144780</xdr:rowOff>
                  </from>
                  <to>
                    <xdr:col>7</xdr:col>
                    <xdr:colOff>1958340</xdr:colOff>
                    <xdr:row>78</xdr:row>
                    <xdr:rowOff>320040</xdr:rowOff>
                  </to>
                </anchor>
              </controlPr>
            </control>
          </mc:Choice>
        </mc:AlternateContent>
        <mc:AlternateContent xmlns:mc="http://schemas.openxmlformats.org/markup-compatibility/2006">
          <mc:Choice Requires="x14">
            <control shapeId="241784" r:id="rId116" name="Option Button 120">
              <controlPr defaultSize="0" autoFill="0" autoLine="0" autoPict="0">
                <anchor moveWithCells="1">
                  <from>
                    <xdr:col>7</xdr:col>
                    <xdr:colOff>114300</xdr:colOff>
                    <xdr:row>78</xdr:row>
                    <xdr:rowOff>396240</xdr:rowOff>
                  </from>
                  <to>
                    <xdr:col>7</xdr:col>
                    <xdr:colOff>1958340</xdr:colOff>
                    <xdr:row>78</xdr:row>
                    <xdr:rowOff>586740</xdr:rowOff>
                  </to>
                </anchor>
              </controlPr>
            </control>
          </mc:Choice>
        </mc:AlternateContent>
        <mc:AlternateContent xmlns:mc="http://schemas.openxmlformats.org/markup-compatibility/2006">
          <mc:Choice Requires="x14">
            <control shapeId="241785" r:id="rId117" name="Option Button 121">
              <controlPr defaultSize="0" autoFill="0" autoLine="0" autoPict="0">
                <anchor moveWithCells="1">
                  <from>
                    <xdr:col>7</xdr:col>
                    <xdr:colOff>114300</xdr:colOff>
                    <xdr:row>78</xdr:row>
                    <xdr:rowOff>640080</xdr:rowOff>
                  </from>
                  <to>
                    <xdr:col>7</xdr:col>
                    <xdr:colOff>1958340</xdr:colOff>
                    <xdr:row>78</xdr:row>
                    <xdr:rowOff>830580</xdr:rowOff>
                  </to>
                </anchor>
              </controlPr>
            </control>
          </mc:Choice>
        </mc:AlternateContent>
        <mc:AlternateContent xmlns:mc="http://schemas.openxmlformats.org/markup-compatibility/2006">
          <mc:Choice Requires="x14">
            <control shapeId="241786" r:id="rId118" name="Option Button 122">
              <controlPr defaultSize="0" autoFill="0" autoLine="0" autoPict="0">
                <anchor moveWithCells="1">
                  <from>
                    <xdr:col>7</xdr:col>
                    <xdr:colOff>114300</xdr:colOff>
                    <xdr:row>78</xdr:row>
                    <xdr:rowOff>922020</xdr:rowOff>
                  </from>
                  <to>
                    <xdr:col>7</xdr:col>
                    <xdr:colOff>1958340</xdr:colOff>
                    <xdr:row>78</xdr:row>
                    <xdr:rowOff>1112520</xdr:rowOff>
                  </to>
                </anchor>
              </controlPr>
            </control>
          </mc:Choice>
        </mc:AlternateContent>
        <mc:AlternateContent xmlns:mc="http://schemas.openxmlformats.org/markup-compatibility/2006">
          <mc:Choice Requires="x14">
            <control shapeId="241787" r:id="rId119"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241788" r:id="rId120"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241789" r:id="rId121" name="Option Button 125">
              <controlPr defaultSize="0" autoFill="0" autoLine="0" autoPict="0">
                <anchor moveWithCells="1">
                  <from>
                    <xdr:col>7</xdr:col>
                    <xdr:colOff>106680</xdr:colOff>
                    <xdr:row>77</xdr:row>
                    <xdr:rowOff>304800</xdr:rowOff>
                  </from>
                  <to>
                    <xdr:col>7</xdr:col>
                    <xdr:colOff>1958340</xdr:colOff>
                    <xdr:row>77</xdr:row>
                    <xdr:rowOff>502920</xdr:rowOff>
                  </to>
                </anchor>
              </controlPr>
            </control>
          </mc:Choice>
        </mc:AlternateContent>
        <mc:AlternateContent xmlns:mc="http://schemas.openxmlformats.org/markup-compatibility/2006">
          <mc:Choice Requires="x14">
            <control shapeId="241790" r:id="rId122"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241791" r:id="rId123"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241792" r:id="rId124"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241793" r:id="rId125" name="Option Button 129">
              <controlPr defaultSize="0" autoFill="0" autoLine="0" autoPict="0">
                <anchor moveWithCells="1">
                  <from>
                    <xdr:col>7</xdr:col>
                    <xdr:colOff>114300</xdr:colOff>
                    <xdr:row>81</xdr:row>
                    <xdr:rowOff>144780</xdr:rowOff>
                  </from>
                  <to>
                    <xdr:col>7</xdr:col>
                    <xdr:colOff>1958340</xdr:colOff>
                    <xdr:row>81</xdr:row>
                    <xdr:rowOff>320040</xdr:rowOff>
                  </to>
                </anchor>
              </controlPr>
            </control>
          </mc:Choice>
        </mc:AlternateContent>
        <mc:AlternateContent xmlns:mc="http://schemas.openxmlformats.org/markup-compatibility/2006">
          <mc:Choice Requires="x14">
            <control shapeId="241794" r:id="rId126" name="Option Button 130">
              <controlPr defaultSize="0" autoFill="0" autoLine="0" autoPict="0">
                <anchor moveWithCells="1">
                  <from>
                    <xdr:col>7</xdr:col>
                    <xdr:colOff>114300</xdr:colOff>
                    <xdr:row>81</xdr:row>
                    <xdr:rowOff>396240</xdr:rowOff>
                  </from>
                  <to>
                    <xdr:col>7</xdr:col>
                    <xdr:colOff>1958340</xdr:colOff>
                    <xdr:row>81</xdr:row>
                    <xdr:rowOff>586740</xdr:rowOff>
                  </to>
                </anchor>
              </controlPr>
            </control>
          </mc:Choice>
        </mc:AlternateContent>
        <mc:AlternateContent xmlns:mc="http://schemas.openxmlformats.org/markup-compatibility/2006">
          <mc:Choice Requires="x14">
            <control shapeId="241795" r:id="rId127" name="Option Button 131">
              <controlPr defaultSize="0" autoFill="0" autoLine="0" autoPict="0">
                <anchor moveWithCells="1">
                  <from>
                    <xdr:col>7</xdr:col>
                    <xdr:colOff>114300</xdr:colOff>
                    <xdr:row>81</xdr:row>
                    <xdr:rowOff>640080</xdr:rowOff>
                  </from>
                  <to>
                    <xdr:col>7</xdr:col>
                    <xdr:colOff>1958340</xdr:colOff>
                    <xdr:row>81</xdr:row>
                    <xdr:rowOff>830580</xdr:rowOff>
                  </to>
                </anchor>
              </controlPr>
            </control>
          </mc:Choice>
        </mc:AlternateContent>
        <mc:AlternateContent xmlns:mc="http://schemas.openxmlformats.org/markup-compatibility/2006">
          <mc:Choice Requires="x14">
            <control shapeId="241796" r:id="rId128" name="Option Button 132">
              <controlPr defaultSize="0" autoFill="0" autoLine="0" autoPict="0">
                <anchor moveWithCells="1">
                  <from>
                    <xdr:col>7</xdr:col>
                    <xdr:colOff>114300</xdr:colOff>
                    <xdr:row>81</xdr:row>
                    <xdr:rowOff>922020</xdr:rowOff>
                  </from>
                  <to>
                    <xdr:col>7</xdr:col>
                    <xdr:colOff>1958340</xdr:colOff>
                    <xdr:row>81</xdr:row>
                    <xdr:rowOff>1112520</xdr:rowOff>
                  </to>
                </anchor>
              </controlPr>
            </control>
          </mc:Choice>
        </mc:AlternateContent>
        <mc:AlternateContent xmlns:mc="http://schemas.openxmlformats.org/markup-compatibility/2006">
          <mc:Choice Requires="x14">
            <control shapeId="241797" r:id="rId129"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241798" r:id="rId130" name="Option Button 134">
              <controlPr defaultSize="0" autoFill="0" autoLine="0" autoPict="0" altText="Case d'option 47">
                <anchor moveWithCells="1">
                  <from>
                    <xdr:col>7</xdr:col>
                    <xdr:colOff>106680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241799" r:id="rId131" name="Option Button 135">
              <controlPr defaultSize="0" autoFill="0" autoLine="0" autoPict="0">
                <anchor moveWithCells="1">
                  <from>
                    <xdr:col>7</xdr:col>
                    <xdr:colOff>106680</xdr:colOff>
                    <xdr:row>80</xdr:row>
                    <xdr:rowOff>304800</xdr:rowOff>
                  </from>
                  <to>
                    <xdr:col>7</xdr:col>
                    <xdr:colOff>1958340</xdr:colOff>
                    <xdr:row>80</xdr:row>
                    <xdr:rowOff>502920</xdr:rowOff>
                  </to>
                </anchor>
              </controlPr>
            </control>
          </mc:Choice>
        </mc:AlternateContent>
        <mc:AlternateContent xmlns:mc="http://schemas.openxmlformats.org/markup-compatibility/2006">
          <mc:Choice Requires="x14">
            <control shapeId="241800" r:id="rId132" name="Option Button 136">
              <controlPr defaultSize="0" autoFill="0" autoLine="0" autoPict="0">
                <anchor moveWithCells="1">
                  <from>
                    <xdr:col>7</xdr:col>
                    <xdr:colOff>106680</xdr:colOff>
                    <xdr:row>80</xdr:row>
                    <xdr:rowOff>579120</xdr:rowOff>
                  </from>
                  <to>
                    <xdr:col>8</xdr:col>
                    <xdr:colOff>0</xdr:colOff>
                    <xdr:row>80</xdr:row>
                    <xdr:rowOff>754380</xdr:rowOff>
                  </to>
                </anchor>
              </controlPr>
            </control>
          </mc:Choice>
        </mc:AlternateContent>
        <mc:AlternateContent xmlns:mc="http://schemas.openxmlformats.org/markup-compatibility/2006">
          <mc:Choice Requires="x14">
            <control shapeId="241801" r:id="rId133"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241802" r:id="rId134" name="Group Box 138">
              <controlPr defaultSize="0" autoFill="0" autoPict="0">
                <anchor moveWithCells="1">
                  <from>
                    <xdr:col>7</xdr:col>
                    <xdr:colOff>0</xdr:colOff>
                    <xdr:row>80</xdr:row>
                    <xdr:rowOff>0</xdr:rowOff>
                  </from>
                  <to>
                    <xdr:col>7</xdr:col>
                    <xdr:colOff>1958340</xdr:colOff>
                    <xdr:row>81</xdr:row>
                    <xdr:rowOff>0</xdr:rowOff>
                  </to>
                </anchor>
              </controlPr>
            </control>
          </mc:Choice>
        </mc:AlternateContent>
        <mc:AlternateContent xmlns:mc="http://schemas.openxmlformats.org/markup-compatibility/2006">
          <mc:Choice Requires="x14">
            <control shapeId="241803" r:id="rId135"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241804" r:id="rId136" name="Option Button 140">
              <controlPr defaultSize="0" autoFill="0" autoLine="0" autoPict="0">
                <anchor moveWithCells="1">
                  <from>
                    <xdr:col>7</xdr:col>
                    <xdr:colOff>106680</xdr:colOff>
                    <xdr:row>79</xdr:row>
                    <xdr:rowOff>304800</xdr:rowOff>
                  </from>
                  <to>
                    <xdr:col>7</xdr:col>
                    <xdr:colOff>1958340</xdr:colOff>
                    <xdr:row>79</xdr:row>
                    <xdr:rowOff>502920</xdr:rowOff>
                  </to>
                </anchor>
              </controlPr>
            </control>
          </mc:Choice>
        </mc:AlternateContent>
        <mc:AlternateContent xmlns:mc="http://schemas.openxmlformats.org/markup-compatibility/2006">
          <mc:Choice Requires="x14">
            <control shapeId="241805" r:id="rId137"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241806" r:id="rId138"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241807" r:id="rId139"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241808" r:id="rId140"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36" r:id="rId141" name="Option Button 145">
              <controlPr defaultSize="0" autoFill="0" autoLine="0" autoPict="0">
                <anchor moveWithCells="1">
                  <from>
                    <xdr:col>7</xdr:col>
                    <xdr:colOff>114300</xdr:colOff>
                    <xdr:row>27</xdr:row>
                    <xdr:rowOff>144780</xdr:rowOff>
                  </from>
                  <to>
                    <xdr:col>7</xdr:col>
                    <xdr:colOff>1958340</xdr:colOff>
                    <xdr:row>27</xdr:row>
                    <xdr:rowOff>320040</xdr:rowOff>
                  </to>
                </anchor>
              </controlPr>
            </control>
          </mc:Choice>
        </mc:AlternateContent>
        <mc:AlternateContent xmlns:mc="http://schemas.openxmlformats.org/markup-compatibility/2006">
          <mc:Choice Requires="x14">
            <control shapeId="241810" r:id="rId142" name="Option Button 146">
              <controlPr defaultSize="0" autoFill="0" autoLine="0" autoPict="0">
                <anchor moveWithCells="1">
                  <from>
                    <xdr:col>7</xdr:col>
                    <xdr:colOff>114300</xdr:colOff>
                    <xdr:row>27</xdr:row>
                    <xdr:rowOff>396240</xdr:rowOff>
                  </from>
                  <to>
                    <xdr:col>7</xdr:col>
                    <xdr:colOff>1958340</xdr:colOff>
                    <xdr:row>27</xdr:row>
                    <xdr:rowOff>586740</xdr:rowOff>
                  </to>
                </anchor>
              </controlPr>
            </control>
          </mc:Choice>
        </mc:AlternateContent>
        <mc:AlternateContent xmlns:mc="http://schemas.openxmlformats.org/markup-compatibility/2006">
          <mc:Choice Requires="x14">
            <control shapeId="241811" r:id="rId143" name="Option Button 147">
              <controlPr defaultSize="0" autoFill="0" autoLine="0" autoPict="0">
                <anchor moveWithCells="1">
                  <from>
                    <xdr:col>7</xdr:col>
                    <xdr:colOff>114300</xdr:colOff>
                    <xdr:row>27</xdr:row>
                    <xdr:rowOff>640080</xdr:rowOff>
                  </from>
                  <to>
                    <xdr:col>7</xdr:col>
                    <xdr:colOff>1958340</xdr:colOff>
                    <xdr:row>27</xdr:row>
                    <xdr:rowOff>830580</xdr:rowOff>
                  </to>
                </anchor>
              </controlPr>
            </control>
          </mc:Choice>
        </mc:AlternateContent>
        <mc:AlternateContent xmlns:mc="http://schemas.openxmlformats.org/markup-compatibility/2006">
          <mc:Choice Requires="x14">
            <control shapeId="241812" r:id="rId144" name="Option Button 148">
              <controlPr defaultSize="0" autoFill="0" autoLine="0" autoPict="0">
                <anchor moveWithCells="1">
                  <from>
                    <xdr:col>7</xdr:col>
                    <xdr:colOff>114300</xdr:colOff>
                    <xdr:row>27</xdr:row>
                    <xdr:rowOff>922020</xdr:rowOff>
                  </from>
                  <to>
                    <xdr:col>7</xdr:col>
                    <xdr:colOff>1958340</xdr:colOff>
                    <xdr:row>27</xdr:row>
                    <xdr:rowOff>1112520</xdr:rowOff>
                  </to>
                </anchor>
              </controlPr>
            </control>
          </mc:Choice>
        </mc:AlternateContent>
        <mc:AlternateContent xmlns:mc="http://schemas.openxmlformats.org/markup-compatibility/2006">
          <mc:Choice Requires="x14">
            <control shapeId="241813" r:id="rId145"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241923" r:id="rId146" name="Option Button 175">
              <controlPr defaultSize="0" autoFill="0" autoLine="0" autoPict="0">
                <anchor moveWithCells="1">
                  <from>
                    <xdr:col>7</xdr:col>
                    <xdr:colOff>114300</xdr:colOff>
                    <xdr:row>94</xdr:row>
                    <xdr:rowOff>167640</xdr:rowOff>
                  </from>
                  <to>
                    <xdr:col>7</xdr:col>
                    <xdr:colOff>1958340</xdr:colOff>
                    <xdr:row>94</xdr:row>
                    <xdr:rowOff>365760</xdr:rowOff>
                  </to>
                </anchor>
              </controlPr>
            </control>
          </mc:Choice>
        </mc:AlternateContent>
        <mc:AlternateContent xmlns:mc="http://schemas.openxmlformats.org/markup-compatibility/2006">
          <mc:Choice Requires="x14">
            <control shapeId="241840" r:id="rId147" name="Option Button 176">
              <controlPr defaultSize="0" autoFill="0" autoLine="0" autoPict="0">
                <anchor moveWithCells="1">
                  <from>
                    <xdr:col>7</xdr:col>
                    <xdr:colOff>114300</xdr:colOff>
                    <xdr:row>94</xdr:row>
                    <xdr:rowOff>449580</xdr:rowOff>
                  </from>
                  <to>
                    <xdr:col>7</xdr:col>
                    <xdr:colOff>1958340</xdr:colOff>
                    <xdr:row>94</xdr:row>
                    <xdr:rowOff>670560</xdr:rowOff>
                  </to>
                </anchor>
              </controlPr>
            </control>
          </mc:Choice>
        </mc:AlternateContent>
        <mc:AlternateContent xmlns:mc="http://schemas.openxmlformats.org/markup-compatibility/2006">
          <mc:Choice Requires="x14">
            <control shapeId="241841" r:id="rId148" name="Option Button 177">
              <controlPr defaultSize="0" autoFill="0" autoLine="0" autoPict="0">
                <anchor moveWithCells="1">
                  <from>
                    <xdr:col>7</xdr:col>
                    <xdr:colOff>114300</xdr:colOff>
                    <xdr:row>94</xdr:row>
                    <xdr:rowOff>731520</xdr:rowOff>
                  </from>
                  <to>
                    <xdr:col>7</xdr:col>
                    <xdr:colOff>1958340</xdr:colOff>
                    <xdr:row>94</xdr:row>
                    <xdr:rowOff>944880</xdr:rowOff>
                  </to>
                </anchor>
              </controlPr>
            </control>
          </mc:Choice>
        </mc:AlternateContent>
        <mc:AlternateContent xmlns:mc="http://schemas.openxmlformats.org/markup-compatibility/2006">
          <mc:Choice Requires="x14">
            <control shapeId="241842" r:id="rId149" name="Option Button 178">
              <controlPr defaultSize="0" autoFill="0" autoLine="0" autoPict="0">
                <anchor moveWithCells="1">
                  <from>
                    <xdr:col>7</xdr:col>
                    <xdr:colOff>114300</xdr:colOff>
                    <xdr:row>94</xdr:row>
                    <xdr:rowOff>1051560</xdr:rowOff>
                  </from>
                  <to>
                    <xdr:col>7</xdr:col>
                    <xdr:colOff>1958340</xdr:colOff>
                    <xdr:row>94</xdr:row>
                    <xdr:rowOff>1264920</xdr:rowOff>
                  </to>
                </anchor>
              </controlPr>
            </control>
          </mc:Choice>
        </mc:AlternateContent>
        <mc:AlternateContent xmlns:mc="http://schemas.openxmlformats.org/markup-compatibility/2006">
          <mc:Choice Requires="x14">
            <control shapeId="241843" r:id="rId150"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241844" r:id="rId151"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241845" r:id="rId152" name="Option Button 181">
              <controlPr defaultSize="0" autoFill="0" autoLine="0" autoPict="0">
                <anchor moveWithCells="1">
                  <from>
                    <xdr:col>7</xdr:col>
                    <xdr:colOff>106680</xdr:colOff>
                    <xdr:row>93</xdr:row>
                    <xdr:rowOff>304800</xdr:rowOff>
                  </from>
                  <to>
                    <xdr:col>7</xdr:col>
                    <xdr:colOff>1958340</xdr:colOff>
                    <xdr:row>93</xdr:row>
                    <xdr:rowOff>502920</xdr:rowOff>
                  </to>
                </anchor>
              </controlPr>
            </control>
          </mc:Choice>
        </mc:AlternateContent>
        <mc:AlternateContent xmlns:mc="http://schemas.openxmlformats.org/markup-compatibility/2006">
          <mc:Choice Requires="x14">
            <control shapeId="241846" r:id="rId153"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241847" r:id="rId154"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241848" r:id="rId155"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241849" r:id="rId156" name="Option Button 185">
              <controlPr defaultSize="0" autoFill="0" autoLine="0" autoPict="0">
                <anchor moveWithCells="1">
                  <from>
                    <xdr:col>7</xdr:col>
                    <xdr:colOff>114300</xdr:colOff>
                    <xdr:row>97</xdr:row>
                    <xdr:rowOff>144780</xdr:rowOff>
                  </from>
                  <to>
                    <xdr:col>7</xdr:col>
                    <xdr:colOff>1958340</xdr:colOff>
                    <xdr:row>97</xdr:row>
                    <xdr:rowOff>320040</xdr:rowOff>
                  </to>
                </anchor>
              </controlPr>
            </control>
          </mc:Choice>
        </mc:AlternateContent>
        <mc:AlternateContent xmlns:mc="http://schemas.openxmlformats.org/markup-compatibility/2006">
          <mc:Choice Requires="x14">
            <control shapeId="241850" r:id="rId157" name="Option Button 186">
              <controlPr defaultSize="0" autoFill="0" autoLine="0" autoPict="0">
                <anchor moveWithCells="1">
                  <from>
                    <xdr:col>7</xdr:col>
                    <xdr:colOff>114300</xdr:colOff>
                    <xdr:row>97</xdr:row>
                    <xdr:rowOff>396240</xdr:rowOff>
                  </from>
                  <to>
                    <xdr:col>7</xdr:col>
                    <xdr:colOff>1958340</xdr:colOff>
                    <xdr:row>97</xdr:row>
                    <xdr:rowOff>586740</xdr:rowOff>
                  </to>
                </anchor>
              </controlPr>
            </control>
          </mc:Choice>
        </mc:AlternateContent>
        <mc:AlternateContent xmlns:mc="http://schemas.openxmlformats.org/markup-compatibility/2006">
          <mc:Choice Requires="x14">
            <control shapeId="241851" r:id="rId158" name="Option Button 187">
              <controlPr defaultSize="0" autoFill="0" autoLine="0" autoPict="0">
                <anchor moveWithCells="1">
                  <from>
                    <xdr:col>7</xdr:col>
                    <xdr:colOff>114300</xdr:colOff>
                    <xdr:row>97</xdr:row>
                    <xdr:rowOff>640080</xdr:rowOff>
                  </from>
                  <to>
                    <xdr:col>7</xdr:col>
                    <xdr:colOff>1958340</xdr:colOff>
                    <xdr:row>97</xdr:row>
                    <xdr:rowOff>830580</xdr:rowOff>
                  </to>
                </anchor>
              </controlPr>
            </control>
          </mc:Choice>
        </mc:AlternateContent>
        <mc:AlternateContent xmlns:mc="http://schemas.openxmlformats.org/markup-compatibility/2006">
          <mc:Choice Requires="x14">
            <control shapeId="241924" r:id="rId159" name="Option Button 188">
              <controlPr defaultSize="0" autoFill="0" autoLine="0" autoPict="0">
                <anchor moveWithCells="1">
                  <from>
                    <xdr:col>7</xdr:col>
                    <xdr:colOff>114300</xdr:colOff>
                    <xdr:row>97</xdr:row>
                    <xdr:rowOff>922020</xdr:rowOff>
                  </from>
                  <to>
                    <xdr:col>7</xdr:col>
                    <xdr:colOff>1958340</xdr:colOff>
                    <xdr:row>97</xdr:row>
                    <xdr:rowOff>1112520</xdr:rowOff>
                  </to>
                </anchor>
              </controlPr>
            </control>
          </mc:Choice>
        </mc:AlternateContent>
        <mc:AlternateContent xmlns:mc="http://schemas.openxmlformats.org/markup-compatibility/2006">
          <mc:Choice Requires="x14">
            <control shapeId="241926" r:id="rId160" name="Group Box 189">
              <controlPr defaultSize="0" autoFill="0" autoPict="0">
                <anchor moveWithCells="1">
                  <from>
                    <xdr:col>7</xdr:col>
                    <xdr:colOff>0</xdr:colOff>
                    <xdr:row>97</xdr:row>
                    <xdr:rowOff>0</xdr:rowOff>
                  </from>
                  <to>
                    <xdr:col>8</xdr:col>
                    <xdr:colOff>0</xdr:colOff>
                    <xdr:row>98</xdr:row>
                    <xdr:rowOff>0</xdr:rowOff>
                  </to>
                </anchor>
              </controlPr>
            </control>
          </mc:Choice>
        </mc:AlternateContent>
        <mc:AlternateContent xmlns:mc="http://schemas.openxmlformats.org/markup-compatibility/2006">
          <mc:Choice Requires="x14">
            <control shapeId="241927" r:id="rId161" name="Option Button 190">
              <controlPr defaultSize="0" autoFill="0" autoLine="0" autoPict="0" altText="Case d'option 47">
                <anchor moveWithCells="1">
                  <from>
                    <xdr:col>7</xdr:col>
                    <xdr:colOff>106680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241855" r:id="rId162" name="Option Button 191">
              <controlPr defaultSize="0" autoFill="0" autoLine="0" autoPict="0">
                <anchor moveWithCells="1">
                  <from>
                    <xdr:col>7</xdr:col>
                    <xdr:colOff>106680</xdr:colOff>
                    <xdr:row>96</xdr:row>
                    <xdr:rowOff>304800</xdr:rowOff>
                  </from>
                  <to>
                    <xdr:col>7</xdr:col>
                    <xdr:colOff>1958340</xdr:colOff>
                    <xdr:row>96</xdr:row>
                    <xdr:rowOff>502920</xdr:rowOff>
                  </to>
                </anchor>
              </controlPr>
            </control>
          </mc:Choice>
        </mc:AlternateContent>
        <mc:AlternateContent xmlns:mc="http://schemas.openxmlformats.org/markup-compatibility/2006">
          <mc:Choice Requires="x14">
            <control shapeId="241856" r:id="rId163" name="Option Button 192">
              <controlPr defaultSize="0" autoFill="0" autoLine="0" autoPict="0">
                <anchor moveWithCells="1">
                  <from>
                    <xdr:col>7</xdr:col>
                    <xdr:colOff>106680</xdr:colOff>
                    <xdr:row>96</xdr:row>
                    <xdr:rowOff>579120</xdr:rowOff>
                  </from>
                  <to>
                    <xdr:col>8</xdr:col>
                    <xdr:colOff>0</xdr:colOff>
                    <xdr:row>96</xdr:row>
                    <xdr:rowOff>754380</xdr:rowOff>
                  </to>
                </anchor>
              </controlPr>
            </control>
          </mc:Choice>
        </mc:AlternateContent>
        <mc:AlternateContent xmlns:mc="http://schemas.openxmlformats.org/markup-compatibility/2006">
          <mc:Choice Requires="x14">
            <control shapeId="241857" r:id="rId164" name="Option Button 193">
              <controlPr defaultSize="0" autoFill="0" autoLine="0" autoPict="0">
                <anchor moveWithCells="1">
                  <from>
                    <xdr:col>7</xdr:col>
                    <xdr:colOff>106680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241858" r:id="rId165" name="Group Box 194">
              <controlPr defaultSize="0" autoFill="0" autoPict="0">
                <anchor moveWithCells="1">
                  <from>
                    <xdr:col>7</xdr:col>
                    <xdr:colOff>0</xdr:colOff>
                    <xdr:row>96</xdr:row>
                    <xdr:rowOff>0</xdr:rowOff>
                  </from>
                  <to>
                    <xdr:col>7</xdr:col>
                    <xdr:colOff>1958340</xdr:colOff>
                    <xdr:row>97</xdr:row>
                    <xdr:rowOff>0</xdr:rowOff>
                  </to>
                </anchor>
              </controlPr>
            </control>
          </mc:Choice>
        </mc:AlternateContent>
        <mc:AlternateContent xmlns:mc="http://schemas.openxmlformats.org/markup-compatibility/2006">
          <mc:Choice Requires="x14">
            <control shapeId="241859" r:id="rId166"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241928" r:id="rId167" name="Option Button 196">
              <controlPr defaultSize="0" autoFill="0" autoLine="0" autoPict="0">
                <anchor moveWithCells="1">
                  <from>
                    <xdr:col>7</xdr:col>
                    <xdr:colOff>106680</xdr:colOff>
                    <xdr:row>95</xdr:row>
                    <xdr:rowOff>304800</xdr:rowOff>
                  </from>
                  <to>
                    <xdr:col>7</xdr:col>
                    <xdr:colOff>1958340</xdr:colOff>
                    <xdr:row>95</xdr:row>
                    <xdr:rowOff>502920</xdr:rowOff>
                  </to>
                </anchor>
              </controlPr>
            </control>
          </mc:Choice>
        </mc:AlternateContent>
        <mc:AlternateContent xmlns:mc="http://schemas.openxmlformats.org/markup-compatibility/2006">
          <mc:Choice Requires="x14">
            <control shapeId="241861" r:id="rId168"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241862" r:id="rId169"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241863" r:id="rId170"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241874" r:id="rId171" name="Option Button 210">
              <controlPr defaultSize="0" autoFill="0" autoLine="0" autoPict="0">
                <anchor moveWithCells="1">
                  <from>
                    <xdr:col>7</xdr:col>
                    <xdr:colOff>114300</xdr:colOff>
                    <xdr:row>110</xdr:row>
                    <xdr:rowOff>144780</xdr:rowOff>
                  </from>
                  <to>
                    <xdr:col>7</xdr:col>
                    <xdr:colOff>1958340</xdr:colOff>
                    <xdr:row>110</xdr:row>
                    <xdr:rowOff>320040</xdr:rowOff>
                  </to>
                </anchor>
              </controlPr>
            </control>
          </mc:Choice>
        </mc:AlternateContent>
        <mc:AlternateContent xmlns:mc="http://schemas.openxmlformats.org/markup-compatibility/2006">
          <mc:Choice Requires="x14">
            <control shapeId="241929" r:id="rId172" name="Option Button 211">
              <controlPr defaultSize="0" autoFill="0" autoLine="0" autoPict="0">
                <anchor moveWithCells="1">
                  <from>
                    <xdr:col>7</xdr:col>
                    <xdr:colOff>114300</xdr:colOff>
                    <xdr:row>110</xdr:row>
                    <xdr:rowOff>396240</xdr:rowOff>
                  </from>
                  <to>
                    <xdr:col>7</xdr:col>
                    <xdr:colOff>1958340</xdr:colOff>
                    <xdr:row>110</xdr:row>
                    <xdr:rowOff>586740</xdr:rowOff>
                  </to>
                </anchor>
              </controlPr>
            </control>
          </mc:Choice>
        </mc:AlternateContent>
        <mc:AlternateContent xmlns:mc="http://schemas.openxmlformats.org/markup-compatibility/2006">
          <mc:Choice Requires="x14">
            <control shapeId="241876" r:id="rId173" name="Option Button 212">
              <controlPr defaultSize="0" autoFill="0" autoLine="0" autoPict="0">
                <anchor moveWithCells="1">
                  <from>
                    <xdr:col>7</xdr:col>
                    <xdr:colOff>114300</xdr:colOff>
                    <xdr:row>110</xdr:row>
                    <xdr:rowOff>640080</xdr:rowOff>
                  </from>
                  <to>
                    <xdr:col>7</xdr:col>
                    <xdr:colOff>1958340</xdr:colOff>
                    <xdr:row>110</xdr:row>
                    <xdr:rowOff>830580</xdr:rowOff>
                  </to>
                </anchor>
              </controlPr>
            </control>
          </mc:Choice>
        </mc:AlternateContent>
        <mc:AlternateContent xmlns:mc="http://schemas.openxmlformats.org/markup-compatibility/2006">
          <mc:Choice Requires="x14">
            <control shapeId="241877" r:id="rId174" name="Option Button 213">
              <controlPr defaultSize="0" autoFill="0" autoLine="0" autoPict="0">
                <anchor moveWithCells="1">
                  <from>
                    <xdr:col>7</xdr:col>
                    <xdr:colOff>114300</xdr:colOff>
                    <xdr:row>110</xdr:row>
                    <xdr:rowOff>922020</xdr:rowOff>
                  </from>
                  <to>
                    <xdr:col>7</xdr:col>
                    <xdr:colOff>1958340</xdr:colOff>
                    <xdr:row>110</xdr:row>
                    <xdr:rowOff>1112520</xdr:rowOff>
                  </to>
                </anchor>
              </controlPr>
            </control>
          </mc:Choice>
        </mc:AlternateContent>
        <mc:AlternateContent xmlns:mc="http://schemas.openxmlformats.org/markup-compatibility/2006">
          <mc:Choice Requires="x14">
            <control shapeId="241878" r:id="rId175" name="Group Box 214">
              <controlPr defaultSize="0" autoFill="0" autoPict="0">
                <anchor moveWithCells="1">
                  <from>
                    <xdr:col>7</xdr:col>
                    <xdr:colOff>0</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241879" r:id="rId176" name="Option Button 215">
              <controlPr defaultSize="0" autoFill="0" autoLine="0" autoPict="0" altText="Case d'option 47">
                <anchor moveWithCells="1">
                  <from>
                    <xdr:col>7</xdr:col>
                    <xdr:colOff>106680</xdr:colOff>
                    <xdr:row>109</xdr:row>
                    <xdr:rowOff>68580</xdr:rowOff>
                  </from>
                  <to>
                    <xdr:col>7</xdr:col>
                    <xdr:colOff>1501140</xdr:colOff>
                    <xdr:row>109</xdr:row>
                    <xdr:rowOff>259080</xdr:rowOff>
                  </to>
                </anchor>
              </controlPr>
            </control>
          </mc:Choice>
        </mc:AlternateContent>
        <mc:AlternateContent xmlns:mc="http://schemas.openxmlformats.org/markup-compatibility/2006">
          <mc:Choice Requires="x14">
            <control shapeId="241880" r:id="rId177" name="Option Button 216">
              <controlPr defaultSize="0" autoFill="0" autoLine="0" autoPict="0">
                <anchor moveWithCells="1">
                  <from>
                    <xdr:col>7</xdr:col>
                    <xdr:colOff>106680</xdr:colOff>
                    <xdr:row>109</xdr:row>
                    <xdr:rowOff>304800</xdr:rowOff>
                  </from>
                  <to>
                    <xdr:col>7</xdr:col>
                    <xdr:colOff>1958340</xdr:colOff>
                    <xdr:row>109</xdr:row>
                    <xdr:rowOff>502920</xdr:rowOff>
                  </to>
                </anchor>
              </controlPr>
            </control>
          </mc:Choice>
        </mc:AlternateContent>
        <mc:AlternateContent xmlns:mc="http://schemas.openxmlformats.org/markup-compatibility/2006">
          <mc:Choice Requires="x14">
            <control shapeId="241930" r:id="rId178" name="Option Button 217">
              <controlPr defaultSize="0" autoFill="0" autoLine="0" autoPict="0">
                <anchor moveWithCells="1">
                  <from>
                    <xdr:col>7</xdr:col>
                    <xdr:colOff>106680</xdr:colOff>
                    <xdr:row>109</xdr:row>
                    <xdr:rowOff>579120</xdr:rowOff>
                  </from>
                  <to>
                    <xdr:col>7</xdr:col>
                    <xdr:colOff>1958340</xdr:colOff>
                    <xdr:row>109</xdr:row>
                    <xdr:rowOff>754380</xdr:rowOff>
                  </to>
                </anchor>
              </controlPr>
            </control>
          </mc:Choice>
        </mc:AlternateContent>
        <mc:AlternateContent xmlns:mc="http://schemas.openxmlformats.org/markup-compatibility/2006">
          <mc:Choice Requires="x14">
            <control shapeId="241882" r:id="rId179" name="Option Button 218">
              <controlPr defaultSize="0" autoFill="0" autoLine="0" autoPict="0">
                <anchor moveWithCells="1">
                  <from>
                    <xdr:col>7</xdr:col>
                    <xdr:colOff>106680</xdr:colOff>
                    <xdr:row>109</xdr:row>
                    <xdr:rowOff>822960</xdr:rowOff>
                  </from>
                  <to>
                    <xdr:col>7</xdr:col>
                    <xdr:colOff>937260</xdr:colOff>
                    <xdr:row>109</xdr:row>
                    <xdr:rowOff>1005840</xdr:rowOff>
                  </to>
                </anchor>
              </controlPr>
            </control>
          </mc:Choice>
        </mc:AlternateContent>
        <mc:AlternateContent xmlns:mc="http://schemas.openxmlformats.org/markup-compatibility/2006">
          <mc:Choice Requires="x14">
            <control shapeId="241883" r:id="rId180" name="Group Box 219">
              <controlPr defaultSize="0" autoFill="0" autoPict="0">
                <anchor moveWithCells="1">
                  <from>
                    <xdr:col>7</xdr:col>
                    <xdr:colOff>0</xdr:colOff>
                    <xdr:row>109</xdr:row>
                    <xdr:rowOff>0</xdr:rowOff>
                  </from>
                  <to>
                    <xdr:col>8</xdr:col>
                    <xdr:colOff>0</xdr:colOff>
                    <xdr:row>110</xdr:row>
                    <xdr:rowOff>0</xdr:rowOff>
                  </to>
                </anchor>
              </controlPr>
            </control>
          </mc:Choice>
        </mc:AlternateContent>
        <mc:AlternateContent xmlns:mc="http://schemas.openxmlformats.org/markup-compatibility/2006">
          <mc:Choice Requires="x14">
            <control shapeId="241884" r:id="rId181" name="Option Button 220">
              <controlPr defaultSize="0" autoFill="0" autoLine="0" autoPict="0">
                <anchor moveWithCells="1">
                  <from>
                    <xdr:col>7</xdr:col>
                    <xdr:colOff>114300</xdr:colOff>
                    <xdr:row>113</xdr:row>
                    <xdr:rowOff>144780</xdr:rowOff>
                  </from>
                  <to>
                    <xdr:col>7</xdr:col>
                    <xdr:colOff>1958340</xdr:colOff>
                    <xdr:row>113</xdr:row>
                    <xdr:rowOff>320040</xdr:rowOff>
                  </to>
                </anchor>
              </controlPr>
            </control>
          </mc:Choice>
        </mc:AlternateContent>
        <mc:AlternateContent xmlns:mc="http://schemas.openxmlformats.org/markup-compatibility/2006">
          <mc:Choice Requires="x14">
            <control shapeId="241885" r:id="rId182" name="Option Button 221">
              <controlPr defaultSize="0" autoFill="0" autoLine="0" autoPict="0">
                <anchor moveWithCells="1">
                  <from>
                    <xdr:col>7</xdr:col>
                    <xdr:colOff>114300</xdr:colOff>
                    <xdr:row>113</xdr:row>
                    <xdr:rowOff>396240</xdr:rowOff>
                  </from>
                  <to>
                    <xdr:col>7</xdr:col>
                    <xdr:colOff>1958340</xdr:colOff>
                    <xdr:row>113</xdr:row>
                    <xdr:rowOff>586740</xdr:rowOff>
                  </to>
                </anchor>
              </controlPr>
            </control>
          </mc:Choice>
        </mc:AlternateContent>
        <mc:AlternateContent xmlns:mc="http://schemas.openxmlformats.org/markup-compatibility/2006">
          <mc:Choice Requires="x14">
            <control shapeId="241886" r:id="rId183" name="Option Button 222">
              <controlPr defaultSize="0" autoFill="0" autoLine="0" autoPict="0">
                <anchor moveWithCells="1">
                  <from>
                    <xdr:col>7</xdr:col>
                    <xdr:colOff>114300</xdr:colOff>
                    <xdr:row>113</xdr:row>
                    <xdr:rowOff>640080</xdr:rowOff>
                  </from>
                  <to>
                    <xdr:col>7</xdr:col>
                    <xdr:colOff>1958340</xdr:colOff>
                    <xdr:row>113</xdr:row>
                    <xdr:rowOff>830580</xdr:rowOff>
                  </to>
                </anchor>
              </controlPr>
            </control>
          </mc:Choice>
        </mc:AlternateContent>
        <mc:AlternateContent xmlns:mc="http://schemas.openxmlformats.org/markup-compatibility/2006">
          <mc:Choice Requires="x14">
            <control shapeId="241920" r:id="rId184" name="Option Button 223">
              <controlPr defaultSize="0" autoFill="0" autoLine="0" autoPict="0">
                <anchor moveWithCells="1">
                  <from>
                    <xdr:col>7</xdr:col>
                    <xdr:colOff>114300</xdr:colOff>
                    <xdr:row>113</xdr:row>
                    <xdr:rowOff>922020</xdr:rowOff>
                  </from>
                  <to>
                    <xdr:col>7</xdr:col>
                    <xdr:colOff>1958340</xdr:colOff>
                    <xdr:row>113</xdr:row>
                    <xdr:rowOff>1112520</xdr:rowOff>
                  </to>
                </anchor>
              </controlPr>
            </control>
          </mc:Choice>
        </mc:AlternateContent>
        <mc:AlternateContent xmlns:mc="http://schemas.openxmlformats.org/markup-compatibility/2006">
          <mc:Choice Requires="x14">
            <control shapeId="241921" r:id="rId185" name="Group Box 224">
              <controlPr defaultSize="0" autoFill="0" autoPict="0">
                <anchor moveWithCells="1">
                  <from>
                    <xdr:col>7</xdr:col>
                    <xdr:colOff>0</xdr:colOff>
                    <xdr:row>113</xdr:row>
                    <xdr:rowOff>0</xdr:rowOff>
                  </from>
                  <to>
                    <xdr:col>8</xdr:col>
                    <xdr:colOff>0</xdr:colOff>
                    <xdr:row>114</xdr:row>
                    <xdr:rowOff>0</xdr:rowOff>
                  </to>
                </anchor>
              </controlPr>
            </control>
          </mc:Choice>
        </mc:AlternateContent>
        <mc:AlternateContent xmlns:mc="http://schemas.openxmlformats.org/markup-compatibility/2006">
          <mc:Choice Requires="x14">
            <control shapeId="241922" r:id="rId186" name="Option Button 225">
              <controlPr defaultSize="0" autoFill="0" autoLine="0" autoPict="0" altText="Case d'option 47">
                <anchor moveWithCells="1">
                  <from>
                    <xdr:col>7</xdr:col>
                    <xdr:colOff>106680</xdr:colOff>
                    <xdr:row>112</xdr:row>
                    <xdr:rowOff>68580</xdr:rowOff>
                  </from>
                  <to>
                    <xdr:col>7</xdr:col>
                    <xdr:colOff>1501140</xdr:colOff>
                    <xdr:row>112</xdr:row>
                    <xdr:rowOff>259080</xdr:rowOff>
                  </to>
                </anchor>
              </controlPr>
            </control>
          </mc:Choice>
        </mc:AlternateContent>
        <mc:AlternateContent xmlns:mc="http://schemas.openxmlformats.org/markup-compatibility/2006">
          <mc:Choice Requires="x14">
            <control shapeId="241890" r:id="rId187" name="Option Button 226">
              <controlPr defaultSize="0" autoFill="0" autoLine="0" autoPict="0">
                <anchor moveWithCells="1">
                  <from>
                    <xdr:col>7</xdr:col>
                    <xdr:colOff>106680</xdr:colOff>
                    <xdr:row>112</xdr:row>
                    <xdr:rowOff>304800</xdr:rowOff>
                  </from>
                  <to>
                    <xdr:col>7</xdr:col>
                    <xdr:colOff>1958340</xdr:colOff>
                    <xdr:row>112</xdr:row>
                    <xdr:rowOff>502920</xdr:rowOff>
                  </to>
                </anchor>
              </controlPr>
            </control>
          </mc:Choice>
        </mc:AlternateContent>
        <mc:AlternateContent xmlns:mc="http://schemas.openxmlformats.org/markup-compatibility/2006">
          <mc:Choice Requires="x14">
            <control shapeId="241891" r:id="rId188" name="Option Button 227">
              <controlPr defaultSize="0" autoFill="0" autoLine="0" autoPict="0">
                <anchor moveWithCells="1">
                  <from>
                    <xdr:col>7</xdr:col>
                    <xdr:colOff>106680</xdr:colOff>
                    <xdr:row>112</xdr:row>
                    <xdr:rowOff>579120</xdr:rowOff>
                  </from>
                  <to>
                    <xdr:col>8</xdr:col>
                    <xdr:colOff>0</xdr:colOff>
                    <xdr:row>112</xdr:row>
                    <xdr:rowOff>754380</xdr:rowOff>
                  </to>
                </anchor>
              </controlPr>
            </control>
          </mc:Choice>
        </mc:AlternateContent>
        <mc:AlternateContent xmlns:mc="http://schemas.openxmlformats.org/markup-compatibility/2006">
          <mc:Choice Requires="x14">
            <control shapeId="241892" r:id="rId189" name="Option Button 228">
              <controlPr defaultSize="0" autoFill="0" autoLine="0" autoPict="0">
                <anchor moveWithCells="1">
                  <from>
                    <xdr:col>7</xdr:col>
                    <xdr:colOff>106680</xdr:colOff>
                    <xdr:row>112</xdr:row>
                    <xdr:rowOff>822960</xdr:rowOff>
                  </from>
                  <to>
                    <xdr:col>7</xdr:col>
                    <xdr:colOff>937260</xdr:colOff>
                    <xdr:row>112</xdr:row>
                    <xdr:rowOff>1005840</xdr:rowOff>
                  </to>
                </anchor>
              </controlPr>
            </control>
          </mc:Choice>
        </mc:AlternateContent>
        <mc:AlternateContent xmlns:mc="http://schemas.openxmlformats.org/markup-compatibility/2006">
          <mc:Choice Requires="x14">
            <control shapeId="241893" r:id="rId190" name="Group Box 229">
              <controlPr defaultSize="0" autoFill="0" autoPict="0">
                <anchor moveWithCells="1">
                  <from>
                    <xdr:col>7</xdr:col>
                    <xdr:colOff>0</xdr:colOff>
                    <xdr:row>112</xdr:row>
                    <xdr:rowOff>0</xdr:rowOff>
                  </from>
                  <to>
                    <xdr:col>7</xdr:col>
                    <xdr:colOff>1958340</xdr:colOff>
                    <xdr:row>113</xdr:row>
                    <xdr:rowOff>0</xdr:rowOff>
                  </to>
                </anchor>
              </controlPr>
            </control>
          </mc:Choice>
        </mc:AlternateContent>
        <mc:AlternateContent xmlns:mc="http://schemas.openxmlformats.org/markup-compatibility/2006">
          <mc:Choice Requires="x14">
            <control shapeId="241894" r:id="rId191" name="Option Button 230">
              <controlPr defaultSize="0" autoFill="0" autoLine="0" autoPict="0" altText="Case d'option 47">
                <anchor moveWithCells="1">
                  <from>
                    <xdr:col>7</xdr:col>
                    <xdr:colOff>106680</xdr:colOff>
                    <xdr:row>111</xdr:row>
                    <xdr:rowOff>68580</xdr:rowOff>
                  </from>
                  <to>
                    <xdr:col>7</xdr:col>
                    <xdr:colOff>1501140</xdr:colOff>
                    <xdr:row>111</xdr:row>
                    <xdr:rowOff>259080</xdr:rowOff>
                  </to>
                </anchor>
              </controlPr>
            </control>
          </mc:Choice>
        </mc:AlternateContent>
        <mc:AlternateContent xmlns:mc="http://schemas.openxmlformats.org/markup-compatibility/2006">
          <mc:Choice Requires="x14">
            <control shapeId="241895" r:id="rId192" name="Option Button 231">
              <controlPr defaultSize="0" autoFill="0" autoLine="0" autoPict="0">
                <anchor moveWithCells="1">
                  <from>
                    <xdr:col>7</xdr:col>
                    <xdr:colOff>106680</xdr:colOff>
                    <xdr:row>111</xdr:row>
                    <xdr:rowOff>304800</xdr:rowOff>
                  </from>
                  <to>
                    <xdr:col>7</xdr:col>
                    <xdr:colOff>1958340</xdr:colOff>
                    <xdr:row>111</xdr:row>
                    <xdr:rowOff>502920</xdr:rowOff>
                  </to>
                </anchor>
              </controlPr>
            </control>
          </mc:Choice>
        </mc:AlternateContent>
        <mc:AlternateContent xmlns:mc="http://schemas.openxmlformats.org/markup-compatibility/2006">
          <mc:Choice Requires="x14">
            <control shapeId="241896" r:id="rId193" name="Option Button 232">
              <controlPr defaultSize="0" autoFill="0" autoLine="0" autoPict="0">
                <anchor moveWithCells="1">
                  <from>
                    <xdr:col>7</xdr:col>
                    <xdr:colOff>106680</xdr:colOff>
                    <xdr:row>111</xdr:row>
                    <xdr:rowOff>579120</xdr:rowOff>
                  </from>
                  <to>
                    <xdr:col>7</xdr:col>
                    <xdr:colOff>1958340</xdr:colOff>
                    <xdr:row>111</xdr:row>
                    <xdr:rowOff>754380</xdr:rowOff>
                  </to>
                </anchor>
              </controlPr>
            </control>
          </mc:Choice>
        </mc:AlternateContent>
        <mc:AlternateContent xmlns:mc="http://schemas.openxmlformats.org/markup-compatibility/2006">
          <mc:Choice Requires="x14">
            <control shapeId="241897" r:id="rId194" name="Option Button 233">
              <controlPr defaultSize="0" autoFill="0" autoLine="0" autoPict="0">
                <anchor moveWithCells="1">
                  <from>
                    <xdr:col>7</xdr:col>
                    <xdr:colOff>106680</xdr:colOff>
                    <xdr:row>111</xdr:row>
                    <xdr:rowOff>822960</xdr:rowOff>
                  </from>
                  <to>
                    <xdr:col>7</xdr:col>
                    <xdr:colOff>937260</xdr:colOff>
                    <xdr:row>111</xdr:row>
                    <xdr:rowOff>1005840</xdr:rowOff>
                  </to>
                </anchor>
              </controlPr>
            </control>
          </mc:Choice>
        </mc:AlternateContent>
        <mc:AlternateContent xmlns:mc="http://schemas.openxmlformats.org/markup-compatibility/2006">
          <mc:Choice Requires="x14">
            <control shapeId="241898" r:id="rId195" name="Group Box 234">
              <controlPr defaultSize="0" autoFill="0" autoPict="0">
                <anchor moveWithCells="1">
                  <from>
                    <xdr:col>7</xdr:col>
                    <xdr:colOff>0</xdr:colOff>
                    <xdr:row>111</xdr:row>
                    <xdr:rowOff>0</xdr:rowOff>
                  </from>
                  <to>
                    <xdr:col>8</xdr:col>
                    <xdr:colOff>0</xdr:colOff>
                    <xdr:row>112</xdr:row>
                    <xdr:rowOff>0</xdr:rowOff>
                  </to>
                </anchor>
              </controlPr>
            </control>
          </mc:Choice>
        </mc:AlternateContent>
        <mc:AlternateContent xmlns:mc="http://schemas.openxmlformats.org/markup-compatibility/2006">
          <mc:Choice Requires="x14">
            <control shapeId="241899" r:id="rId196" name="Option Button 235">
              <controlPr defaultSize="0" autoFill="0" autoLine="0" autoPict="0">
                <anchor moveWithCells="1">
                  <from>
                    <xdr:col>7</xdr:col>
                    <xdr:colOff>114300</xdr:colOff>
                    <xdr:row>126</xdr:row>
                    <xdr:rowOff>144780</xdr:rowOff>
                  </from>
                  <to>
                    <xdr:col>7</xdr:col>
                    <xdr:colOff>1958340</xdr:colOff>
                    <xdr:row>126</xdr:row>
                    <xdr:rowOff>320040</xdr:rowOff>
                  </to>
                </anchor>
              </controlPr>
            </control>
          </mc:Choice>
        </mc:AlternateContent>
        <mc:AlternateContent xmlns:mc="http://schemas.openxmlformats.org/markup-compatibility/2006">
          <mc:Choice Requires="x14">
            <control shapeId="241900" r:id="rId197" name="Option Button 236">
              <controlPr defaultSize="0" autoFill="0" autoLine="0" autoPict="0">
                <anchor moveWithCells="1">
                  <from>
                    <xdr:col>7</xdr:col>
                    <xdr:colOff>114300</xdr:colOff>
                    <xdr:row>126</xdr:row>
                    <xdr:rowOff>396240</xdr:rowOff>
                  </from>
                  <to>
                    <xdr:col>7</xdr:col>
                    <xdr:colOff>1958340</xdr:colOff>
                    <xdr:row>126</xdr:row>
                    <xdr:rowOff>586740</xdr:rowOff>
                  </to>
                </anchor>
              </controlPr>
            </control>
          </mc:Choice>
        </mc:AlternateContent>
        <mc:AlternateContent xmlns:mc="http://schemas.openxmlformats.org/markup-compatibility/2006">
          <mc:Choice Requires="x14">
            <control shapeId="241901" r:id="rId198" name="Option Button 237">
              <controlPr defaultSize="0" autoFill="0" autoLine="0" autoPict="0">
                <anchor moveWithCells="1">
                  <from>
                    <xdr:col>7</xdr:col>
                    <xdr:colOff>114300</xdr:colOff>
                    <xdr:row>126</xdr:row>
                    <xdr:rowOff>640080</xdr:rowOff>
                  </from>
                  <to>
                    <xdr:col>7</xdr:col>
                    <xdr:colOff>1958340</xdr:colOff>
                    <xdr:row>126</xdr:row>
                    <xdr:rowOff>830580</xdr:rowOff>
                  </to>
                </anchor>
              </controlPr>
            </control>
          </mc:Choice>
        </mc:AlternateContent>
        <mc:AlternateContent xmlns:mc="http://schemas.openxmlformats.org/markup-compatibility/2006">
          <mc:Choice Requires="x14">
            <control shapeId="241935" r:id="rId199" name="Option Button 238">
              <controlPr defaultSize="0" autoFill="0" autoLine="0" autoPict="0">
                <anchor moveWithCells="1">
                  <from>
                    <xdr:col>7</xdr:col>
                    <xdr:colOff>114300</xdr:colOff>
                    <xdr:row>126</xdr:row>
                    <xdr:rowOff>922020</xdr:rowOff>
                  </from>
                  <to>
                    <xdr:col>7</xdr:col>
                    <xdr:colOff>1958340</xdr:colOff>
                    <xdr:row>126</xdr:row>
                    <xdr:rowOff>1112520</xdr:rowOff>
                  </to>
                </anchor>
              </controlPr>
            </control>
          </mc:Choice>
        </mc:AlternateContent>
        <mc:AlternateContent xmlns:mc="http://schemas.openxmlformats.org/markup-compatibility/2006">
          <mc:Choice Requires="x14">
            <control shapeId="241936" r:id="rId200" name="Group Box 239">
              <controlPr defaultSize="0" autoFill="0" autoPict="0">
                <anchor moveWithCells="1">
                  <from>
                    <xdr:col>7</xdr:col>
                    <xdr:colOff>0</xdr:colOff>
                    <xdr:row>126</xdr:row>
                    <xdr:rowOff>0</xdr:rowOff>
                  </from>
                  <to>
                    <xdr:col>8</xdr:col>
                    <xdr:colOff>0</xdr:colOff>
                    <xdr:row>127</xdr:row>
                    <xdr:rowOff>0</xdr:rowOff>
                  </to>
                </anchor>
              </controlPr>
            </control>
          </mc:Choice>
        </mc:AlternateContent>
        <mc:AlternateContent xmlns:mc="http://schemas.openxmlformats.org/markup-compatibility/2006">
          <mc:Choice Requires="x14">
            <control shapeId="241905" r:id="rId201" name="Option Button 241">
              <controlPr defaultSize="0" autoFill="0" autoLine="0" autoPict="0">
                <anchor moveWithCells="1">
                  <from>
                    <xdr:col>7</xdr:col>
                    <xdr:colOff>114300</xdr:colOff>
                    <xdr:row>131</xdr:row>
                    <xdr:rowOff>144780</xdr:rowOff>
                  </from>
                  <to>
                    <xdr:col>7</xdr:col>
                    <xdr:colOff>1958340</xdr:colOff>
                    <xdr:row>131</xdr:row>
                    <xdr:rowOff>320040</xdr:rowOff>
                  </to>
                </anchor>
              </controlPr>
            </control>
          </mc:Choice>
        </mc:AlternateContent>
        <mc:AlternateContent xmlns:mc="http://schemas.openxmlformats.org/markup-compatibility/2006">
          <mc:Choice Requires="x14">
            <control shapeId="241906" r:id="rId202" name="Option Button 242">
              <controlPr defaultSize="0" autoFill="0" autoLine="0" autoPict="0">
                <anchor moveWithCells="1">
                  <from>
                    <xdr:col>7</xdr:col>
                    <xdr:colOff>114300</xdr:colOff>
                    <xdr:row>131</xdr:row>
                    <xdr:rowOff>396240</xdr:rowOff>
                  </from>
                  <to>
                    <xdr:col>7</xdr:col>
                    <xdr:colOff>1958340</xdr:colOff>
                    <xdr:row>131</xdr:row>
                    <xdr:rowOff>586740</xdr:rowOff>
                  </to>
                </anchor>
              </controlPr>
            </control>
          </mc:Choice>
        </mc:AlternateContent>
        <mc:AlternateContent xmlns:mc="http://schemas.openxmlformats.org/markup-compatibility/2006">
          <mc:Choice Requires="x14">
            <control shapeId="241907" r:id="rId203" name="Option Button 243">
              <controlPr defaultSize="0" autoFill="0" autoLine="0" autoPict="0">
                <anchor moveWithCells="1">
                  <from>
                    <xdr:col>7</xdr:col>
                    <xdr:colOff>114300</xdr:colOff>
                    <xdr:row>131</xdr:row>
                    <xdr:rowOff>640080</xdr:rowOff>
                  </from>
                  <to>
                    <xdr:col>7</xdr:col>
                    <xdr:colOff>1958340</xdr:colOff>
                    <xdr:row>131</xdr:row>
                    <xdr:rowOff>830580</xdr:rowOff>
                  </to>
                </anchor>
              </controlPr>
            </control>
          </mc:Choice>
        </mc:AlternateContent>
        <mc:AlternateContent xmlns:mc="http://schemas.openxmlformats.org/markup-compatibility/2006">
          <mc:Choice Requires="x14">
            <control shapeId="241908" r:id="rId204" name="Option Button 244">
              <controlPr defaultSize="0" autoFill="0" autoLine="0" autoPict="0">
                <anchor moveWithCells="1">
                  <from>
                    <xdr:col>7</xdr:col>
                    <xdr:colOff>114300</xdr:colOff>
                    <xdr:row>131</xdr:row>
                    <xdr:rowOff>922020</xdr:rowOff>
                  </from>
                  <to>
                    <xdr:col>7</xdr:col>
                    <xdr:colOff>1958340</xdr:colOff>
                    <xdr:row>131</xdr:row>
                    <xdr:rowOff>1112520</xdr:rowOff>
                  </to>
                </anchor>
              </controlPr>
            </control>
          </mc:Choice>
        </mc:AlternateContent>
        <mc:AlternateContent xmlns:mc="http://schemas.openxmlformats.org/markup-compatibility/2006">
          <mc:Choice Requires="x14">
            <control shapeId="241909" r:id="rId205" name="Group Box 245">
              <controlPr defaultSize="0" autoFill="0" autoPict="0">
                <anchor moveWithCells="1">
                  <from>
                    <xdr:col>7</xdr:col>
                    <xdr:colOff>0</xdr:colOff>
                    <xdr:row>131</xdr:row>
                    <xdr:rowOff>0</xdr:rowOff>
                  </from>
                  <to>
                    <xdr:col>8</xdr:col>
                    <xdr:colOff>0</xdr:colOff>
                    <xdr:row>132</xdr:row>
                    <xdr:rowOff>0</xdr:rowOff>
                  </to>
                </anchor>
              </controlPr>
            </control>
          </mc:Choice>
        </mc:AlternateContent>
        <mc:AlternateContent xmlns:mc="http://schemas.openxmlformats.org/markup-compatibility/2006">
          <mc:Choice Requires="x14">
            <control shapeId="241945" r:id="rId206" name="Option Button 246">
              <controlPr defaultSize="0" autoFill="0" autoLine="0" autoPict="0" altText="Case d'option 47">
                <anchor moveWithCells="1">
                  <from>
                    <xdr:col>7</xdr:col>
                    <xdr:colOff>106680</xdr:colOff>
                    <xdr:row>130</xdr:row>
                    <xdr:rowOff>68580</xdr:rowOff>
                  </from>
                  <to>
                    <xdr:col>7</xdr:col>
                    <xdr:colOff>1501140</xdr:colOff>
                    <xdr:row>130</xdr:row>
                    <xdr:rowOff>259080</xdr:rowOff>
                  </to>
                </anchor>
              </controlPr>
            </control>
          </mc:Choice>
        </mc:AlternateContent>
        <mc:AlternateContent xmlns:mc="http://schemas.openxmlformats.org/markup-compatibility/2006">
          <mc:Choice Requires="x14">
            <control shapeId="241911" r:id="rId207" name="Option Button 247">
              <controlPr defaultSize="0" autoFill="0" autoLine="0" autoPict="0">
                <anchor moveWithCells="1">
                  <from>
                    <xdr:col>7</xdr:col>
                    <xdr:colOff>106680</xdr:colOff>
                    <xdr:row>130</xdr:row>
                    <xdr:rowOff>304800</xdr:rowOff>
                  </from>
                  <to>
                    <xdr:col>7</xdr:col>
                    <xdr:colOff>1958340</xdr:colOff>
                    <xdr:row>130</xdr:row>
                    <xdr:rowOff>502920</xdr:rowOff>
                  </to>
                </anchor>
              </controlPr>
            </control>
          </mc:Choice>
        </mc:AlternateContent>
        <mc:AlternateContent xmlns:mc="http://schemas.openxmlformats.org/markup-compatibility/2006">
          <mc:Choice Requires="x14">
            <control shapeId="241912" r:id="rId208" name="Option Button 248">
              <controlPr defaultSize="0" autoFill="0" autoLine="0" autoPict="0">
                <anchor moveWithCells="1">
                  <from>
                    <xdr:col>7</xdr:col>
                    <xdr:colOff>106680</xdr:colOff>
                    <xdr:row>130</xdr:row>
                    <xdr:rowOff>579120</xdr:rowOff>
                  </from>
                  <to>
                    <xdr:col>8</xdr:col>
                    <xdr:colOff>0</xdr:colOff>
                    <xdr:row>130</xdr:row>
                    <xdr:rowOff>754380</xdr:rowOff>
                  </to>
                </anchor>
              </controlPr>
            </control>
          </mc:Choice>
        </mc:AlternateContent>
        <mc:AlternateContent xmlns:mc="http://schemas.openxmlformats.org/markup-compatibility/2006">
          <mc:Choice Requires="x14">
            <control shapeId="241913" r:id="rId209" name="Option Button 249">
              <controlPr defaultSize="0" autoFill="0" autoLine="0" autoPict="0">
                <anchor moveWithCells="1">
                  <from>
                    <xdr:col>7</xdr:col>
                    <xdr:colOff>106680</xdr:colOff>
                    <xdr:row>130</xdr:row>
                    <xdr:rowOff>822960</xdr:rowOff>
                  </from>
                  <to>
                    <xdr:col>7</xdr:col>
                    <xdr:colOff>937260</xdr:colOff>
                    <xdr:row>130</xdr:row>
                    <xdr:rowOff>1005840</xdr:rowOff>
                  </to>
                </anchor>
              </controlPr>
            </control>
          </mc:Choice>
        </mc:AlternateContent>
        <mc:AlternateContent xmlns:mc="http://schemas.openxmlformats.org/markup-compatibility/2006">
          <mc:Choice Requires="x14">
            <control shapeId="241914" r:id="rId210" name="Group Box 250">
              <controlPr defaultSize="0" autoFill="0" autoPict="0">
                <anchor moveWithCells="1">
                  <from>
                    <xdr:col>7</xdr:col>
                    <xdr:colOff>0</xdr:colOff>
                    <xdr:row>130</xdr:row>
                    <xdr:rowOff>0</xdr:rowOff>
                  </from>
                  <to>
                    <xdr:col>8</xdr:col>
                    <xdr:colOff>0</xdr:colOff>
                    <xdr:row>131</xdr:row>
                    <xdr:rowOff>0</xdr:rowOff>
                  </to>
                </anchor>
              </controlPr>
            </control>
          </mc:Choice>
        </mc:AlternateContent>
        <mc:AlternateContent xmlns:mc="http://schemas.openxmlformats.org/markup-compatibility/2006">
          <mc:Choice Requires="x14">
            <control shapeId="241915" r:id="rId211" name="Option Button 251">
              <controlPr defaultSize="0" autoFill="0" autoLine="0" autoPict="0">
                <anchor moveWithCells="1">
                  <from>
                    <xdr:col>7</xdr:col>
                    <xdr:colOff>114300</xdr:colOff>
                    <xdr:row>129</xdr:row>
                    <xdr:rowOff>144780</xdr:rowOff>
                  </from>
                  <to>
                    <xdr:col>7</xdr:col>
                    <xdr:colOff>1958340</xdr:colOff>
                    <xdr:row>129</xdr:row>
                    <xdr:rowOff>320040</xdr:rowOff>
                  </to>
                </anchor>
              </controlPr>
            </control>
          </mc:Choice>
        </mc:AlternateContent>
        <mc:AlternateContent xmlns:mc="http://schemas.openxmlformats.org/markup-compatibility/2006">
          <mc:Choice Requires="x14">
            <control shapeId="241948" r:id="rId212" name="Option Button 252">
              <controlPr defaultSize="0" autoFill="0" autoLine="0" autoPict="0">
                <anchor moveWithCells="1">
                  <from>
                    <xdr:col>7</xdr:col>
                    <xdr:colOff>114300</xdr:colOff>
                    <xdr:row>129</xdr:row>
                    <xdr:rowOff>396240</xdr:rowOff>
                  </from>
                  <to>
                    <xdr:col>7</xdr:col>
                    <xdr:colOff>1958340</xdr:colOff>
                    <xdr:row>129</xdr:row>
                    <xdr:rowOff>586740</xdr:rowOff>
                  </to>
                </anchor>
              </controlPr>
            </control>
          </mc:Choice>
        </mc:AlternateContent>
        <mc:AlternateContent xmlns:mc="http://schemas.openxmlformats.org/markup-compatibility/2006">
          <mc:Choice Requires="x14">
            <control shapeId="241950" r:id="rId213" name="Option Button 253">
              <controlPr defaultSize="0" autoFill="0" autoLine="0" autoPict="0">
                <anchor moveWithCells="1">
                  <from>
                    <xdr:col>7</xdr:col>
                    <xdr:colOff>114300</xdr:colOff>
                    <xdr:row>129</xdr:row>
                    <xdr:rowOff>640080</xdr:rowOff>
                  </from>
                  <to>
                    <xdr:col>7</xdr:col>
                    <xdr:colOff>1958340</xdr:colOff>
                    <xdr:row>129</xdr:row>
                    <xdr:rowOff>830580</xdr:rowOff>
                  </to>
                </anchor>
              </controlPr>
            </control>
          </mc:Choice>
        </mc:AlternateContent>
        <mc:AlternateContent xmlns:mc="http://schemas.openxmlformats.org/markup-compatibility/2006">
          <mc:Choice Requires="x14">
            <control shapeId="241951" r:id="rId214" name="Option Button 254">
              <controlPr defaultSize="0" autoFill="0" autoLine="0" autoPict="0">
                <anchor moveWithCells="1">
                  <from>
                    <xdr:col>7</xdr:col>
                    <xdr:colOff>114300</xdr:colOff>
                    <xdr:row>129</xdr:row>
                    <xdr:rowOff>922020</xdr:rowOff>
                  </from>
                  <to>
                    <xdr:col>7</xdr:col>
                    <xdr:colOff>1958340</xdr:colOff>
                    <xdr:row>129</xdr:row>
                    <xdr:rowOff>1112520</xdr:rowOff>
                  </to>
                </anchor>
              </controlPr>
            </control>
          </mc:Choice>
        </mc:AlternateContent>
        <mc:AlternateContent xmlns:mc="http://schemas.openxmlformats.org/markup-compatibility/2006">
          <mc:Choice Requires="x14">
            <control shapeId="241952" r:id="rId215" name="Group Box 255">
              <controlPr defaultSize="0" autoFill="0" autoPict="0">
                <anchor moveWithCells="1">
                  <from>
                    <xdr:col>7</xdr:col>
                    <xdr:colOff>0</xdr:colOff>
                    <xdr:row>129</xdr:row>
                    <xdr:rowOff>0</xdr:rowOff>
                  </from>
                  <to>
                    <xdr:col>8</xdr:col>
                    <xdr:colOff>0</xdr:colOff>
                    <xdr:row>130</xdr:row>
                    <xdr:rowOff>0</xdr:rowOff>
                  </to>
                </anchor>
              </controlPr>
            </control>
          </mc:Choice>
        </mc:AlternateContent>
        <mc:AlternateContent xmlns:mc="http://schemas.openxmlformats.org/markup-compatibility/2006">
          <mc:Choice Requires="x14">
            <control shapeId="241953" r:id="rId216" name="Option Button 256">
              <controlPr defaultSize="0" autoFill="0" autoLine="0" autoPict="0" altText="Case d'option 47">
                <anchor moveWithCells="1">
                  <from>
                    <xdr:col>7</xdr:col>
                    <xdr:colOff>106680</xdr:colOff>
                    <xdr:row>128</xdr:row>
                    <xdr:rowOff>68580</xdr:rowOff>
                  </from>
                  <to>
                    <xdr:col>7</xdr:col>
                    <xdr:colOff>1501140</xdr:colOff>
                    <xdr:row>128</xdr:row>
                    <xdr:rowOff>259080</xdr:rowOff>
                  </to>
                </anchor>
              </controlPr>
            </control>
          </mc:Choice>
        </mc:AlternateContent>
        <mc:AlternateContent xmlns:mc="http://schemas.openxmlformats.org/markup-compatibility/2006">
          <mc:Choice Requires="x14">
            <control shapeId="241955" r:id="rId217" name="Option Button 257">
              <controlPr defaultSize="0" autoFill="0" autoLine="0" autoPict="0">
                <anchor moveWithCells="1">
                  <from>
                    <xdr:col>7</xdr:col>
                    <xdr:colOff>106680</xdr:colOff>
                    <xdr:row>128</xdr:row>
                    <xdr:rowOff>327660</xdr:rowOff>
                  </from>
                  <to>
                    <xdr:col>7</xdr:col>
                    <xdr:colOff>1958340</xdr:colOff>
                    <xdr:row>128</xdr:row>
                    <xdr:rowOff>525780</xdr:rowOff>
                  </to>
                </anchor>
              </controlPr>
            </control>
          </mc:Choice>
        </mc:AlternateContent>
        <mc:AlternateContent xmlns:mc="http://schemas.openxmlformats.org/markup-compatibility/2006">
          <mc:Choice Requires="x14">
            <control shapeId="241956" r:id="rId218" name="Option Button 258">
              <controlPr defaultSize="0" autoFill="0" autoLine="0" autoPict="0">
                <anchor moveWithCells="1">
                  <from>
                    <xdr:col>7</xdr:col>
                    <xdr:colOff>106680</xdr:colOff>
                    <xdr:row>128</xdr:row>
                    <xdr:rowOff>594360</xdr:rowOff>
                  </from>
                  <to>
                    <xdr:col>8</xdr:col>
                    <xdr:colOff>0</xdr:colOff>
                    <xdr:row>128</xdr:row>
                    <xdr:rowOff>769620</xdr:rowOff>
                  </to>
                </anchor>
              </controlPr>
            </control>
          </mc:Choice>
        </mc:AlternateContent>
        <mc:AlternateContent xmlns:mc="http://schemas.openxmlformats.org/markup-compatibility/2006">
          <mc:Choice Requires="x14">
            <control shapeId="241957" r:id="rId219" name="Option Button 259">
              <controlPr defaultSize="0" autoFill="0" autoLine="0" autoPict="0">
                <anchor moveWithCells="1">
                  <from>
                    <xdr:col>7</xdr:col>
                    <xdr:colOff>106680</xdr:colOff>
                    <xdr:row>128</xdr:row>
                    <xdr:rowOff>838200</xdr:rowOff>
                  </from>
                  <to>
                    <xdr:col>7</xdr:col>
                    <xdr:colOff>937260</xdr:colOff>
                    <xdr:row>128</xdr:row>
                    <xdr:rowOff>1021080</xdr:rowOff>
                  </to>
                </anchor>
              </controlPr>
            </control>
          </mc:Choice>
        </mc:AlternateContent>
        <mc:AlternateContent xmlns:mc="http://schemas.openxmlformats.org/markup-compatibility/2006">
          <mc:Choice Requires="x14">
            <control shapeId="241958" r:id="rId220" name="Group Box 260">
              <controlPr defaultSize="0" autoFill="0" autoPict="0">
                <anchor moveWithCells="1">
                  <from>
                    <xdr:col>7</xdr:col>
                    <xdr:colOff>0</xdr:colOff>
                    <xdr:row>128</xdr:row>
                    <xdr:rowOff>0</xdr:rowOff>
                  </from>
                  <to>
                    <xdr:col>8</xdr:col>
                    <xdr:colOff>0</xdr:colOff>
                    <xdr:row>129</xdr:row>
                    <xdr:rowOff>0</xdr:rowOff>
                  </to>
                </anchor>
              </controlPr>
            </control>
          </mc:Choice>
        </mc:AlternateContent>
        <mc:AlternateContent xmlns:mc="http://schemas.openxmlformats.org/markup-compatibility/2006">
          <mc:Choice Requires="x14">
            <control shapeId="241959" r:id="rId221" name="Option Button 261">
              <controlPr defaultSize="0" autoFill="0" autoLine="0" autoPict="0" altText="Case d'option 47">
                <anchor moveWithCells="1">
                  <from>
                    <xdr:col>7</xdr:col>
                    <xdr:colOff>106680</xdr:colOff>
                    <xdr:row>127</xdr:row>
                    <xdr:rowOff>68580</xdr:rowOff>
                  </from>
                  <to>
                    <xdr:col>7</xdr:col>
                    <xdr:colOff>1501140</xdr:colOff>
                    <xdr:row>127</xdr:row>
                    <xdr:rowOff>259080</xdr:rowOff>
                  </to>
                </anchor>
              </controlPr>
            </control>
          </mc:Choice>
        </mc:AlternateContent>
        <mc:AlternateContent xmlns:mc="http://schemas.openxmlformats.org/markup-compatibility/2006">
          <mc:Choice Requires="x14">
            <control shapeId="241961" r:id="rId222" name="Option Button 262">
              <controlPr defaultSize="0" autoFill="0" autoLine="0" autoPict="0">
                <anchor moveWithCells="1">
                  <from>
                    <xdr:col>7</xdr:col>
                    <xdr:colOff>106680</xdr:colOff>
                    <xdr:row>127</xdr:row>
                    <xdr:rowOff>304800</xdr:rowOff>
                  </from>
                  <to>
                    <xdr:col>7</xdr:col>
                    <xdr:colOff>1958340</xdr:colOff>
                    <xdr:row>127</xdr:row>
                    <xdr:rowOff>502920</xdr:rowOff>
                  </to>
                </anchor>
              </controlPr>
            </control>
          </mc:Choice>
        </mc:AlternateContent>
        <mc:AlternateContent xmlns:mc="http://schemas.openxmlformats.org/markup-compatibility/2006">
          <mc:Choice Requires="x14">
            <control shapeId="241962" r:id="rId223" name="Option Button 263">
              <controlPr defaultSize="0" autoFill="0" autoLine="0" autoPict="0">
                <anchor moveWithCells="1">
                  <from>
                    <xdr:col>7</xdr:col>
                    <xdr:colOff>106680</xdr:colOff>
                    <xdr:row>127</xdr:row>
                    <xdr:rowOff>579120</xdr:rowOff>
                  </from>
                  <to>
                    <xdr:col>7</xdr:col>
                    <xdr:colOff>1958340</xdr:colOff>
                    <xdr:row>127</xdr:row>
                    <xdr:rowOff>754380</xdr:rowOff>
                  </to>
                </anchor>
              </controlPr>
            </control>
          </mc:Choice>
        </mc:AlternateContent>
        <mc:AlternateContent xmlns:mc="http://schemas.openxmlformats.org/markup-compatibility/2006">
          <mc:Choice Requires="x14">
            <control shapeId="241963" r:id="rId224" name="Option Button 264">
              <controlPr defaultSize="0" autoFill="0" autoLine="0" autoPict="0">
                <anchor moveWithCells="1">
                  <from>
                    <xdr:col>7</xdr:col>
                    <xdr:colOff>106680</xdr:colOff>
                    <xdr:row>127</xdr:row>
                    <xdr:rowOff>822960</xdr:rowOff>
                  </from>
                  <to>
                    <xdr:col>7</xdr:col>
                    <xdr:colOff>937260</xdr:colOff>
                    <xdr:row>127</xdr:row>
                    <xdr:rowOff>1005840</xdr:rowOff>
                  </to>
                </anchor>
              </controlPr>
            </control>
          </mc:Choice>
        </mc:AlternateContent>
        <mc:AlternateContent xmlns:mc="http://schemas.openxmlformats.org/markup-compatibility/2006">
          <mc:Choice Requires="x14">
            <control shapeId="241964" r:id="rId225" name="Group Box 265">
              <controlPr defaultSize="0" autoFill="0" autoPict="0">
                <anchor moveWithCells="1">
                  <from>
                    <xdr:col>7</xdr:col>
                    <xdr:colOff>0</xdr:colOff>
                    <xdr:row>127</xdr:row>
                    <xdr:rowOff>0</xdr:rowOff>
                  </from>
                  <to>
                    <xdr:col>8</xdr:col>
                    <xdr:colOff>0</xdr:colOff>
                    <xdr:row>128</xdr:row>
                    <xdr:rowOff>0</xdr:rowOff>
                  </to>
                </anchor>
              </controlPr>
            </control>
          </mc:Choice>
        </mc:AlternateContent>
        <mc:AlternateContent xmlns:mc="http://schemas.openxmlformats.org/markup-compatibility/2006">
          <mc:Choice Requires="x14">
            <control shapeId="241965" r:id="rId226" name="Option Button 267">
              <controlPr defaultSize="0" autoFill="0" autoLine="0" autoPict="0">
                <anchor moveWithCells="1">
                  <from>
                    <xdr:col>7</xdr:col>
                    <xdr:colOff>114300</xdr:colOff>
                    <xdr:row>125</xdr:row>
                    <xdr:rowOff>167640</xdr:rowOff>
                  </from>
                  <to>
                    <xdr:col>7</xdr:col>
                    <xdr:colOff>1958340</xdr:colOff>
                    <xdr:row>125</xdr:row>
                    <xdr:rowOff>365760</xdr:rowOff>
                  </to>
                </anchor>
              </controlPr>
            </control>
          </mc:Choice>
        </mc:AlternateContent>
        <mc:AlternateContent xmlns:mc="http://schemas.openxmlformats.org/markup-compatibility/2006">
          <mc:Choice Requires="x14">
            <control shapeId="241966" r:id="rId227" name="Option Button 268">
              <controlPr defaultSize="0" autoFill="0" autoLine="0" autoPict="0">
                <anchor moveWithCells="1">
                  <from>
                    <xdr:col>7</xdr:col>
                    <xdr:colOff>114300</xdr:colOff>
                    <xdr:row>125</xdr:row>
                    <xdr:rowOff>426720</xdr:rowOff>
                  </from>
                  <to>
                    <xdr:col>7</xdr:col>
                    <xdr:colOff>1958340</xdr:colOff>
                    <xdr:row>125</xdr:row>
                    <xdr:rowOff>640080</xdr:rowOff>
                  </to>
                </anchor>
              </controlPr>
            </control>
          </mc:Choice>
        </mc:AlternateContent>
        <mc:AlternateContent xmlns:mc="http://schemas.openxmlformats.org/markup-compatibility/2006">
          <mc:Choice Requires="x14">
            <control shapeId="241969" r:id="rId228" name="Option Button 269">
              <controlPr defaultSize="0" autoFill="0" autoLine="0" autoPict="0">
                <anchor moveWithCells="1">
                  <from>
                    <xdr:col>7</xdr:col>
                    <xdr:colOff>114300</xdr:colOff>
                    <xdr:row>125</xdr:row>
                    <xdr:rowOff>701040</xdr:rowOff>
                  </from>
                  <to>
                    <xdr:col>7</xdr:col>
                    <xdr:colOff>1958340</xdr:colOff>
                    <xdr:row>125</xdr:row>
                    <xdr:rowOff>914400</xdr:rowOff>
                  </to>
                </anchor>
              </controlPr>
            </control>
          </mc:Choice>
        </mc:AlternateContent>
        <mc:AlternateContent xmlns:mc="http://schemas.openxmlformats.org/markup-compatibility/2006">
          <mc:Choice Requires="x14">
            <control shapeId="241970" r:id="rId229" name="Option Button 270">
              <controlPr defaultSize="0" autoFill="0" autoLine="0" autoPict="0">
                <anchor moveWithCells="1">
                  <from>
                    <xdr:col>7</xdr:col>
                    <xdr:colOff>114300</xdr:colOff>
                    <xdr:row>125</xdr:row>
                    <xdr:rowOff>982980</xdr:rowOff>
                  </from>
                  <to>
                    <xdr:col>7</xdr:col>
                    <xdr:colOff>1958340</xdr:colOff>
                    <xdr:row>125</xdr:row>
                    <xdr:rowOff>1196340</xdr:rowOff>
                  </to>
                </anchor>
              </controlPr>
            </control>
          </mc:Choice>
        </mc:AlternateContent>
        <mc:AlternateContent xmlns:mc="http://schemas.openxmlformats.org/markup-compatibility/2006">
          <mc:Choice Requires="x14">
            <control shapeId="241971" r:id="rId230" name="Group Box 271">
              <controlPr defaultSize="0" autoFill="0" autoPict="0">
                <anchor moveWithCells="1">
                  <from>
                    <xdr:col>7</xdr:col>
                    <xdr:colOff>0</xdr:colOff>
                    <xdr:row>125</xdr:row>
                    <xdr:rowOff>0</xdr:rowOff>
                  </from>
                  <to>
                    <xdr:col>8</xdr:col>
                    <xdr:colOff>0</xdr:colOff>
                    <xdr:row>126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CB4F3-B0D9-4612-AA8C-89A42665E21B}">
  <sheetPr codeName="Feuil15">
    <tabColor rgb="FF0097CC"/>
  </sheetPr>
  <dimension ref="A1:BF87"/>
  <sheetViews>
    <sheetView showGridLines="0" showRowColHeaders="0" zoomScale="53" zoomScaleNormal="53" zoomScalePageLayoutView="56" workbookViewId="0">
      <selection activeCell="AU10" sqref="AU10"/>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60"/>
      <c r="B1" s="261" t="s">
        <v>559</v>
      </c>
      <c r="C1" s="260"/>
      <c r="D1" s="260"/>
      <c r="E1" s="262"/>
      <c r="F1" s="262"/>
      <c r="G1" s="262"/>
      <c r="H1" s="262"/>
      <c r="I1" s="262"/>
      <c r="J1" s="263"/>
      <c r="K1" s="264"/>
      <c r="L1" s="262"/>
      <c r="M1" s="262"/>
      <c r="N1" s="265"/>
      <c r="O1" s="265"/>
      <c r="P1" s="265"/>
      <c r="Q1" s="265" t="str">
        <f>VLOOKUP($E$27,BDD!$A$2:$N$567,3,FALSE)</f>
        <v>Risques &amp; conformité</v>
      </c>
      <c r="R1" s="268"/>
      <c r="S1" s="269"/>
      <c r="T1" s="269"/>
      <c r="U1" s="269"/>
      <c r="V1" s="269"/>
      <c r="W1" s="269"/>
      <c r="X1" s="269"/>
      <c r="Y1" s="269"/>
      <c r="Z1" s="269"/>
      <c r="AA1" s="269"/>
      <c r="AB1" s="269"/>
      <c r="AC1" s="269"/>
      <c r="AD1" s="269"/>
      <c r="AE1" s="269"/>
      <c r="AF1" s="269"/>
      <c r="AG1" s="269"/>
      <c r="AH1" s="269"/>
      <c r="AI1" s="30"/>
    </row>
    <row r="2" spans="1:35" ht="45" customHeight="1" x14ac:dyDescent="0.3">
      <c r="A2" s="268"/>
      <c r="B2" s="268"/>
      <c r="C2" s="268"/>
      <c r="D2" s="268"/>
      <c r="E2" s="268"/>
      <c r="F2" s="268"/>
      <c r="G2" s="268"/>
      <c r="H2" s="268"/>
      <c r="I2" s="268"/>
      <c r="J2" s="268"/>
      <c r="K2" s="268"/>
      <c r="L2" s="268"/>
      <c r="M2" s="268"/>
      <c r="N2" s="270"/>
      <c r="O2" s="270"/>
      <c r="P2" s="270"/>
      <c r="Q2" s="270" t="str">
        <f>VLOOKUP($E$27,BDD!$A$2:$N$567,4,FALSE)</f>
        <v>Prendre en compte les risques numériques et la conformité dans les enjeux stratégiques, les processus métiers et les produits et services de l'organisation.</v>
      </c>
      <c r="R2" s="268"/>
      <c r="S2" s="271"/>
      <c r="T2" s="271"/>
      <c r="U2" s="271"/>
      <c r="V2" s="271"/>
      <c r="W2" s="271"/>
      <c r="X2" s="271"/>
      <c r="Y2" s="271"/>
      <c r="Z2" s="271"/>
      <c r="AA2" s="271"/>
      <c r="AB2" s="271"/>
      <c r="AC2" s="271"/>
      <c r="AD2" s="271"/>
      <c r="AE2" s="271"/>
      <c r="AF2" s="271"/>
      <c r="AG2" s="271"/>
      <c r="AH2" s="271"/>
      <c r="AI2" s="30"/>
    </row>
    <row r="3" spans="1:35" ht="45" customHeight="1" x14ac:dyDescent="0.5">
      <c r="A3" s="267"/>
      <c r="B3" s="30"/>
      <c r="C3" s="30"/>
      <c r="D3" s="30"/>
      <c r="E3" s="30"/>
      <c r="F3" s="30"/>
      <c r="G3" s="32"/>
      <c r="H3" s="32"/>
      <c r="I3" s="32"/>
      <c r="J3" s="32"/>
      <c r="K3" s="32"/>
      <c r="L3" s="34"/>
      <c r="M3" s="34"/>
      <c r="N3" s="30"/>
      <c r="O3" s="30"/>
      <c r="P3" s="30"/>
      <c r="Q3" s="30"/>
      <c r="R3" s="30"/>
      <c r="S3" s="30"/>
      <c r="T3" s="30"/>
      <c r="U3" s="30"/>
      <c r="V3" s="30"/>
      <c r="W3" s="320" t="s">
        <v>0</v>
      </c>
      <c r="X3" s="30"/>
      <c r="Y3" s="30"/>
      <c r="Z3" s="30"/>
      <c r="AA3" s="30"/>
      <c r="AB3" s="30"/>
      <c r="AC3" s="30"/>
      <c r="AD3" s="30"/>
      <c r="AE3" s="30"/>
      <c r="AF3" s="30"/>
      <c r="AG3" s="30"/>
      <c r="AH3" s="267"/>
      <c r="AI3" s="30"/>
    </row>
    <row r="4" spans="1:35" ht="18.600000000000001" thickBot="1" x14ac:dyDescent="0.35">
      <c r="A4" s="267"/>
      <c r="B4" s="30"/>
      <c r="C4" s="30"/>
      <c r="D4" s="30"/>
      <c r="E4" s="30"/>
      <c r="F4" s="30"/>
      <c r="G4" s="36" t="s">
        <v>1</v>
      </c>
      <c r="H4" s="34"/>
      <c r="I4" s="32"/>
      <c r="J4" s="34"/>
      <c r="K4" s="34"/>
      <c r="L4" s="37"/>
      <c r="M4" s="37"/>
      <c r="N4" s="30"/>
      <c r="O4" s="30"/>
      <c r="P4" s="30"/>
      <c r="Q4" s="30"/>
      <c r="R4" s="30"/>
      <c r="S4" s="30"/>
      <c r="T4" s="30"/>
      <c r="U4" s="30"/>
      <c r="V4" s="30"/>
      <c r="W4" s="33"/>
      <c r="X4" s="30"/>
      <c r="Y4" s="30"/>
      <c r="Z4" s="30"/>
      <c r="AA4" s="30"/>
      <c r="AB4" s="30"/>
      <c r="AC4" s="30"/>
      <c r="AD4" s="30"/>
      <c r="AE4" s="30"/>
      <c r="AF4" s="35"/>
      <c r="AG4" s="35"/>
      <c r="AH4" s="291"/>
      <c r="AI4" s="30"/>
    </row>
    <row r="5" spans="1:35" ht="30" customHeight="1" x14ac:dyDescent="0.3">
      <c r="A5" s="267"/>
      <c r="B5" s="30"/>
      <c r="C5" s="30"/>
      <c r="D5" s="30"/>
      <c r="E5" s="30" t="str">
        <f>RIGHT($B$1,1)&amp;"11"</f>
        <v>311</v>
      </c>
      <c r="F5" s="30"/>
      <c r="G5" s="196" t="str">
        <f>IF(VLOOKUP(E5,BDD!$A$2:$N$567,13,FALSE)=0,"",VLOOKUP(E5,BDD!$A$2:$N$567,13,FALSE))</f>
        <v>Assurer la résilience de l'organisation et l'exécution de sa stratégie en maîtrisant les risques numériques.</v>
      </c>
      <c r="H5" s="37"/>
      <c r="I5" s="32"/>
      <c r="K5" s="37"/>
      <c r="L5" s="452"/>
      <c r="M5" s="453"/>
      <c r="N5" s="454"/>
      <c r="O5" s="455"/>
      <c r="P5" s="455"/>
      <c r="Q5" s="455"/>
      <c r="R5" s="455"/>
      <c r="S5" s="455"/>
      <c r="T5" s="455"/>
      <c r="U5" s="455"/>
      <c r="V5" s="455"/>
      <c r="W5" s="455"/>
      <c r="X5" s="455"/>
      <c r="Y5" s="455"/>
      <c r="Z5" s="455"/>
      <c r="AA5" s="455"/>
      <c r="AB5" s="456"/>
      <c r="AC5" s="35"/>
      <c r="AD5" s="35"/>
      <c r="AE5" s="35"/>
      <c r="AF5" s="30"/>
      <c r="AG5" s="30"/>
      <c r="AH5" s="267"/>
      <c r="AI5" s="30"/>
    </row>
    <row r="6" spans="1:35" ht="41.4" customHeight="1" thickBot="1" x14ac:dyDescent="0.35">
      <c r="A6" s="290"/>
      <c r="B6" s="38"/>
      <c r="C6" s="38"/>
      <c r="D6" s="38"/>
      <c r="E6" s="38" t="str">
        <f>RIGHT($B$1,1)&amp;"12"</f>
        <v>312</v>
      </c>
      <c r="F6" s="38"/>
      <c r="G6" s="196" t="str">
        <f>IF(VLOOKUP(E6,BDD!$A$2:$N$567,13,FALSE)=0,"",VLOOKUP(E6,BDD!$A$2:$N$567,13,FALSE))</f>
        <v>Protéger l'organisation contre les impacts d'une cyberattaque par la mise en place d'un traitement holistique du risque cyber (prévention, détection, réaction, assurance...).</v>
      </c>
      <c r="H6" s="39"/>
      <c r="I6" s="32"/>
      <c r="K6" s="39"/>
      <c r="L6" s="457"/>
      <c r="M6" s="458"/>
      <c r="N6" s="420" t="s">
        <v>2</v>
      </c>
      <c r="O6" s="421" t="s">
        <v>3</v>
      </c>
      <c r="P6" s="421" t="s">
        <v>4</v>
      </c>
      <c r="Q6" s="421" t="s">
        <v>5</v>
      </c>
      <c r="R6" s="421" t="s">
        <v>6</v>
      </c>
      <c r="S6" s="421" t="s">
        <v>7</v>
      </c>
      <c r="T6" s="421" t="s">
        <v>8</v>
      </c>
      <c r="U6" s="421" t="s">
        <v>9</v>
      </c>
      <c r="V6" s="459"/>
      <c r="W6" s="460" t="s">
        <v>10</v>
      </c>
      <c r="X6" s="461" t="s">
        <v>11</v>
      </c>
      <c r="Y6" s="462"/>
      <c r="Z6" s="463" t="s">
        <v>12</v>
      </c>
      <c r="AA6" s="464" t="s">
        <v>13</v>
      </c>
      <c r="AB6" s="465"/>
      <c r="AC6" s="40"/>
      <c r="AD6" s="637" t="s">
        <v>14</v>
      </c>
      <c r="AE6" s="41" t="s">
        <v>15</v>
      </c>
      <c r="AF6" s="32"/>
      <c r="AG6" s="32"/>
      <c r="AH6" s="292"/>
      <c r="AI6" s="38"/>
    </row>
    <row r="7" spans="1:35" ht="41.4" x14ac:dyDescent="0.3">
      <c r="A7" s="290"/>
      <c r="B7" s="38"/>
      <c r="C7" s="38"/>
      <c r="D7" s="38"/>
      <c r="E7" s="38" t="str">
        <f>RIGHT($B$1,1)&amp;"13"</f>
        <v>313</v>
      </c>
      <c r="F7" s="38"/>
      <c r="G7" s="196" t="str">
        <f>IF(VLOOKUP(E7,BDD!$A$2:$N$567,13,FALSE)=0,"",VLOOKUP(E7,BDD!$A$2:$N$567,13,FALSE))</f>
        <v>Maîtriser les risques de dépendances technologiques de l'organisation dans un contexte géopolitique.</v>
      </c>
      <c r="H7" s="39"/>
      <c r="I7" s="32"/>
      <c r="K7" s="39"/>
      <c r="L7" s="457"/>
      <c r="M7" s="466" t="str">
        <f>IF(LEFT(RIGHT($B$1,2),1)=" ",RIGHT($B$1,1),RIGHT($B$1,2))&amp;1</f>
        <v>31</v>
      </c>
      <c r="N7" s="422" t="str">
        <f>RIGHT(M7,1)&amp;" : "&amp;VLOOKUP($M7&amp;"1",BDD!$A$2:$N$567,6,FALSE)</f>
        <v>1 : Cadres standardisé de gestion des risques numériques</v>
      </c>
      <c r="O7" s="423" t="str">
        <f>IF(VLOOKUP($M7&amp;RIGHT(O$6,1),BDD!$A$1:$S$428,15,FALSE)=4,"NE",IF(VLOOKUP($M7&amp;RIGHT(O$6,1),BDD!$A$1:$S$428,15,FALSE)=0,"NE",VLOOKUP($M7&amp;RIGHT(O$6,1),BDD!$A$1:$S$428,15,FALSE)))</f>
        <v>NE</v>
      </c>
      <c r="P7" s="423" t="str">
        <f>IF(VLOOKUP($M7&amp;RIGHT(P$6,1),BDD!$A$1:$S$428,15,FALSE)=4,"NE",IF(VLOOKUP($M7&amp;RIGHT(P$6,1),BDD!$A$1:$S$428,15,FALSE)=0,"NE",VLOOKUP($M7&amp;RIGHT(P$6,1),BDD!$A$1:$S$428,15,FALSE)))</f>
        <v>NE</v>
      </c>
      <c r="Q7" s="423" t="str">
        <f>IF(VLOOKUP($M7&amp;RIGHT(Q$6,1),BDD!$A$1:$S$428,15,FALSE)=4,"NE",IF(VLOOKUP($M7&amp;RIGHT(Q$6,1),BDD!$A$1:$S$428,15,FALSE)=0,"NE",VLOOKUP($M7&amp;RIGHT(Q$6,1),BDD!$A$1:$S$428,15,FALSE)))</f>
        <v>NE</v>
      </c>
      <c r="R7" s="423" t="str">
        <f>IF(VLOOKUP($M7&amp;RIGHT(R$6,1),BDD!$A$1:$S$428,15,FALSE)=4,"NE",IF(VLOOKUP($M7&amp;RIGHT(R$6,1),BDD!$A$1:$S$428,15,FALSE)=0,"NE",VLOOKUP($M7&amp;RIGHT(R$6,1),BDD!$A$1:$S$428,15,FALSE)))</f>
        <v>NE</v>
      </c>
      <c r="S7" s="423" t="str">
        <f>IF(VLOOKUP($M7&amp;RIGHT(S$6,1),BDD!$A$1:$S$428,15,FALSE)=4,"NE",IF(VLOOKUP($M7&amp;RIGHT(S$6,1),BDD!$A$1:$S$428,15,FALSE)=0,"NE",VLOOKUP($M7&amp;RIGHT(S$6,1),BDD!$A$1:$S$428,15,FALSE)))</f>
        <v>NE</v>
      </c>
      <c r="T7" s="423" t="str">
        <f>IF(VLOOKUP($M7&amp;RIGHT(T$6,1),BDD!$A$1:$S$428,15,FALSE)=4,"NE",IF(VLOOKUP($M7&amp;RIGHT(T$6,1),BDD!$A$1:$S$428,15,FALSE)=0,"NE",VLOOKUP($M7&amp;RIGHT(T$6,1),BDD!$A$1:$S$428,15,FALSE)))</f>
        <v>NE</v>
      </c>
      <c r="U7" s="423" t="str">
        <f>IF(VLOOKUP($M7&amp;RIGHT(U$6,1),BDD!$A$1:$S$428,15,FALSE)=4,"NE",IF(VLOOKUP($M7&amp;RIGHT(U$6,1),BDD!$A$1:$S$428,15,FALSE)=0,"NE",VLOOKUP($M7&amp;RIGHT(U$6,1),BDD!$A$1:$S$428,15,FALSE)))</f>
        <v>NE</v>
      </c>
      <c r="V7" s="459"/>
      <c r="W7" s="441" t="s">
        <v>16</v>
      </c>
      <c r="X7" s="442"/>
      <c r="Y7" s="467"/>
      <c r="Z7" s="468">
        <f>O25</f>
        <v>0</v>
      </c>
      <c r="AA7" s="469">
        <f>P25</f>
        <v>0</v>
      </c>
      <c r="AB7" s="465"/>
      <c r="AC7" s="40"/>
      <c r="AD7" s="638"/>
      <c r="AE7" s="44" t="s">
        <v>17</v>
      </c>
      <c r="AF7" s="32"/>
      <c r="AG7" s="32"/>
      <c r="AH7" s="292"/>
      <c r="AI7" s="38"/>
    </row>
    <row r="8" spans="1:35" ht="27.6" x14ac:dyDescent="0.3">
      <c r="A8" s="290"/>
      <c r="B8" s="38"/>
      <c r="C8" s="38"/>
      <c r="D8" s="38"/>
      <c r="E8" s="38" t="str">
        <f>RIGHT($B$1,1)&amp;"14"</f>
        <v>314</v>
      </c>
      <c r="F8" s="38"/>
      <c r="G8" s="196" t="str">
        <f>IF(VLOOKUP(E8,BDD!$A$2:$N$567,13,FALSE)=0,"",VLOOKUP(E8,BDD!$A$2:$N$567,13,FALSE))</f>
        <v>Rassurer les parties prenantes par une professionnalisation de la gestion des risques numériques. </v>
      </c>
      <c r="H8" s="39"/>
      <c r="I8" s="32"/>
      <c r="K8" s="39"/>
      <c r="L8" s="457"/>
      <c r="M8" s="466" t="str">
        <f>IF(LEFT(RIGHT($B$1,2),1)=" ",RIGHT($B$1,1),RIGHT($B$1,2))&amp;2</f>
        <v>32</v>
      </c>
      <c r="N8" s="424" t="str">
        <f>RIGHT(M8,1)&amp;" : "&amp;VLOOKUP($M8&amp;"1",BDD!$A$2:$N$567,6,FALSE)</f>
        <v>2 : Enjeux métiers et stratégiques</v>
      </c>
      <c r="O8" s="425" t="str">
        <f>IF(VLOOKUP($M8&amp;RIGHT(O$6,1),BDD!$A$1:$S$428,15,FALSE)=4,"NE",IF(VLOOKUP($M8&amp;RIGHT(O$6,1),BDD!$A$1:$S$428,15,FALSE)=0,"NE",VLOOKUP($M8&amp;RIGHT(O$6,1),BDD!$A$1:$S$428,15,FALSE)))</f>
        <v>NE</v>
      </c>
      <c r="P8" s="425" t="str">
        <f>IF(VLOOKUP($M8&amp;RIGHT(P$6,1),BDD!$A$1:$S$428,15,FALSE)=4,"NE",IF(VLOOKUP($M8&amp;RIGHT(P$6,1),BDD!$A$1:$S$428,15,FALSE)=0,"NE",VLOOKUP($M8&amp;RIGHT(P$6,1),BDD!$A$1:$S$428,15,FALSE)))</f>
        <v>NE</v>
      </c>
      <c r="Q8" s="425" t="str">
        <f>IF(VLOOKUP($M8&amp;RIGHT(Q$6,1),BDD!$A$1:$S$428,15,FALSE)=4,"NE",IF(VLOOKUP($M8&amp;RIGHT(Q$6,1),BDD!$A$1:$S$428,15,FALSE)=0,"NE",VLOOKUP($M8&amp;RIGHT(Q$6,1),BDD!$A$1:$S$428,15,FALSE)))</f>
        <v>NE</v>
      </c>
      <c r="R8" s="425" t="str">
        <f>IF(VLOOKUP($M8&amp;RIGHT(R$6,1),BDD!$A$1:$S$428,15,FALSE)=4,"NE",IF(VLOOKUP($M8&amp;RIGHT(R$6,1),BDD!$A$1:$S$428,15,FALSE)=0,"NE",VLOOKUP($M8&amp;RIGHT(R$6,1),BDD!$A$1:$S$428,15,FALSE)))</f>
        <v>NE</v>
      </c>
      <c r="S8" s="425" t="str">
        <f>IF(VLOOKUP($M8&amp;RIGHT(S$6,1),BDD!$A$1:$S$428,15,FALSE)=4,"NE",IF(VLOOKUP($M8&amp;RIGHT(S$6,1),BDD!$A$1:$S$428,15,FALSE)=0,"NE",VLOOKUP($M8&amp;RIGHT(S$6,1),BDD!$A$1:$S$428,15,FALSE)))</f>
        <v>NE</v>
      </c>
      <c r="T8" s="425" t="str">
        <f>IF(VLOOKUP($M8&amp;RIGHT(T$6,1),BDD!$A$1:$S$428,15,FALSE)=4,"NE",IF(VLOOKUP($M8&amp;RIGHT(T$6,1),BDD!$A$1:$S$428,15,FALSE)=0,"NE",VLOOKUP($M8&amp;RIGHT(T$6,1),BDD!$A$1:$S$428,15,FALSE)))</f>
        <v>NE</v>
      </c>
      <c r="U8" s="470" t="str">
        <f>IF(VLOOKUP($M8&amp;RIGHT(U$6,1),BDD!$A$1:$S$428,15,FALSE)=4,"NE",IF(VLOOKUP($M8&amp;RIGHT(U$6,1),BDD!$A$1:$S$428,15,FALSE)=0,"NE",VLOOKUP($M8&amp;RIGHT(U$6,1),BDD!$A$1:$S$428,15,FALSE)))</f>
        <v>NE</v>
      </c>
      <c r="V8" s="459"/>
      <c r="W8" s="443" t="s">
        <v>16</v>
      </c>
      <c r="X8" s="444"/>
      <c r="Y8" s="471"/>
      <c r="Z8" s="472">
        <f>O34</f>
        <v>0</v>
      </c>
      <c r="AA8" s="473">
        <f>P34</f>
        <v>0</v>
      </c>
      <c r="AB8" s="465"/>
      <c r="AC8" s="40"/>
      <c r="AD8" s="638"/>
      <c r="AE8" s="48" t="s">
        <v>18</v>
      </c>
      <c r="AF8" s="32"/>
      <c r="AG8" s="32"/>
      <c r="AH8" s="292"/>
      <c r="AI8" s="38"/>
    </row>
    <row r="9" spans="1:35" ht="30" customHeight="1" x14ac:dyDescent="0.3">
      <c r="A9" s="290"/>
      <c r="B9" s="38"/>
      <c r="C9" s="38"/>
      <c r="D9" s="38"/>
      <c r="E9" s="38" t="str">
        <f>RIGHT($B$1,1)&amp;"15"</f>
        <v>315</v>
      </c>
      <c r="F9" s="38"/>
      <c r="G9" s="196" t="str">
        <f>IF(VLOOKUP(E9,BDD!$A$2:$N$567,13,FALSE)=0,"",VLOOKUP(E9,BDD!$A$2:$N$567,13,FALSE))</f>
        <v>Garantir la conformité de l'organisation aux exigences applicables (réglementaires, contractuelles, et celles issues des  parties prenantes).</v>
      </c>
      <c r="H9" s="39"/>
      <c r="I9" s="32"/>
      <c r="K9" s="39"/>
      <c r="L9" s="457"/>
      <c r="M9" s="466" t="str">
        <f>IF(LEFT(RIGHT($B$1,2),1)=" ",RIGHT($B$1,1),RIGHT($B$1,2))&amp;3</f>
        <v>33</v>
      </c>
      <c r="N9" s="422" t="str">
        <f>RIGHT(M9,1)&amp;" : "&amp;VLOOKUP($M9&amp;"1",BDD!$A$2:$N$567,6,FALSE)</f>
        <v>3 : Revue de performance des contrôles</v>
      </c>
      <c r="O9" s="423" t="str">
        <f>IF(VLOOKUP($M9&amp;RIGHT(O$6,1),BDD!$A$1:$S$428,15,FALSE)=4,"NE",IF(VLOOKUP($M9&amp;RIGHT(O$6,1),BDD!$A$1:$S$428,15,FALSE)=0,"NE",VLOOKUP($M9&amp;RIGHT(O$6,1),BDD!$A$1:$S$428,15,FALSE)))</f>
        <v>NE</v>
      </c>
      <c r="P9" s="423" t="str">
        <f>IF(VLOOKUP($M9&amp;RIGHT(P$6,1),BDD!$A$1:$S$428,15,FALSE)=4,"NE",IF(VLOOKUP($M9&amp;RIGHT(P$6,1),BDD!$A$1:$S$428,15,FALSE)=0,"NE",VLOOKUP($M9&amp;RIGHT(P$6,1),BDD!$A$1:$S$428,15,FALSE)))</f>
        <v>NE</v>
      </c>
      <c r="Q9" s="423" t="str">
        <f>IF(VLOOKUP($M9&amp;RIGHT(Q$6,1),BDD!$A$1:$S$428,15,FALSE)=4,"NE",IF(VLOOKUP($M9&amp;RIGHT(Q$6,1),BDD!$A$1:$S$428,15,FALSE)=0,"NE",VLOOKUP($M9&amp;RIGHT(Q$6,1),BDD!$A$1:$S$428,15,FALSE)))</f>
        <v>NE</v>
      </c>
      <c r="R9" s="474"/>
      <c r="S9" s="475"/>
      <c r="T9" s="475"/>
      <c r="U9" s="430"/>
      <c r="V9" s="459"/>
      <c r="W9" s="445" t="s">
        <v>16</v>
      </c>
      <c r="X9" s="446"/>
      <c r="Y9" s="467"/>
      <c r="Z9" s="468">
        <f>O43</f>
        <v>0</v>
      </c>
      <c r="AA9" s="469">
        <f>P43</f>
        <v>0</v>
      </c>
      <c r="AB9" s="465"/>
      <c r="AC9" s="40"/>
      <c r="AD9" s="652"/>
      <c r="AE9" s="53" t="s">
        <v>19</v>
      </c>
      <c r="AF9" s="32"/>
      <c r="AG9" s="32"/>
      <c r="AH9" s="292"/>
      <c r="AI9" s="38"/>
    </row>
    <row r="10" spans="1:35" ht="30" customHeight="1" x14ac:dyDescent="0.3">
      <c r="A10" s="290"/>
      <c r="B10" s="38"/>
      <c r="C10" s="38"/>
      <c r="D10" s="38"/>
      <c r="E10" s="38" t="str">
        <f>RIGHT($B$1,1)&amp;"16"</f>
        <v>316</v>
      </c>
      <c r="F10" s="38"/>
      <c r="G10" s="31" t="str">
        <f>IF(VLOOKUP(E10,BDD!$A$2:$N$567,13,FALSE)=0,"",VLOOKUP(E10,BDD!$A$2:$N$567,13,FALSE))</f>
        <v/>
      </c>
      <c r="H10" s="39"/>
      <c r="I10" s="32"/>
      <c r="K10" s="39"/>
      <c r="L10" s="476"/>
      <c r="M10" s="477" t="str">
        <f>IF(LEFT(RIGHT($B$1,2),1)=" ",RIGHT($B$1,1),RIGHT($B$1,2))&amp;4</f>
        <v>34</v>
      </c>
      <c r="N10" s="424" t="str">
        <f>RIGHT(M10,1)&amp;" : "&amp;VLOOKUP($M10&amp;"1",BDD!$A$2:$N$567,6,FALSE)</f>
        <v>4 : Gestion des risques cyber</v>
      </c>
      <c r="O10" s="425" t="str">
        <f>IF(VLOOKUP($M10&amp;RIGHT(O$6,1),BDD!$A$1:$S$428,15,FALSE)=4,"NE",IF(VLOOKUP($M10&amp;RIGHT(O$6,1),BDD!$A$1:$S$428,15,FALSE)=0,"NE",VLOOKUP($M10&amp;RIGHT(O$6,1),BDD!$A$1:$S$428,15,FALSE)))</f>
        <v>NE</v>
      </c>
      <c r="P10" s="425" t="str">
        <f>IF(VLOOKUP($M10&amp;RIGHT(P$6,1),BDD!$A$1:$S$428,15,FALSE)=4,"NE",IF(VLOOKUP($M10&amp;RIGHT(P$6,1),BDD!$A$1:$S$428,15,FALSE)=0,"NE",VLOOKUP($M10&amp;RIGHT(P$6,1),BDD!$A$1:$S$428,15,FALSE)))</f>
        <v>NE</v>
      </c>
      <c r="Q10" s="425" t="str">
        <f>IF(VLOOKUP($M10&amp;RIGHT(Q$6,1),BDD!$A$1:$S$428,15,FALSE)=4,"NE",IF(VLOOKUP($M10&amp;RIGHT(Q$6,1),BDD!$A$1:$S$428,15,FALSE)=0,"NE",VLOOKUP($M10&amp;RIGHT(Q$6,1),BDD!$A$1:$S$428,15,FALSE)))</f>
        <v>NE</v>
      </c>
      <c r="R10" s="425" t="str">
        <f>IF(VLOOKUP($M10&amp;RIGHT(R$6,1),BDD!$A$1:$S$428,15,FALSE)=4,"NE",IF(VLOOKUP($M10&amp;RIGHT(R$6,1),BDD!$A$1:$S$428,15,FALSE)=0,"NE",VLOOKUP($M10&amp;RIGHT(R$6,1),BDD!$A$1:$S$428,15,FALSE)))</f>
        <v>NE</v>
      </c>
      <c r="S10" s="425" t="str">
        <f>IF(VLOOKUP($M10&amp;RIGHT(S$6,1),BDD!$A$1:$S$428,15,FALSE)=4,"NE",IF(VLOOKUP($M10&amp;RIGHT(S$6,1),BDD!$A$1:$S$428,15,FALSE)=0,"NE",VLOOKUP($M10&amp;RIGHT(S$6,1),BDD!$A$1:$S$428,15,FALSE)))</f>
        <v>NE</v>
      </c>
      <c r="T10" s="425" t="str">
        <f>IF(VLOOKUP($M10&amp;RIGHT(T$6,1),BDD!$A$1:$S$428,15,FALSE)=4,"NE",IF(VLOOKUP($M10&amp;RIGHT(T$6,1),BDD!$A$1:$S$428,15,FALSE)=0,"NE",VLOOKUP($M10&amp;RIGHT(T$6,1),BDD!$A$1:$S$428,15,FALSE)))</f>
        <v>NE</v>
      </c>
      <c r="U10" s="427"/>
      <c r="V10" s="459"/>
      <c r="W10" s="443" t="s">
        <v>16</v>
      </c>
      <c r="X10" s="444"/>
      <c r="Y10" s="467"/>
      <c r="Z10" s="472">
        <f>O48</f>
        <v>0</v>
      </c>
      <c r="AA10" s="473">
        <f>P48</f>
        <v>0</v>
      </c>
      <c r="AB10" s="465"/>
      <c r="AC10" s="40"/>
      <c r="AD10" s="212"/>
      <c r="AF10" s="51"/>
      <c r="AG10" s="52"/>
      <c r="AH10" s="293"/>
      <c r="AI10" s="38"/>
    </row>
    <row r="11" spans="1:35" ht="30" customHeight="1" x14ac:dyDescent="0.3">
      <c r="A11" s="267"/>
      <c r="B11" s="30"/>
      <c r="C11" s="30"/>
      <c r="D11" s="30"/>
      <c r="E11" s="30" t="str">
        <f>RIGHT($B$1,1)&amp;"17"</f>
        <v>317</v>
      </c>
      <c r="F11" s="30"/>
      <c r="G11" s="31" t="str">
        <f>IF(VLOOKUP(E11,BDD!$A$2:$N$567,13,FALSE)=0,"",VLOOKUP(E11,BDD!$A$2:$N$567,13,FALSE))</f>
        <v/>
      </c>
      <c r="H11" s="52"/>
      <c r="I11" s="32"/>
      <c r="K11" s="52"/>
      <c r="L11" s="478"/>
      <c r="M11" s="479" t="str">
        <f>IF(LEFT(RIGHT($B$1,2),1)=" ",RIGHT($B$1,1),RIGHT($B$1,2))&amp;5</f>
        <v>35</v>
      </c>
      <c r="N11" s="422" t="str">
        <f>RIGHT(M11,1)&amp;" : "&amp;VLOOKUP($M11&amp;"1",BDD!$A$2:$N$567,6,FALSE)</f>
        <v xml:space="preserve">5 : Protection  des infrastructures </v>
      </c>
      <c r="O11" s="423" t="str">
        <f>IF(VLOOKUP($M11&amp;RIGHT(O$6,1),BDD!$A$1:$S$428,15,FALSE)=4,"NE",IF(VLOOKUP($M11&amp;RIGHT(O$6,1),BDD!$A$1:$S$428,15,FALSE)=0,"NE",VLOOKUP($M11&amp;RIGHT(O$6,1),BDD!$A$1:$S$428,15,FALSE)))</f>
        <v>NE</v>
      </c>
      <c r="P11" s="423" t="str">
        <f>IF(VLOOKUP($M11&amp;RIGHT(P$6,1),BDD!$A$1:$S$428,15,FALSE)=4,"NE",IF(VLOOKUP($M11&amp;RIGHT(P$6,1),BDD!$A$1:$S$428,15,FALSE)=0,"NE",VLOOKUP($M11&amp;RIGHT(P$6,1),BDD!$A$1:$S$428,15,FALSE)))</f>
        <v>NE</v>
      </c>
      <c r="Q11" s="423" t="str">
        <f>IF(VLOOKUP($M11&amp;RIGHT(Q$6,1),BDD!$A$1:$S$428,15,FALSE)=4,"NE",IF(VLOOKUP($M11&amp;RIGHT(Q$6,1),BDD!$A$1:$S$428,15,FALSE)=0,"NE",VLOOKUP($M11&amp;RIGHT(Q$6,1),BDD!$A$1:$S$428,15,FALSE)))</f>
        <v>NE</v>
      </c>
      <c r="R11" s="423" t="str">
        <f>IF(VLOOKUP($M11&amp;RIGHT(R$6,1),BDD!$A$1:$S$428,15,FALSE)=4,"NE",IF(VLOOKUP($M11&amp;RIGHT(R$6,1),BDD!$A$1:$S$428,15,FALSE)=0,"NE",VLOOKUP($M11&amp;RIGHT(R$6,1),BDD!$A$1:$S$428,15,FALSE)))</f>
        <v>NE</v>
      </c>
      <c r="S11" s="423" t="str">
        <f>IF(VLOOKUP($M11&amp;RIGHT(S$6,1),BDD!$A$1:$S$428,15,FALSE)=4,"NE",IF(VLOOKUP($M11&amp;RIGHT(S$6,1),BDD!$A$1:$S$428,15,FALSE)=0,"NE",VLOOKUP($M11&amp;RIGHT(S$6,1),BDD!$A$1:$S$428,15,FALSE)))</f>
        <v>NE</v>
      </c>
      <c r="T11" s="475"/>
      <c r="U11" s="430"/>
      <c r="V11" s="459"/>
      <c r="W11" s="445" t="s">
        <v>16</v>
      </c>
      <c r="X11" s="446"/>
      <c r="Y11" s="467"/>
      <c r="Z11" s="468">
        <f>O56</f>
        <v>0</v>
      </c>
      <c r="AA11" s="469">
        <f>P56</f>
        <v>0</v>
      </c>
      <c r="AB11" s="465"/>
      <c r="AC11" s="40"/>
      <c r="AD11" s="213"/>
      <c r="AF11" s="51"/>
      <c r="AG11" s="52"/>
      <c r="AH11" s="293"/>
      <c r="AI11" s="30"/>
    </row>
    <row r="12" spans="1:35" ht="30" customHeight="1" x14ac:dyDescent="0.3">
      <c r="A12" s="267"/>
      <c r="B12" s="30"/>
      <c r="C12" s="30"/>
      <c r="D12" s="30"/>
      <c r="E12" s="30"/>
      <c r="F12" s="30"/>
      <c r="G12" s="54" t="s">
        <v>20</v>
      </c>
      <c r="H12" s="32"/>
      <c r="I12" s="32"/>
      <c r="K12" s="32"/>
      <c r="L12" s="457"/>
      <c r="M12" s="466" t="str">
        <f>IF(LEFT(RIGHT($B$1,2),1)=" ",RIGHT($B$1,1),RIGHT($B$1,2))&amp;6</f>
        <v>36</v>
      </c>
      <c r="N12" s="424" t="str">
        <f>RIGHT(M12,1)&amp;" : "&amp;VLOOKUP($M12&amp;"1",BDD!$A$2:$N$567,6,FALSE)</f>
        <v>6 : Résilience et continuité d'activité</v>
      </c>
      <c r="O12" s="425" t="str">
        <f>IF(VLOOKUP($M12&amp;RIGHT(O$6,1),BDD!$A$1:$S$428,15,FALSE)=4,"NE",IF(VLOOKUP($M12&amp;RIGHT(O$6,1),BDD!$A$1:$S$428,15,FALSE)=0,"NE",VLOOKUP($M12&amp;RIGHT(O$6,1),BDD!$A$1:$S$428,15,FALSE)))</f>
        <v>NE</v>
      </c>
      <c r="P12" s="425" t="str">
        <f>IF(VLOOKUP($M12&amp;RIGHT(P$6,1),BDD!$A$1:$S$428,15,FALSE)=4,"NE",IF(VLOOKUP($M12&amp;RIGHT(P$6,1),BDD!$A$1:$S$428,15,FALSE)=0,"NE",VLOOKUP($M12&amp;RIGHT(P$6,1),BDD!$A$1:$S$428,15,FALSE)))</f>
        <v>NE</v>
      </c>
      <c r="Q12" s="425" t="str">
        <f>IF(VLOOKUP($M12&amp;RIGHT(Q$6,1),BDD!$A$1:$S$428,15,FALSE)=4,"NE",IF(VLOOKUP($M12&amp;RIGHT(Q$6,1),BDD!$A$1:$S$428,15,FALSE)=0,"NE",VLOOKUP($M12&amp;RIGHT(Q$6,1),BDD!$A$1:$S$428,15,FALSE)))</f>
        <v>NE</v>
      </c>
      <c r="R12" s="425" t="str">
        <f>IF(VLOOKUP($M12&amp;RIGHT(R$6,1),BDD!$A$1:$S$428,15,FALSE)=4,"NE",IF(VLOOKUP($M12&amp;RIGHT(R$6,1),BDD!$A$1:$S$428,15,FALSE)=0,"NE",VLOOKUP($M12&amp;RIGHT(R$6,1),BDD!$A$1:$S$428,15,FALSE)))</f>
        <v>NE</v>
      </c>
      <c r="S12" s="425" t="str">
        <f>IF(VLOOKUP($M12&amp;RIGHT(S$6,1),BDD!$A$1:$S$428,15,FALSE)=4,"NE",IF(VLOOKUP($M12&amp;RIGHT(S$6,1),BDD!$A$1:$S$428,15,FALSE)=0,"NE",VLOOKUP($M12&amp;RIGHT(S$6,1),BDD!$A$1:$S$428,15,FALSE)))</f>
        <v>NE</v>
      </c>
      <c r="T12" s="426"/>
      <c r="U12" s="427"/>
      <c r="V12" s="459"/>
      <c r="W12" s="443" t="s">
        <v>16</v>
      </c>
      <c r="X12" s="444"/>
      <c r="Y12" s="471"/>
      <c r="Z12" s="472">
        <f>O63</f>
        <v>0</v>
      </c>
      <c r="AA12" s="473">
        <f>P63</f>
        <v>0</v>
      </c>
      <c r="AB12" s="465"/>
      <c r="AC12" s="40"/>
      <c r="AD12" s="30"/>
      <c r="AE12" s="55"/>
      <c r="AF12" s="55"/>
      <c r="AG12" s="30"/>
      <c r="AH12" s="267"/>
      <c r="AI12" s="30"/>
    </row>
    <row r="13" spans="1:35" ht="41.4" x14ac:dyDescent="0.3">
      <c r="A13" s="267"/>
      <c r="B13" s="30"/>
      <c r="C13" s="30"/>
      <c r="D13" s="30"/>
      <c r="E13" s="30" t="str">
        <f>RIGHT($B$1,1)&amp;"11"</f>
        <v>311</v>
      </c>
      <c r="F13" s="30"/>
      <c r="G13" s="197" t="str">
        <f>IF(VLOOKUP(E13,BDD!$A$2:$N$567,14,FALSE)=0,"",VLOOKUP(E13,BDD!$A$2:$N$567,14,FALSE))</f>
        <v>Manque de fiabilité, de conformité, d’intégrité, de disponibilité et de confidentialité des informations critiques ou sensibles de l’organisation (données financières, commerciales, personnelles, stratégiques, ou liées à son savoir-faire).</v>
      </c>
      <c r="H13" s="34"/>
      <c r="I13" s="32"/>
      <c r="K13" s="52"/>
      <c r="L13" s="457"/>
      <c r="M13" s="466" t="str">
        <f>IF(LEFT(RIGHT($B$1,2),1)=" ",RIGHT($B$1,1),RIGHT($B$1,2))&amp;7</f>
        <v>37</v>
      </c>
      <c r="N13" s="422" t="str">
        <f>RIGHT(M13,1)&amp;" : "&amp;VLOOKUP($M13&amp;"1",BDD!$A$2:$N$567,6,FALSE)</f>
        <v>7 : Protection des données</v>
      </c>
      <c r="O13" s="423" t="str">
        <f>IF(VLOOKUP($M13&amp;RIGHT(O$6,1),BDD!$A$1:$S$428,15,FALSE)=4,"NE",IF(VLOOKUP($M13&amp;RIGHT(O$6,1),BDD!$A$1:$S$428,15,FALSE)=0,"NE",VLOOKUP($M13&amp;RIGHT(O$6,1),BDD!$A$1:$S$428,15,FALSE)))</f>
        <v>NE</v>
      </c>
      <c r="P13" s="423" t="str">
        <f>IF(VLOOKUP($M13&amp;RIGHT(P$6,1),BDD!$A$1:$S$428,15,FALSE)=4,"NE",IF(VLOOKUP($M13&amp;RIGHT(P$6,1),BDD!$A$1:$S$428,15,FALSE)=0,"NE",VLOOKUP($M13&amp;RIGHT(P$6,1),BDD!$A$1:$S$428,15,FALSE)))</f>
        <v>NE</v>
      </c>
      <c r="Q13" s="423" t="str">
        <f>IF(VLOOKUP($M13&amp;RIGHT(Q$6,1),BDD!$A$1:$S$428,15,FALSE)=4,"NE",IF(VLOOKUP($M13&amp;RIGHT(Q$6,1),BDD!$A$1:$S$428,15,FALSE)=0,"NE",VLOOKUP($M13&amp;RIGHT(Q$6,1),BDD!$A$1:$S$428,15,FALSE)))</f>
        <v>NE</v>
      </c>
      <c r="R13" s="428" t="str">
        <f>IF(VLOOKUP($M13&amp;RIGHT(R$6,1),BDD!$A$1:$S$428,15,FALSE)=4,"NE",IF(VLOOKUP($M13&amp;RIGHT(R$6,1),BDD!$A$1:$S$428,15,FALSE)=0,"NE",VLOOKUP($M13&amp;RIGHT(R$6,1),BDD!$A$1:$S$428,15,FALSE)))</f>
        <v>NE</v>
      </c>
      <c r="S13" s="423" t="str">
        <f>IF(VLOOKUP($M13&amp;RIGHT(S$6,1),BDD!$A$1:$S$428,15,FALSE)=4,"NE",IF(VLOOKUP($M13&amp;RIGHT(S$6,1),BDD!$A$1:$S$428,15,FALSE)=0,"NE",VLOOKUP($M13&amp;RIGHT(S$6,1),BDD!$A$1:$S$428,15,FALSE)))</f>
        <v>NE</v>
      </c>
      <c r="T13" s="475"/>
      <c r="U13" s="430"/>
      <c r="V13" s="459"/>
      <c r="W13" s="445" t="s">
        <v>16</v>
      </c>
      <c r="X13" s="446"/>
      <c r="Y13" s="467"/>
      <c r="Z13" s="468">
        <f>O70</f>
        <v>0</v>
      </c>
      <c r="AA13" s="469">
        <f>P70</f>
        <v>0</v>
      </c>
      <c r="AB13" s="465"/>
      <c r="AC13" s="40"/>
      <c r="AD13" s="56"/>
      <c r="AE13" s="56"/>
      <c r="AF13" s="56"/>
      <c r="AG13" s="40"/>
      <c r="AH13" s="294"/>
      <c r="AI13" s="30"/>
    </row>
    <row r="14" spans="1:35" ht="28.2" thickBot="1" x14ac:dyDescent="0.35">
      <c r="A14" s="267"/>
      <c r="B14" s="30"/>
      <c r="C14" s="30"/>
      <c r="D14" s="30"/>
      <c r="E14" s="30" t="str">
        <f>RIGHT($B$1,1)&amp;"12"</f>
        <v>312</v>
      </c>
      <c r="F14" s="30"/>
      <c r="G14" s="197" t="str">
        <f>IF(VLOOKUP(E14,BDD!$A$2:$N$567,14,FALSE)=0,"",VLOOKUP(E14,BDD!$A$2:$N$567,14,FALSE))</f>
        <v>Manque de capacité de l’organisation à faire face aux risques numériques sur les projets, les applications majeures, les infrastructures clés et les données critiques.</v>
      </c>
      <c r="H14" s="57"/>
      <c r="I14" s="32"/>
      <c r="K14" s="32"/>
      <c r="L14" s="476"/>
      <c r="M14" s="477" t="str">
        <f>IF(LEFT(RIGHT($B$1,2),1)=" ",RIGHT($B$1,1),RIGHT($B$1,2))&amp;8</f>
        <v>38</v>
      </c>
      <c r="N14" s="424" t="str">
        <f>RIGHT(M14,1)&amp;" : "&amp;VLOOKUP($M14&amp;"1",BDD!$A$2:$N$567,6,FALSE)</f>
        <v>8 : Conformité</v>
      </c>
      <c r="O14" s="425" t="str">
        <f>IF(VLOOKUP($M14&amp;RIGHT(O$6,1),BDD!$A$1:$S$428,15,FALSE)=4,"NE",IF(VLOOKUP($M14&amp;RIGHT(O$6,1),BDD!$A$1:$S$428,15,FALSE)=0,"NE",VLOOKUP($M14&amp;RIGHT(O$6,1),BDD!$A$1:$S$428,15,FALSE)))</f>
        <v>NE</v>
      </c>
      <c r="P14" s="425" t="str">
        <f>IF(VLOOKUP($M14&amp;RIGHT(P$6,1),BDD!$A$1:$S$428,15,FALSE)=4,"NE",IF(VLOOKUP($M14&amp;RIGHT(P$6,1),BDD!$A$1:$S$428,15,FALSE)=0,"NE",VLOOKUP($M14&amp;RIGHT(P$6,1),BDD!$A$1:$S$428,15,FALSE)))</f>
        <v>NE</v>
      </c>
      <c r="Q14" s="425" t="str">
        <f>IF(VLOOKUP($M14&amp;RIGHT(Q$6,1),BDD!$A$1:$S$428,15,FALSE)=4,"NE",IF(VLOOKUP($M14&amp;RIGHT(Q$6,1),BDD!$A$1:$S$428,15,FALSE)=0,"NE",VLOOKUP($M14&amp;RIGHT(Q$6,1),BDD!$A$1:$S$428,15,FALSE)))</f>
        <v>NE</v>
      </c>
      <c r="R14" s="425" t="str">
        <f>IF(VLOOKUP($M14&amp;RIGHT(R$6,1),BDD!$A$1:$S$428,15,FALSE)=4,"NE",IF(VLOOKUP($M14&amp;RIGHT(R$6,1),BDD!$A$1:$S$428,15,FALSE)=0,"NE",VLOOKUP($M14&amp;RIGHT(R$6,1),BDD!$A$1:$S$428,15,FALSE)))</f>
        <v>NE</v>
      </c>
      <c r="S14" s="425" t="str">
        <f>IF(VLOOKUP($M14&amp;RIGHT(S$6,1),BDD!$A$1:$S$428,15,FALSE)=4,"NE",IF(VLOOKUP($M14&amp;RIGHT(S$6,1),BDD!$A$1:$S$428,15,FALSE)=0,"NE",VLOOKUP($M14&amp;RIGHT(S$6,1),BDD!$A$1:$S$428,15,FALSE)))</f>
        <v>NE</v>
      </c>
      <c r="T14" s="425" t="str">
        <f>IF(VLOOKUP($M14&amp;RIGHT(T$6,1),BDD!$A$1:$S$428,15,FALSE)=4,"NE",IF(VLOOKUP($M14&amp;RIGHT(T$6,1),BDD!$A$1:$S$428,15,FALSE)=0,"NE",VLOOKUP($M14&amp;RIGHT(T$6,1),BDD!$A$1:$S$428,15,FALSE)))</f>
        <v>NE</v>
      </c>
      <c r="U14" s="470" t="str">
        <f>IF(VLOOKUP($M14&amp;RIGHT(U$6,1),BDD!$A$1:$S$428,15,FALSE)=4,"NE",IF(VLOOKUP($M14&amp;RIGHT(U$6,1),BDD!$A$1:$S$428,15,FALSE)=0,"NE",VLOOKUP($M14&amp;RIGHT(U$6,1),BDD!$A$1:$S$428,15,FALSE)))</f>
        <v>NE</v>
      </c>
      <c r="V14" s="459"/>
      <c r="W14" s="447" t="s">
        <v>16</v>
      </c>
      <c r="X14" s="448"/>
      <c r="Y14" s="467"/>
      <c r="Z14" s="472">
        <f>O77</f>
        <v>0</v>
      </c>
      <c r="AA14" s="473">
        <f>P77</f>
        <v>0</v>
      </c>
      <c r="AB14" s="465"/>
      <c r="AC14" s="40"/>
      <c r="AD14" s="30"/>
      <c r="AE14" s="30"/>
      <c r="AF14" s="30"/>
      <c r="AG14" s="30"/>
      <c r="AH14" s="267"/>
      <c r="AI14" s="30"/>
    </row>
    <row r="15" spans="1:35" ht="30" customHeight="1" x14ac:dyDescent="0.3">
      <c r="A15" s="267"/>
      <c r="B15" s="30"/>
      <c r="C15" s="30"/>
      <c r="D15" s="30"/>
      <c r="E15" s="30" t="str">
        <f>RIGHT($B$1,1)&amp;"13"</f>
        <v>313</v>
      </c>
      <c r="F15" s="30"/>
      <c r="G15" s="197" t="str">
        <f>IF(VLOOKUP(E15,BDD!$A$2:$N$567,14,FALSE)=0,"",VLOOKUP(E15,BDD!$A$2:$N$567,14,FALSE))</f>
        <v>Difficulté à gérer la complexité croissante des technologies utilisées dans l'organisation.</v>
      </c>
      <c r="H15" s="58"/>
      <c r="I15" s="32"/>
      <c r="K15" s="52"/>
      <c r="L15" s="480"/>
      <c r="M15" s="481"/>
      <c r="N15" s="482"/>
      <c r="O15" s="482"/>
      <c r="P15" s="482"/>
      <c r="Q15" s="482"/>
      <c r="R15" s="482"/>
      <c r="S15" s="482"/>
      <c r="T15" s="482"/>
      <c r="U15" s="482"/>
      <c r="V15" s="482"/>
      <c r="W15" s="483"/>
      <c r="X15" s="484"/>
      <c r="Y15" s="484"/>
      <c r="Z15" s="484"/>
      <c r="AA15" s="484"/>
      <c r="AB15" s="485"/>
      <c r="AC15" s="55"/>
      <c r="AD15" s="30"/>
      <c r="AE15" s="30"/>
      <c r="AF15" s="30"/>
      <c r="AG15" s="30"/>
      <c r="AH15" s="267"/>
      <c r="AI15" s="30"/>
    </row>
    <row r="16" spans="1:35" ht="31.8" thickBot="1" x14ac:dyDescent="0.35">
      <c r="A16" s="267"/>
      <c r="B16" s="30"/>
      <c r="C16" s="30"/>
      <c r="D16" s="30"/>
      <c r="E16" s="30" t="str">
        <f>RIGHT($B$1,1)&amp;"14"</f>
        <v>314</v>
      </c>
      <c r="F16" s="30"/>
      <c r="G16" s="197" t="str">
        <f>IF(VLOOKUP(E16,BDD!$A$2:$N$567,14,FALSE)=0,"",VLOOKUP(E16,BDD!$A$2:$N$567,14,FALSE))</f>
        <v>Incapacité à maîtriser les risques liés à la dépendance technologique ou à une utilisation non maîtrisée des technologies.</v>
      </c>
      <c r="H16" s="58"/>
      <c r="I16" s="32"/>
      <c r="K16" s="34"/>
      <c r="L16" s="486"/>
      <c r="M16" s="481"/>
      <c r="N16" s="487" t="str">
        <f>"Evaluation globale du vecteur "&amp;RIGHT(B1,2)</f>
        <v>Evaluation globale du vecteur  3</v>
      </c>
      <c r="O16" s="488"/>
      <c r="P16" s="488"/>
      <c r="Q16" s="488"/>
      <c r="R16" s="488"/>
      <c r="S16" s="488"/>
      <c r="T16" s="488"/>
      <c r="U16" s="488"/>
      <c r="V16" s="488"/>
      <c r="W16" s="489"/>
      <c r="X16" s="484"/>
      <c r="Y16" s="467"/>
      <c r="Z16" s="490" t="s">
        <v>642</v>
      </c>
      <c r="AA16" s="491" t="s">
        <v>643</v>
      </c>
      <c r="AB16" s="485"/>
      <c r="AC16" s="30"/>
      <c r="AF16" s="30"/>
      <c r="AG16" s="30"/>
      <c r="AH16" s="267"/>
      <c r="AI16" s="30"/>
    </row>
    <row r="17" spans="1:58" ht="28.2" thickBot="1" x14ac:dyDescent="0.35">
      <c r="A17" s="267"/>
      <c r="B17" s="30"/>
      <c r="C17" s="30"/>
      <c r="D17" s="30"/>
      <c r="E17" s="30" t="str">
        <f>RIGHT($B$1,1)&amp;"15"</f>
        <v>315</v>
      </c>
      <c r="F17" s="30"/>
      <c r="G17" s="197" t="str">
        <f>IF(VLOOKUP(E17,BDD!$A$2:$N$567,14,FALSE)=0,"",VLOOKUP(E17,BDD!$A$2:$N$567,14,FALSE))</f>
        <v>Augmentation des occurrences d’attaques sophistiquées accroissant l'exposition au risque global.</v>
      </c>
      <c r="H17" s="58"/>
      <c r="I17" s="32"/>
      <c r="K17" s="57"/>
      <c r="L17" s="478"/>
      <c r="M17" s="481"/>
      <c r="N17" s="451"/>
      <c r="O17" s="492"/>
      <c r="P17" s="492"/>
      <c r="Q17" s="492"/>
      <c r="R17" s="492"/>
      <c r="S17" s="492"/>
      <c r="T17" s="492"/>
      <c r="U17" s="492"/>
      <c r="V17" s="492"/>
      <c r="W17" s="449" t="s">
        <v>16</v>
      </c>
      <c r="X17" s="450"/>
      <c r="Y17" s="484"/>
      <c r="Z17" s="493">
        <f>O22</f>
        <v>0</v>
      </c>
      <c r="AA17" s="494">
        <f>SUM($W$24:$W$80)</f>
        <v>0</v>
      </c>
      <c r="AB17" s="485"/>
      <c r="AC17" s="30"/>
      <c r="AD17" s="30"/>
      <c r="AE17" s="30"/>
      <c r="AF17" s="30"/>
      <c r="AG17" s="30"/>
      <c r="AH17" s="267"/>
      <c r="AI17" s="30"/>
    </row>
    <row r="18" spans="1:58" ht="55.8" thickBot="1" x14ac:dyDescent="0.35">
      <c r="A18" s="267"/>
      <c r="B18" s="30"/>
      <c r="C18" s="30"/>
      <c r="D18" s="30"/>
      <c r="E18" s="30" t="str">
        <f>RIGHT($B$1,1)&amp;"16"</f>
        <v>316</v>
      </c>
      <c r="F18" s="30"/>
      <c r="G18" s="197" t="str">
        <f>IF(VLOOKUP(E18,BDD!$A$2:$N$567,14,FALSE)=0,"",VLOOKUP(E18,BDD!$A$2:$N$567,14,FALSE))</f>
        <v xml:space="preserve">Perte financière liée à une interruption d'activité, à une perte de confiance des clients, à un changement de modèle économique d'un fournisseur ou d’un prestataire, ou à une non-conformité (coût de reconstruction, augmentation des primes d'assurance, changement de fournisseur ou de technologie). </v>
      </c>
      <c r="H18" s="58"/>
      <c r="I18" s="58"/>
      <c r="K18" s="58"/>
      <c r="L18" s="495"/>
      <c r="M18" s="496"/>
      <c r="N18" s="497"/>
      <c r="O18" s="497"/>
      <c r="P18" s="497"/>
      <c r="Q18" s="497"/>
      <c r="R18" s="497"/>
      <c r="S18" s="497"/>
      <c r="T18" s="497"/>
      <c r="U18" s="497"/>
      <c r="V18" s="497"/>
      <c r="W18" s="498"/>
      <c r="X18" s="497"/>
      <c r="Y18" s="497"/>
      <c r="Z18" s="497"/>
      <c r="AA18" s="497"/>
      <c r="AB18" s="499"/>
      <c r="AC18" s="30"/>
      <c r="AD18" s="30"/>
      <c r="AE18" s="30"/>
      <c r="AF18" s="30"/>
      <c r="AG18" s="30"/>
      <c r="AH18" s="267"/>
      <c r="AI18" s="30"/>
    </row>
    <row r="19" spans="1:58" ht="50.4" customHeight="1" x14ac:dyDescent="0.3">
      <c r="A19" s="267"/>
      <c r="B19" s="30"/>
      <c r="C19" s="30"/>
      <c r="D19" s="30"/>
      <c r="E19" s="30" t="str">
        <f>RIGHT($B$1,1)&amp;"17"</f>
        <v>317</v>
      </c>
      <c r="F19" s="30"/>
      <c r="G19" s="197" t="str">
        <f>IF(VLOOKUP(E19,BDD!$A$2:$N$567,14,FALSE)=0,"",VLOOKUP(E19,BDD!$A$2:$N$567,14,FALSE))</f>
        <v/>
      </c>
      <c r="H19" s="30"/>
      <c r="I19" s="30"/>
      <c r="J19" s="30"/>
      <c r="K19" s="32"/>
      <c r="L19" s="58"/>
      <c r="M19" s="32"/>
      <c r="N19" s="30"/>
      <c r="O19" s="30"/>
      <c r="P19" s="30"/>
      <c r="Q19" s="30"/>
      <c r="R19" s="30"/>
      <c r="S19" s="30"/>
      <c r="T19" s="30"/>
      <c r="U19" s="30"/>
      <c r="V19" s="30"/>
      <c r="W19" s="30"/>
      <c r="X19" s="30"/>
      <c r="Y19" s="30"/>
      <c r="Z19" s="30"/>
      <c r="AA19" s="30"/>
      <c r="AB19" s="30"/>
      <c r="AC19" s="30"/>
      <c r="AD19" s="30"/>
      <c r="AE19" s="30"/>
      <c r="AF19" s="30"/>
      <c r="AG19" s="30"/>
      <c r="AH19" s="267"/>
      <c r="AI19" s="30"/>
    </row>
    <row r="20" spans="1:58" ht="50.4" customHeight="1" x14ac:dyDescent="0.3">
      <c r="A20" s="267"/>
      <c r="B20" s="30"/>
      <c r="C20" s="30"/>
      <c r="D20" s="30"/>
      <c r="E20" s="30"/>
      <c r="F20" s="30"/>
      <c r="G20" s="197"/>
      <c r="H20" s="30"/>
      <c r="I20" s="30"/>
      <c r="J20" s="30"/>
      <c r="K20" s="58"/>
      <c r="L20" s="58"/>
      <c r="M20" s="32"/>
      <c r="N20" s="215" t="s">
        <v>855</v>
      </c>
      <c r="O20" s="641">
        <f>COUNTIF(N27:N100,"Non renseigné")</f>
        <v>45</v>
      </c>
      <c r="P20" s="642"/>
      <c r="Q20" s="642"/>
      <c r="R20" s="643"/>
      <c r="S20" s="30"/>
      <c r="T20" s="30"/>
      <c r="U20" s="30"/>
      <c r="V20" s="30"/>
      <c r="W20" s="30"/>
      <c r="X20" s="30"/>
      <c r="Y20" s="30"/>
      <c r="Z20" s="30"/>
      <c r="AA20" s="30"/>
      <c r="AB20" s="30"/>
      <c r="AC20" s="30"/>
      <c r="AD20" s="30"/>
      <c r="AE20" s="30"/>
      <c r="AF20" s="30"/>
      <c r="AG20" s="30"/>
      <c r="AH20" s="267"/>
      <c r="AI20" s="30"/>
    </row>
    <row r="21" spans="1:58" ht="30" customHeight="1" x14ac:dyDescent="0.3">
      <c r="A21" s="267"/>
      <c r="B21" s="30"/>
      <c r="C21" s="30"/>
      <c r="D21" s="30"/>
      <c r="E21" s="30"/>
      <c r="F21" s="30"/>
      <c r="G21" s="197"/>
      <c r="H21" s="58"/>
      <c r="I21" s="32"/>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267"/>
      <c r="AI21" s="30"/>
    </row>
    <row r="22" spans="1:58" ht="30" customHeight="1" x14ac:dyDescent="0.3">
      <c r="A22" s="267"/>
      <c r="B22" s="30"/>
      <c r="C22" s="30"/>
      <c r="D22" s="30"/>
      <c r="E22" s="30" t="str">
        <f>RIGHT($B$1,1)&amp;"17"</f>
        <v>317</v>
      </c>
      <c r="F22" s="30"/>
      <c r="G22" s="197" t="str">
        <f>IF(VLOOKUP(E22,BDD!$A$2:$N$567,14,FALSE)=0,"",VLOOKUP(E22,BDD!$A$2:$N$567,14,FALSE))</f>
        <v/>
      </c>
      <c r="H22" s="58"/>
      <c r="I22" s="58"/>
      <c r="K22" s="58"/>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267"/>
      <c r="AI22" s="30"/>
    </row>
    <row r="23" spans="1:58" ht="30" customHeight="1" x14ac:dyDescent="0.3">
      <c r="A23" s="267"/>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267"/>
      <c r="AI23" s="30"/>
    </row>
    <row r="24" spans="1:58" ht="39.6" customHeight="1" x14ac:dyDescent="0.3">
      <c r="A24" s="267"/>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267"/>
      <c r="AI24" s="30"/>
    </row>
    <row r="25" spans="1:58" ht="30" customHeight="1" x14ac:dyDescent="0.3">
      <c r="A25" s="267"/>
      <c r="B25" s="30"/>
      <c r="C25" s="30" t="str">
        <f>IF(LEFT(RIGHT($B$1,2),1)=" ",RIGHT($B$1,1),RIGHT($B$1,2))</f>
        <v>3</v>
      </c>
      <c r="D25" s="32">
        <f>IF(LEFT(F25,5)="Bonne",B23+1,D24)</f>
        <v>1</v>
      </c>
      <c r="E25" s="32"/>
      <c r="F25" s="191" t="s">
        <v>499</v>
      </c>
      <c r="G25" s="192" t="str">
        <f>VLOOKUP(E27,BDD!$A$2:$N$567,6,FALSE)</f>
        <v>Cadres standardisé de gestion des risques numériques</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267"/>
      <c r="AI25" s="30"/>
    </row>
    <row r="26" spans="1:58" ht="30" customHeight="1" x14ac:dyDescent="0.3">
      <c r="A26" s="267"/>
      <c r="B26" s="30"/>
      <c r="C26" s="30" t="str">
        <f t="shared" ref="C26:C85" si="0">IF(LEFT(RIGHT($B$1,2),1)=" ",RIGHT($B$1,1),RIGHT($B$1,2))</f>
        <v>3</v>
      </c>
      <c r="D26" s="32">
        <f>IF(LEFT(F26,5)="Bonne",D24+1,D25)</f>
        <v>1</v>
      </c>
      <c r="F26" s="211" t="s">
        <v>550</v>
      </c>
      <c r="G26" s="620" t="str">
        <f>VLOOKUP(E28,BDD!$A$2:$N$567,7,FALSE)</f>
        <v>Il existe un processus itératif de gestion standardisé et intégré des risques numériques, incluant les pratiques et les procédures pour communiquer, consulter, établir le contexte, identifier, analyser, évaluer, traiter, piloter et réviser les risques. Ce processus est intégré à la gestion des risques de l'organisation.</v>
      </c>
      <c r="H26" s="621"/>
      <c r="I26" s="621"/>
      <c r="J26" s="621"/>
      <c r="K26" s="621"/>
      <c r="L26" s="621"/>
      <c r="M26" s="621"/>
      <c r="N26" s="62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267"/>
      <c r="AI26" s="30"/>
    </row>
    <row r="27" spans="1:58" ht="30" customHeight="1" x14ac:dyDescent="0.3">
      <c r="A27" s="267"/>
      <c r="B27" s="30"/>
      <c r="C27" s="30" t="str">
        <f t="shared" si="0"/>
        <v>3</v>
      </c>
      <c r="D27" s="32">
        <f>IF(LEFT(F27,5)="Bonne",D25+1,D26)</f>
        <v>1</v>
      </c>
      <c r="E27" s="32" t="str">
        <f>C27&amp;D27&amp;RIGHT(F27,1)</f>
        <v>311</v>
      </c>
      <c r="F27" s="143" t="s">
        <v>27</v>
      </c>
      <c r="G27" s="144" t="str">
        <f>VLOOKUP(E27,BDD!$A$2:$N$567,MATCH(G$24,BDD!$A$1:$P$1,0),FALSE)</f>
        <v xml:space="preserve">L’organisation considère la gestion des risques numériques comme une composante essentielle de sa gouvernance et l’intègre dans sa communication. </v>
      </c>
      <c r="H27" s="149" t="str">
        <f>IF(VLOOKUP($E27,BDD!$A$2:$N$567,MATCH($H$23,BDD!$A$1:$P$1,0),FALSE)=H$24,'V3_ Risques&amp;Conformité'!H$24,"")</f>
        <v>N1</v>
      </c>
      <c r="I27" s="150" t="str">
        <f>IF(VLOOKUP($E27,BDD!$A$2:$N$567,MATCH($H$23,BDD!$A$1:$P$1,0),FALSE)=I$24,'V3_ Risques&amp;Conformité'!I$24,"")</f>
        <v/>
      </c>
      <c r="J27" s="150" t="str">
        <f>IF(VLOOKUP($E27,BDD!$A$2:$N$567,MATCH($H$23,BDD!$A$1:$P$1,0),FALSE)=J$24,'V3_ Risques&amp;Conformité'!J$24,"")</f>
        <v/>
      </c>
      <c r="K27" s="150" t="str">
        <f>IF(VLOOKUP($E27,BDD!$A$2:$N$567,MATCH($H$23,BDD!$A$1:$P$1,0),FALSE)=K$24,'V3_ Risques&amp;Conformité'!K$24,"")</f>
        <v/>
      </c>
      <c r="L27" s="151" t="str">
        <f>IF(VLOOKUP($E27,BDD!$A$2:$N$567,MATCH($H$23,BDD!$A$1:$P$1,0),FALSE)=L$24,'V3_ Risques&amp;Conformité'!L$24,"")</f>
        <v/>
      </c>
      <c r="M27" s="63">
        <f t="shared" ref="M27:M33"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IF(N27=Suppl!$E$65,0,IF(N27=Suppl!$E$66,1/2/(COUNTIFS($D:$D,D27,$N:$N,"Exigences"&amp;"*")+COUNTIFS($D:$D,D27,$N:$N,"Non"&amp;"*")),IF(N27=Suppl!$E$67,1/(COUNTIFS($D:$D,D27,$N:$N,"Exigences"&amp;"*")+COUNTIFS($D:$D,D27,$N:$N,"Non"&amp;"*")),0)))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267"/>
      <c r="AI27" s="30"/>
    </row>
    <row r="28" spans="1:58" ht="69" x14ac:dyDescent="0.3">
      <c r="A28" s="267"/>
      <c r="B28" s="30"/>
      <c r="C28" s="30" t="str">
        <f t="shared" si="0"/>
        <v>3</v>
      </c>
      <c r="D28" s="32">
        <f t="shared" ref="D28:D62" si="2">IF(LEFT(F28,5)="Bonne",D26+1,D27)</f>
        <v>1</v>
      </c>
      <c r="E28" s="32" t="str">
        <f t="shared" ref="E28:E33" si="3">C28&amp;D28&amp;RIGHT(F28,1)</f>
        <v>312</v>
      </c>
      <c r="F28" s="145" t="s">
        <v>28</v>
      </c>
      <c r="G28" s="146" t="str">
        <f>VLOOKUP(E28,BDD!$A$2:$N$567,MATCH(G$24,BDD!$A$1:$P$1,0),FALSE)</f>
        <v>Le management a mis en place un dispositif de gestion des risques numériques et de contrôle interne couvrant l'ensemble des processus. Ce dispositif, documenté, repose sur une politique et une organisation dédiées à la gestion des risques, intégrant l’ensemble des processus critiques de l’organisation et s’articulant avec les métiers ainsi que la fonction informatique.</v>
      </c>
      <c r="H28" s="149" t="str">
        <f>IF(VLOOKUP($E28,BDD!$A$2:$N$567,MATCH($H$23,BDD!$A$1:$P$1,0),FALSE)=H$24,'V3_ Risques&amp;Conformité'!H$24,"")</f>
        <v/>
      </c>
      <c r="I28" s="150" t="str">
        <f>IF(VLOOKUP($E28,BDD!$A$2:$N$567,MATCH($H$23,BDD!$A$1:$P$1,0),FALSE)=I$24,'V3_ Risques&amp;Conformité'!I$24,"")</f>
        <v/>
      </c>
      <c r="J28" s="150" t="str">
        <f>IF(VLOOKUP($E28,BDD!$A$2:$N$567,MATCH($H$23,BDD!$A$1:$P$1,0),FALSE)=J$24,'V3_ Risques&amp;Conformité'!J$24,"")</f>
        <v>N3</v>
      </c>
      <c r="K28" s="150" t="str">
        <f>IF(VLOOKUP($E28,BDD!$A$2:$N$567,MATCH($H$23,BDD!$A$1:$P$1,0),FALSE)=K$24,'V3_ Risques&amp;Conformité'!K$24,"")</f>
        <v/>
      </c>
      <c r="L28" s="151" t="str">
        <f>IF(VLOOKUP($E28,BDD!$A$2:$N$567,MATCH($H$23,BDD!$A$1:$P$1,0),FALSE)=L$24,'V3_ Risques&amp;Conformité'!L$24,"")</f>
        <v/>
      </c>
      <c r="M28" s="63">
        <f t="shared" si="1"/>
        <v>0</v>
      </c>
      <c r="N28" s="146" t="str">
        <f>VLOOKUP(VLOOKUP(E28,BDD!$A$2:$P$428,15,FALSE),Suppl!$D$64:$E$68,2,FALSE)</f>
        <v>Non renseigné</v>
      </c>
      <c r="O28" s="629"/>
      <c r="P28" s="629"/>
      <c r="Q28" s="629"/>
      <c r="R28" s="629"/>
      <c r="S28" s="627">
        <f>IF(N28=Suppl!$E$65,0,IF(N28=Suppl!$E$66,1/2/(COUNTIFS($D:$D,D28,$N:$N,"Exigences"&amp;"*")+COUNTIFS($D:$D,D28,$N:$N,"Non"&amp;"*")),IF(N28=Suppl!$E$67,1/(COUNTIFS($D:$D,D28,$N:$N,"Exigences"&amp;"*")+COUNTIFS($D:$D,D28,$N:$N,"Non"&amp;"*")),0)))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267"/>
      <c r="AI28" s="30"/>
    </row>
    <row r="29" spans="1:58" ht="55.2" x14ac:dyDescent="0.3">
      <c r="A29" s="267"/>
      <c r="B29" s="30"/>
      <c r="C29" s="30" t="str">
        <f t="shared" si="0"/>
        <v>3</v>
      </c>
      <c r="D29" s="32">
        <f>IF(LEFT(F29,5)="Bonne",D27+1,D28)</f>
        <v>1</v>
      </c>
      <c r="E29" s="32" t="str">
        <f t="shared" si="3"/>
        <v>313</v>
      </c>
      <c r="F29" s="143" t="s">
        <v>30</v>
      </c>
      <c r="G29" s="144" t="str">
        <f>VLOOKUP(E29,BDD!$A$2:$N$567,MATCH(G$24,BDD!$A$1:$P$1,0),FALSE)</f>
        <v xml:space="preserve">Le niveau d’appétence et de tolérance au risque numérique est défini et partagé avec l’ensemble des acteurs, à chaque niveau pertinent, avant toute analyse de risques. Les plans d’action de réduction des risques sont coordonnés par la direction des risques, ou à défaut par la direction générale. </v>
      </c>
      <c r="H29" s="149" t="str">
        <f>IF(VLOOKUP($E29,BDD!$A$2:$N$567,MATCH($H$23,BDD!$A$1:$P$1,0),FALSE)=H$24,'V3_ Risques&amp;Conformité'!H$24,"")</f>
        <v/>
      </c>
      <c r="I29" s="150" t="str">
        <f>IF(VLOOKUP($E29,BDD!$A$2:$N$567,MATCH($H$23,BDD!$A$1:$P$1,0),FALSE)=I$24,'V3_ Risques&amp;Conformité'!I$24,"")</f>
        <v/>
      </c>
      <c r="J29" s="150" t="str">
        <f>IF(VLOOKUP($E29,BDD!$A$2:$N$567,MATCH($H$23,BDD!$A$1:$P$1,0),FALSE)=J$24,'V3_ Risques&amp;Conformité'!J$24,"")</f>
        <v/>
      </c>
      <c r="K29" s="150" t="str">
        <f>IF(VLOOKUP($E29,BDD!$A$2:$N$567,MATCH($H$23,BDD!$A$1:$P$1,0),FALSE)=K$24,'V3_ Risques&amp;Conformité'!K$24,"")</f>
        <v>N4</v>
      </c>
      <c r="L29" s="151" t="str">
        <f>IF(VLOOKUP($E29,BDD!$A$2:$N$567,MATCH($H$23,BDD!$A$1:$P$1,0),FALSE)=L$24,'V3_ Risques&amp;Conformité'!L$24,"")</f>
        <v/>
      </c>
      <c r="M29" s="63">
        <f t="shared" si="1"/>
        <v>0</v>
      </c>
      <c r="N29" s="144" t="str">
        <f>VLOOKUP(VLOOKUP(E29,BDD!$A$2:$P$428,15,FALSE),Suppl!$D$64:$E$68,2,FALSE)</f>
        <v>Non renseigné</v>
      </c>
      <c r="O29" s="629"/>
      <c r="P29" s="629"/>
      <c r="Q29" s="629"/>
      <c r="R29" s="629"/>
      <c r="S29" s="627">
        <f>IF(N29=Suppl!$E$65,0,IF(N29=Suppl!$E$66,1/2/(COUNTIFS($D:$D,D29,$N:$N,"Exigences"&amp;"*")+COUNTIFS($D:$D,D29,$N:$N,"Non"&amp;"*")),IF(N29=Suppl!$E$67,1/(COUNTIFS($D:$D,D29,$N:$N,"Exigences"&amp;"*")+COUNTIFS($D:$D,D29,$N:$N,"Non"&amp;"*")),0)))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267"/>
      <c r="AI29" s="30"/>
    </row>
    <row r="30" spans="1:58" ht="69" x14ac:dyDescent="0.3">
      <c r="A30" s="267"/>
      <c r="B30" s="30"/>
      <c r="C30" s="30" t="str">
        <f t="shared" si="0"/>
        <v>3</v>
      </c>
      <c r="D30" s="32">
        <f t="shared" si="2"/>
        <v>1</v>
      </c>
      <c r="E30" s="32" t="str">
        <f t="shared" si="3"/>
        <v>314</v>
      </c>
      <c r="F30" s="145" t="s">
        <v>32</v>
      </c>
      <c r="G30" s="146" t="str">
        <f>VLOOKUP(E30,BDD!$A$2:$N$567,MATCH(G$24,BDD!$A$1:$P$1,0),FALSE)</f>
        <v>La DSI met en œuvre une démarche d’identification des principaux risques numériques associant les acteurs métiers et prenant en compte les intérêts et les contraintes des parties prenantes (internes et externes). Elle évalue aussi les risques liés aux opérations numériques (projet, changement, exploitation, incident, sécurité, gestion des données, etc.).</v>
      </c>
      <c r="H30" s="149" t="str">
        <f>IF(VLOOKUP($E30,BDD!$A$2:$N$567,MATCH($H$23,BDD!$A$1:$P$1,0),FALSE)=H$24,'V3_ Risques&amp;Conformité'!H$24,"")</f>
        <v/>
      </c>
      <c r="I30" s="150" t="str">
        <f>IF(VLOOKUP($E30,BDD!$A$2:$N$567,MATCH($H$23,BDD!$A$1:$P$1,0),FALSE)=I$24,'V3_ Risques&amp;Conformité'!I$24,"")</f>
        <v>N2</v>
      </c>
      <c r="J30" s="150" t="str">
        <f>IF(VLOOKUP($E30,BDD!$A$2:$N$567,MATCH($H$23,BDD!$A$1:$P$1,0),FALSE)=J$24,'V3_ Risques&amp;Conformité'!J$24,"")</f>
        <v/>
      </c>
      <c r="K30" s="150" t="str">
        <f>IF(VLOOKUP($E30,BDD!$A$2:$N$567,MATCH($H$23,BDD!$A$1:$P$1,0),FALSE)=K$24,'V3_ Risques&amp;Conformité'!K$24,"")</f>
        <v/>
      </c>
      <c r="L30" s="151" t="str">
        <f>IF(VLOOKUP($E30,BDD!$A$2:$N$567,MATCH($H$23,BDD!$A$1:$P$1,0),FALSE)=L$24,'V3_ Risques&amp;Conformité'!L$24,"")</f>
        <v/>
      </c>
      <c r="M30" s="63">
        <f t="shared" si="1"/>
        <v>0</v>
      </c>
      <c r="N30" s="146" t="str">
        <f>VLOOKUP(VLOOKUP(E30,BDD!$A$2:$P$428,15,FALSE),Suppl!$D$64:$E$68,2,FALSE)</f>
        <v>Non renseigné</v>
      </c>
      <c r="O30" s="629"/>
      <c r="P30" s="629"/>
      <c r="Q30" s="629"/>
      <c r="R30" s="629"/>
      <c r="S30" s="627">
        <f>IF(N30=Suppl!$E$65,0,IF(N30=Suppl!$E$66,1/2/(COUNTIFS($D:$D,D30,$N:$N,"Exigences"&amp;"*")+COUNTIFS($D:$D,D30,$N:$N,"Non"&amp;"*")),IF(N30=Suppl!$E$67,1/(COUNTIFS($D:$D,D30,$N:$N,"Exigences"&amp;"*")+COUNTIFS($D:$D,D30,$N:$N,"Non"&amp;"*")),0)))</f>
        <v>0</v>
      </c>
      <c r="T30" s="627"/>
      <c r="U30" s="627"/>
      <c r="V30" s="628"/>
      <c r="W30" s="356">
        <f>IFERROR(IF(N30=Suppl!$E$65,0,IF(N30=Suppl!$E$66,1/2/(COUNTIFS($N:$N,"Exigences"&amp;"*")+COUNTIFS($N:$N,"Non"&amp;"*")),IF(N30=Suppl!$E$67,1/(COUNTIFS($N:$N,"Exigences"&amp;"*")+COUNTIFS($N:$N,"Non"&amp;"*")),0))),0)</f>
        <v>0</v>
      </c>
      <c r="X30" s="30" t="s">
        <v>164</v>
      </c>
      <c r="Y30" s="30"/>
      <c r="Z30" s="30"/>
      <c r="AA30" s="30"/>
      <c r="AB30" s="30"/>
      <c r="AC30" s="30"/>
      <c r="AD30" s="30"/>
      <c r="AE30" s="30"/>
      <c r="AF30" s="30"/>
      <c r="AG30" s="30"/>
      <c r="AH30" s="267"/>
      <c r="AI30" s="30"/>
    </row>
    <row r="31" spans="1:58" ht="41.4" x14ac:dyDescent="0.3">
      <c r="A31" s="267"/>
      <c r="B31" s="30"/>
      <c r="C31" s="30" t="str">
        <f t="shared" si="0"/>
        <v>3</v>
      </c>
      <c r="D31" s="32">
        <f t="shared" si="2"/>
        <v>1</v>
      </c>
      <c r="E31" s="32" t="str">
        <f t="shared" si="3"/>
        <v>315</v>
      </c>
      <c r="F31" s="143" t="s">
        <v>33</v>
      </c>
      <c r="G31" s="144" t="str">
        <f>VLOOKUP(E31,BDD!$A$2:$N$567,MATCH(G$24,BDD!$A$1:$P$1,0),FALSE)</f>
        <v>L’organisation met en œuvre des outils de pilotage et de suivi des risques (incluant des indicateurs spécifiques pertinents) qui aident à la prise décision concernant les options de traitement et leur priorisation.</v>
      </c>
      <c r="H31" s="149" t="str">
        <f>IF(VLOOKUP($E31,BDD!$A$2:$N$567,MATCH($H$23,BDD!$A$1:$P$1,0),FALSE)=H$24,'V3_ Risques&amp;Conformité'!H$24,"")</f>
        <v/>
      </c>
      <c r="I31" s="150" t="str">
        <f>IF(VLOOKUP($E31,BDD!$A$2:$N$567,MATCH($H$23,BDD!$A$1:$P$1,0),FALSE)=I$24,'V3_ Risques&amp;Conformité'!I$24,"")</f>
        <v/>
      </c>
      <c r="J31" s="150" t="str">
        <f>IF(VLOOKUP($E31,BDD!$A$2:$N$567,MATCH($H$23,BDD!$A$1:$P$1,0),FALSE)=J$24,'V3_ Risques&amp;Conformité'!J$24,"")</f>
        <v>N3</v>
      </c>
      <c r="K31" s="150" t="str">
        <f>IF(VLOOKUP($E31,BDD!$A$2:$N$567,MATCH($H$23,BDD!$A$1:$P$1,0),FALSE)=K$24,'V3_ Risques&amp;Conformité'!K$24,"")</f>
        <v/>
      </c>
      <c r="L31" s="151" t="str">
        <f>IF(VLOOKUP($E31,BDD!$A$2:$N$567,MATCH($H$23,BDD!$A$1:$P$1,0),FALSE)=L$24,'V3_ Risques&amp;Conformité'!L$24,"")</f>
        <v/>
      </c>
      <c r="M31" s="63">
        <f t="shared" si="1"/>
        <v>0</v>
      </c>
      <c r="N31" s="144" t="str">
        <f>VLOOKUP(VLOOKUP(E31,BDD!$A$2:$P$428,15,FALSE),Suppl!$D$64:$E$68,2,FALSE)</f>
        <v>Non renseigné</v>
      </c>
      <c r="O31" s="629"/>
      <c r="P31" s="629"/>
      <c r="Q31" s="629"/>
      <c r="R31" s="629"/>
      <c r="S31" s="627">
        <f>IF(N31=Suppl!$E$65,0,IF(N31=Suppl!$E$66,1/2/(COUNTIFS($D:$D,D31,$N:$N,"Exigences"&amp;"*")+COUNTIFS($D:$D,D31,$N:$N,"Non"&amp;"*")),IF(N31=Suppl!$E$67,1/(COUNTIFS($D:$D,D31,$N:$N,"Exigences"&amp;"*")+COUNTIFS($D:$D,D31,$N:$N,"Non"&amp;"*")),0)))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267"/>
      <c r="AI31" s="30"/>
    </row>
    <row r="32" spans="1:58" ht="30" customHeight="1" x14ac:dyDescent="0.3">
      <c r="A32" s="267"/>
      <c r="B32" s="30"/>
      <c r="C32" s="30" t="str">
        <f t="shared" si="0"/>
        <v>3</v>
      </c>
      <c r="D32" s="32">
        <f t="shared" si="2"/>
        <v>1</v>
      </c>
      <c r="E32" s="32" t="str">
        <f t="shared" si="3"/>
        <v>316</v>
      </c>
      <c r="F32" s="147" t="s">
        <v>34</v>
      </c>
      <c r="G32" s="148" t="str">
        <f>VLOOKUP(E32,BDD!$A$2:$N$567,MATCH(G$24,BDD!$A$1:$P$1,0),FALSE)</f>
        <v>La feuille de route numérique intègre les priorités du plan de réduction des risques.</v>
      </c>
      <c r="H32" s="149" t="str">
        <f>IF(VLOOKUP($E32,BDD!$A$2:$N$567,MATCH($H$23,BDD!$A$1:$P$1,0),FALSE)=H$24,'V3_ Risques&amp;Conformité'!H$24,"")</f>
        <v/>
      </c>
      <c r="I32" s="150" t="str">
        <f>IF(VLOOKUP($E32,BDD!$A$2:$N$567,MATCH($H$23,BDD!$A$1:$P$1,0),FALSE)=I$24,'V3_ Risques&amp;Conformité'!I$24,"")</f>
        <v>N2</v>
      </c>
      <c r="J32" s="150" t="str">
        <f>IF(VLOOKUP($E32,BDD!$A$2:$N$567,MATCH($H$23,BDD!$A$1:$P$1,0),FALSE)=J$24,'V3_ Risques&amp;Conformité'!J$24,"")</f>
        <v/>
      </c>
      <c r="K32" s="150" t="str">
        <f>IF(VLOOKUP($E32,BDD!$A$2:$N$567,MATCH($H$23,BDD!$A$1:$P$1,0),FALSE)=K$24,'V3_ Risques&amp;Conformité'!K$24,"")</f>
        <v/>
      </c>
      <c r="L32" s="151" t="str">
        <f>IF(VLOOKUP($E32,BDD!$A$2:$N$567,MATCH($H$23,BDD!$A$1:$P$1,0),FALSE)=L$24,'V3_ Risques&amp;Conformité'!L$24,"")</f>
        <v/>
      </c>
      <c r="M32" s="63">
        <f t="shared" si="1"/>
        <v>0</v>
      </c>
      <c r="N32" s="148" t="str">
        <f>VLOOKUP(VLOOKUP(E32,BDD!$A$2:$P$428,15,FALSE),Suppl!$D$64:$E$68,2,FALSE)</f>
        <v>Non renseigné</v>
      </c>
      <c r="O32" s="629"/>
      <c r="P32" s="629"/>
      <c r="Q32" s="629"/>
      <c r="R32" s="629"/>
      <c r="S32" s="627">
        <f>IF(N32=Suppl!$E$65,0,IF(N32=Suppl!$E$66,1/2/(COUNTIFS($D:$D,D32,$N:$N,"Exigences"&amp;"*")+COUNTIFS($D:$D,D32,$N:$N,"Non"&amp;"*")),IF(N32=Suppl!$E$67,1/(COUNTIFS($D:$D,D32,$N:$N,"Exigences"&amp;"*")+COUNTIFS($D:$D,D32,$N:$N,"Non"&amp;"*")),0)))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267"/>
      <c r="AI32" s="30"/>
      <c r="BF32" s="31" t="s">
        <v>1125</v>
      </c>
    </row>
    <row r="33" spans="1:35" ht="30" customHeight="1" x14ac:dyDescent="0.3">
      <c r="A33" s="267"/>
      <c r="B33" s="30"/>
      <c r="C33" s="30" t="str">
        <f t="shared" si="0"/>
        <v>3</v>
      </c>
      <c r="D33" s="32">
        <f t="shared" si="2"/>
        <v>1</v>
      </c>
      <c r="E33" s="32" t="str">
        <f t="shared" si="3"/>
        <v>317</v>
      </c>
      <c r="F33" s="143" t="s">
        <v>36</v>
      </c>
      <c r="G33" s="144" t="str">
        <f>VLOOKUP(E33,BDD!$A$2:$N$567,MATCH(G$24,BDD!$A$1:$P$1,0),FALSE)</f>
        <v>La revue des risques numériques est réalisée régulièrement et en liaison avec la revue des risques de l'organisation.</v>
      </c>
      <c r="H33" s="149" t="str">
        <f>IF(VLOOKUP($E33,BDD!$A$2:$N$567,MATCH($H$23,BDD!$A$1:$P$1,0),FALSE)=H$24,'V3_ Risques&amp;Conformité'!H$24,"")</f>
        <v/>
      </c>
      <c r="I33" s="150" t="str">
        <f>IF(VLOOKUP($E33,BDD!$A$2:$N$567,MATCH($H$23,BDD!$A$1:$P$1,0),FALSE)=I$24,'V3_ Risques&amp;Conformité'!I$24,"")</f>
        <v/>
      </c>
      <c r="J33" s="150" t="str">
        <f>IF(VLOOKUP($E33,BDD!$A$2:$N$567,MATCH($H$23,BDD!$A$1:$P$1,0),FALSE)=J$24,'V3_ Risques&amp;Conformité'!J$24,"")</f>
        <v>N3</v>
      </c>
      <c r="K33" s="150" t="str">
        <f>IF(VLOOKUP($E33,BDD!$A$2:$N$567,MATCH($H$23,BDD!$A$1:$P$1,0),FALSE)=K$24,'V3_ Risques&amp;Conformité'!K$24,"")</f>
        <v/>
      </c>
      <c r="L33" s="151" t="str">
        <f>IF(VLOOKUP($E33,BDD!$A$2:$N$567,MATCH($H$23,BDD!$A$1:$P$1,0),FALSE)=L$24,'V3_ Risques&amp;Conformité'!L$24,"")</f>
        <v/>
      </c>
      <c r="M33" s="63">
        <f t="shared" si="1"/>
        <v>0</v>
      </c>
      <c r="N33" s="144" t="str">
        <f>VLOOKUP(VLOOKUP(E33,BDD!$A$2:$P$428,15,FALSE),Suppl!$D$64:$E$68,2,FALSE)</f>
        <v>Non renseigné</v>
      </c>
      <c r="O33" s="636"/>
      <c r="P33" s="636"/>
      <c r="Q33" s="636"/>
      <c r="R33" s="636"/>
      <c r="S33" s="627">
        <f>IF(N33=Suppl!$E$65,0,IF(N33=Suppl!$E$66,1/2/(COUNTIFS($D:$D,D33,$N:$N,"Exigences"&amp;"*")+COUNTIFS($D:$D,D33,$N:$N,"Non"&amp;"*")),IF(N33=Suppl!$E$67,1/(COUNTIFS($D:$D,D33,$N:$N,"Exigences"&amp;"*")+COUNTIFS($D:$D,D33,$N:$N,"Non"&amp;"*")),0)))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267"/>
      <c r="AI33" s="30"/>
    </row>
    <row r="34" spans="1:35" ht="30" customHeight="1" x14ac:dyDescent="0.3">
      <c r="A34" s="267"/>
      <c r="B34" s="30"/>
      <c r="C34" s="30" t="str">
        <f t="shared" si="0"/>
        <v>3</v>
      </c>
      <c r="D34" s="32">
        <f>IF(LEFT(F34,5)="Bonne",D32+1,D33)</f>
        <v>2</v>
      </c>
      <c r="E34" s="32"/>
      <c r="F34" s="191" t="s">
        <v>500</v>
      </c>
      <c r="G34" s="192" t="str">
        <f>VLOOKUP(E36,BDD!$A$2:$N$567,6,FALSE)</f>
        <v>Enjeux métiers et stratégiques</v>
      </c>
      <c r="H34" s="190" t="str">
        <f>VLOOKUP(E36,BDD!$A$2:$N$567,6,FALSE)</f>
        <v>Enjeux métiers et stratégiques</v>
      </c>
      <c r="I34" s="135"/>
      <c r="J34" s="135"/>
      <c r="K34" s="135"/>
      <c r="L34" s="136"/>
      <c r="M34" s="137"/>
      <c r="N34" s="138"/>
      <c r="O34" s="630">
        <v>0</v>
      </c>
      <c r="P34" s="630"/>
      <c r="Q34" s="630"/>
      <c r="R34" s="630"/>
      <c r="S34" s="632">
        <f>SUMIFS(S:S,$D:$D,D34,$N:$N,"Exigences"&amp;"*")</f>
        <v>0</v>
      </c>
      <c r="T34" s="632"/>
      <c r="U34" s="632"/>
      <c r="V34" s="633"/>
      <c r="W34" s="356">
        <f>IFERROR(IF(N34=Suppl!$E$65,0,IF(N34=Suppl!$E$66,1/2/(COUNTIFS($N:$N,"Exigences"&amp;"*")+COUNTIFS($N:$N,"Non"&amp;"*")),IF(N34=Suppl!$E$67,1/(COUNTIFS($N:$N,"Exigences"&amp;"*")+COUNTIFS($N:$N,"Non"&amp;"*")),0))),0)</f>
        <v>0</v>
      </c>
      <c r="X34" s="30"/>
      <c r="Y34" s="30"/>
      <c r="Z34" s="30"/>
      <c r="AA34" s="30"/>
      <c r="AB34" s="30"/>
      <c r="AC34" s="30"/>
      <c r="AD34" s="30"/>
      <c r="AE34" s="30"/>
      <c r="AF34" s="30"/>
      <c r="AG34" s="30"/>
      <c r="AH34" s="267"/>
      <c r="AI34" s="30"/>
    </row>
    <row r="35" spans="1:35" ht="30" customHeight="1" x14ac:dyDescent="0.3">
      <c r="A35" s="267"/>
      <c r="B35" s="30"/>
      <c r="C35" s="30" t="str">
        <f t="shared" si="0"/>
        <v>3</v>
      </c>
      <c r="D35" s="32">
        <f>IF(LEFT(F35,5)="Bonne",D33+1,D34)</f>
        <v>2</v>
      </c>
      <c r="E35" s="32"/>
      <c r="F35" s="211" t="s">
        <v>550</v>
      </c>
      <c r="G35" s="620" t="str">
        <f>VLOOKUP(E37,BDD!$A$2:$N$567,7,FALSE)</f>
        <v xml:space="preserve">La DSI procède à une identification et à une évaluation des risques numériques conjointement avec l'ensemble des directions concernées en prenant en compte les enjeux majeurs pour l’organisation. </v>
      </c>
      <c r="H35" s="621"/>
      <c r="I35" s="621"/>
      <c r="J35" s="621"/>
      <c r="K35" s="621"/>
      <c r="L35" s="621"/>
      <c r="M35" s="621"/>
      <c r="N35" s="622"/>
      <c r="O35" s="631"/>
      <c r="P35" s="631"/>
      <c r="Q35" s="631"/>
      <c r="R35" s="631"/>
      <c r="S35" s="634"/>
      <c r="T35" s="634"/>
      <c r="U35" s="634"/>
      <c r="V35" s="635"/>
      <c r="W35" s="356">
        <f>IFERROR(IF(N35=Suppl!$E$65,0,IF(N35=Suppl!$E$66,1/2/(COUNTIFS($N:$N,"Exigences"&amp;"*")+COUNTIFS($N:$N,"Non"&amp;"*")),IF(N35=Suppl!$E$67,1/(COUNTIFS($N:$N,"Exigences"&amp;"*")+COUNTIFS($N:$N,"Non"&amp;"*")),0))),0)</f>
        <v>0</v>
      </c>
      <c r="X35" s="30"/>
      <c r="Y35" s="30"/>
      <c r="Z35" s="30"/>
      <c r="AA35" s="30"/>
      <c r="AB35" s="30"/>
      <c r="AC35" s="30"/>
      <c r="AD35" s="30"/>
      <c r="AE35" s="30"/>
      <c r="AF35" s="30"/>
      <c r="AG35" s="30"/>
      <c r="AH35" s="267"/>
      <c r="AI35" s="30"/>
    </row>
    <row r="36" spans="1:35" ht="30" customHeight="1" x14ac:dyDescent="0.3">
      <c r="A36" s="267"/>
      <c r="B36" s="30"/>
      <c r="C36" s="30" t="str">
        <f t="shared" si="0"/>
        <v>3</v>
      </c>
      <c r="D36" s="32">
        <f t="shared" si="2"/>
        <v>2</v>
      </c>
      <c r="E36" s="32" t="str">
        <f t="shared" ref="E36:E42" si="4">C36&amp;D36&amp;RIGHT(F36,1)</f>
        <v>321</v>
      </c>
      <c r="F36" s="143" t="s">
        <v>27</v>
      </c>
      <c r="G36" s="144" t="str">
        <f>VLOOKUP(E36,BDD!$A$2:$N$567,MATCH(G$24,BDD!$A$1:$P$1,0),FALSE)</f>
        <v xml:space="preserve">La DSI et les métiers établissent une cartographie de la contribution du numérique à la chaîne de valeur de l'organisation (processus et produits). </v>
      </c>
      <c r="H36" s="149" t="str">
        <f>IF(VLOOKUP($E36,BDD!$A$2:$N$567,MATCH($H$23,BDD!$A$1:$P$1,0),FALSE)=H$24,'V3_ Risques&amp;Conformité'!H$24,"")</f>
        <v>N1</v>
      </c>
      <c r="I36" s="150" t="str">
        <f>IF(VLOOKUP($E36,BDD!$A$2:$N$567,MATCH($H$23,BDD!$A$1:$P$1,0),FALSE)=I$24,'V3_ Risques&amp;Conformité'!I$24,"")</f>
        <v/>
      </c>
      <c r="J36" s="150" t="str">
        <f>IF(VLOOKUP($E36,BDD!$A$2:$N$567,MATCH($H$23,BDD!$A$1:$P$1,0),FALSE)=J$24,'V3_ Risques&amp;Conformité'!J$24,"")</f>
        <v/>
      </c>
      <c r="K36" s="150" t="str">
        <f>IF(VLOOKUP($E36,BDD!$A$2:$N$567,MATCH($H$23,BDD!$A$1:$P$1,0),FALSE)=K$24,'V3_ Risques&amp;Conformité'!K$24,"")</f>
        <v/>
      </c>
      <c r="L36" s="151" t="str">
        <f>IF(VLOOKUP($E36,BDD!$A$2:$N$567,MATCH($H$23,BDD!$A$1:$P$1,0),FALSE)=L$24,'V3_ Risques&amp;Conformité'!L$24,"")</f>
        <v/>
      </c>
      <c r="M36" s="63">
        <f>IF(N36="Exigences partiellement respectées",1,IF(N36="Exigences respectées",2,0))</f>
        <v>0</v>
      </c>
      <c r="N36" s="144" t="str">
        <f>VLOOKUP(VLOOKUP(E36,BDD!$A$2:$P$428,15,FALSE),Suppl!$D$64:$E$68,2,FALSE)</f>
        <v>Non renseigné</v>
      </c>
      <c r="O36" s="626"/>
      <c r="P36" s="626"/>
      <c r="Q36" s="626"/>
      <c r="R36" s="626"/>
      <c r="S36" s="627">
        <f>IF(N36=Suppl!$E$65,0,IF(N36=Suppl!$E$66,1/2/(COUNTIFS($D:$D,D36,$N:$N,"Exigences"&amp;"*")+COUNTIFS($D:$D,D36,$N:$N,"Non"&amp;"*")),IF(N36=Suppl!$E$67,1/(COUNTIFS($D:$D,D36,$N:$N,"Exigences"&amp;"*")+COUNTIFS($D:$D,D36,$N:$N,"Non"&amp;"*")),0)))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267"/>
      <c r="AI36" s="30"/>
    </row>
    <row r="37" spans="1:35" ht="41.4" x14ac:dyDescent="0.3">
      <c r="A37" s="267"/>
      <c r="B37" s="30"/>
      <c r="C37" s="30" t="str">
        <f t="shared" si="0"/>
        <v>3</v>
      </c>
      <c r="D37" s="32">
        <f t="shared" si="2"/>
        <v>2</v>
      </c>
      <c r="E37" s="32" t="str">
        <f t="shared" si="4"/>
        <v>322</v>
      </c>
      <c r="F37" s="145" t="s">
        <v>28</v>
      </c>
      <c r="G37" s="146" t="str">
        <f>VLOOKUP(E37,BDD!$A$2:$N$567,MATCH(G$24,BDD!$A$1:$P$1,0),FALSE)</f>
        <v xml:space="preserve">Le périmètre d’analyse des risques SI recouvre le périmètre des processus et des produits de l'organisation, que ceux-ci soient opérés en interne, par des partenaires externes ou par délégation, en prenant en compte le risque d'interdépendance. </v>
      </c>
      <c r="H37" s="149" t="str">
        <f>IF(VLOOKUP($E37,BDD!$A$2:$N$567,MATCH($H$23,BDD!$A$1:$P$1,0),FALSE)=H$24,'V3_ Risques&amp;Conformité'!H$24,"")</f>
        <v/>
      </c>
      <c r="I37" s="150" t="str">
        <f>IF(VLOOKUP($E37,BDD!$A$2:$N$567,MATCH($H$23,BDD!$A$1:$P$1,0),FALSE)=I$24,'V3_ Risques&amp;Conformité'!I$24,"")</f>
        <v>N2</v>
      </c>
      <c r="J37" s="150" t="str">
        <f>IF(VLOOKUP($E37,BDD!$A$2:$N$567,MATCH($H$23,BDD!$A$1:$P$1,0),FALSE)=J$24,'V3_ Risques&amp;Conformité'!J$24,"")</f>
        <v/>
      </c>
      <c r="K37" s="150" t="str">
        <f>IF(VLOOKUP($E37,BDD!$A$2:$N$567,MATCH($H$23,BDD!$A$1:$P$1,0),FALSE)=K$24,'V3_ Risques&amp;Conformité'!K$24,"")</f>
        <v/>
      </c>
      <c r="L37" s="151" t="str">
        <f>IF(VLOOKUP($E37,BDD!$A$2:$N$567,MATCH($H$23,BDD!$A$1:$P$1,0),FALSE)=L$24,'V3_ Risques&amp;Conformité'!L$24,"")</f>
        <v/>
      </c>
      <c r="M37" s="63">
        <f t="shared" ref="M37:M42" si="5">IF(N37="Exigences partiellement respectées",1,IF(N37="Exigences respectées",2,0))</f>
        <v>0</v>
      </c>
      <c r="N37" s="146" t="str">
        <f>VLOOKUP(VLOOKUP(E37,BDD!$A$2:$P$428,15,FALSE),Suppl!$D$64:$E$68,2,FALSE)</f>
        <v>Non renseigné</v>
      </c>
      <c r="O37" s="629"/>
      <c r="P37" s="629"/>
      <c r="Q37" s="629"/>
      <c r="R37" s="629"/>
      <c r="S37" s="627">
        <f>IF(N37=Suppl!$E$65,0,IF(N37=Suppl!$E$66,1/2/(COUNTIFS($D:$D,D37,$N:$N,"Exigences"&amp;"*")+COUNTIFS($D:$D,D37,$N:$N,"Non"&amp;"*")),IF(N37=Suppl!$E$67,1/(COUNTIFS($D:$D,D37,$N:$N,"Exigences"&amp;"*")+COUNTIFS($D:$D,D37,$N:$N,"Non"&amp;"*")),0)))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267"/>
      <c r="AI37" s="30"/>
    </row>
    <row r="38" spans="1:35" ht="60.6" customHeight="1" x14ac:dyDescent="0.3">
      <c r="A38" s="267"/>
      <c r="B38" s="30"/>
      <c r="C38" s="30" t="str">
        <f t="shared" si="0"/>
        <v>3</v>
      </c>
      <c r="D38" s="32">
        <f t="shared" si="2"/>
        <v>2</v>
      </c>
      <c r="E38" s="32" t="str">
        <f t="shared" si="4"/>
        <v>323</v>
      </c>
      <c r="F38" s="143" t="s">
        <v>30</v>
      </c>
      <c r="G38" s="144" t="str">
        <f>VLOOKUP(E38,BDD!$A$2:$N$567,MATCH(G$24,BDD!$A$1:$P$1,0),FALSE)</f>
        <v>Les ressources informatiques supportant les processus et produits de l'organisation sont inventoriées. Chaque risque est évalué en termes de fréquence et d’impact, puis est comparé au seuil de tolérance au risque du processus métier supporté.</v>
      </c>
      <c r="H38" s="149" t="str">
        <f>IF(VLOOKUP($E38,BDD!$A$2:$N$567,MATCH($H$23,BDD!$A$1:$P$1,0),FALSE)=H$24,'V3_ Risques&amp;Conformité'!H$24,"")</f>
        <v/>
      </c>
      <c r="I38" s="150" t="str">
        <f>IF(VLOOKUP($E38,BDD!$A$2:$N$567,MATCH($H$23,BDD!$A$1:$P$1,0),FALSE)=I$24,'V3_ Risques&amp;Conformité'!I$24,"")</f>
        <v>N2</v>
      </c>
      <c r="J38" s="150" t="str">
        <f>IF(VLOOKUP($E38,BDD!$A$2:$N$567,MATCH($H$23,BDD!$A$1:$P$1,0),FALSE)=J$24,'V3_ Risques&amp;Conformité'!J$24,"")</f>
        <v/>
      </c>
      <c r="K38" s="150" t="str">
        <f>IF(VLOOKUP($E38,BDD!$A$2:$N$567,MATCH($H$23,BDD!$A$1:$P$1,0),FALSE)=K$24,'V3_ Risques&amp;Conformité'!K$24,"")</f>
        <v/>
      </c>
      <c r="L38" s="151" t="str">
        <f>IF(VLOOKUP($E38,BDD!$A$2:$N$567,MATCH($H$23,BDD!$A$1:$P$1,0),FALSE)=L$24,'V3_ Risques&amp;Conformité'!L$24,"")</f>
        <v/>
      </c>
      <c r="M38" s="63">
        <f t="shared" si="5"/>
        <v>0</v>
      </c>
      <c r="N38" s="144" t="str">
        <f>VLOOKUP(VLOOKUP(E38,BDD!$A$2:$P$428,15,FALSE),Suppl!$D$64:$E$68,2,FALSE)</f>
        <v>Non renseigné</v>
      </c>
      <c r="O38" s="629"/>
      <c r="P38" s="629"/>
      <c r="Q38" s="629"/>
      <c r="R38" s="629"/>
      <c r="S38" s="627">
        <f>IF(N38=Suppl!$E$65,0,IF(N38=Suppl!$E$66,1/2/(COUNTIFS($D:$D,D38,$N:$N,"Exigences"&amp;"*")+COUNTIFS($D:$D,D38,$N:$N,"Non"&amp;"*")),IF(N38=Suppl!$E$67,1/(COUNTIFS($D:$D,D38,$N:$N,"Exigences"&amp;"*")+COUNTIFS($D:$D,D38,$N:$N,"Non"&amp;"*")),0)))</f>
        <v>0</v>
      </c>
      <c r="T38" s="627"/>
      <c r="U38" s="627"/>
      <c r="V38" s="628"/>
      <c r="W38" s="356">
        <f>IFERROR(IF(N38=Suppl!$E$65,0,IF(N38=Suppl!$E$66,1/2/(COUNTIFS($N:$N,"Exigences"&amp;"*")+COUNTIFS($N:$N,"Non"&amp;"*")),IF(N38=Suppl!$E$67,1/(COUNTIFS($N:$N,"Exigences"&amp;"*")+COUNTIFS($N:$N,"Non"&amp;"*")),0))),0)</f>
        <v>0</v>
      </c>
      <c r="X38" s="30"/>
      <c r="Y38" s="30"/>
      <c r="Z38" s="30"/>
      <c r="AA38" s="30"/>
      <c r="AB38" s="30"/>
      <c r="AC38" s="30"/>
      <c r="AD38" s="30"/>
      <c r="AE38" s="30"/>
      <c r="AF38" s="30"/>
      <c r="AG38" s="30"/>
      <c r="AH38" s="267"/>
      <c r="AI38" s="30"/>
    </row>
    <row r="39" spans="1:35" ht="96.6" x14ac:dyDescent="0.3">
      <c r="A39" s="267"/>
      <c r="B39" s="30"/>
      <c r="C39" s="30" t="str">
        <f t="shared" si="0"/>
        <v>3</v>
      </c>
      <c r="D39" s="32">
        <f t="shared" si="2"/>
        <v>2</v>
      </c>
      <c r="E39" s="32" t="str">
        <f t="shared" si="4"/>
        <v>324</v>
      </c>
      <c r="F39" s="145" t="s">
        <v>32</v>
      </c>
      <c r="G39" s="146" t="str">
        <f>VLOOKUP(E39,BDD!$A$2:$N$567,MATCH(G$24,BDD!$A$1:$P$1,0),FALSE)</f>
        <v xml:space="preserve">L'évaluation des risques numériques réalisée par la DSI prend en compte les changements significatifs impactant l'organisation : modifications d’organisation internes et externes (fusion, nouvelle activité, nouvelle implantation, etc.), évolutions réglementaires et technologiques (IA, informatique quantique, ...), événements survenus ou pouvant survenir (menaces) avec une fréquence et un impact potentiel négatif suffisamment important pour l’organisation, ou comportant des risques humains. </v>
      </c>
      <c r="H39" s="149" t="str">
        <f>IF(VLOOKUP($E39,BDD!$A$2:$N$567,MATCH($H$23,BDD!$A$1:$P$1,0),FALSE)=H$24,'V3_ Risques&amp;Conformité'!H$24,"")</f>
        <v/>
      </c>
      <c r="I39" s="150" t="str">
        <f>IF(VLOOKUP($E39,BDD!$A$2:$N$567,MATCH($H$23,BDD!$A$1:$P$1,0),FALSE)=I$24,'V3_ Risques&amp;Conformité'!I$24,"")</f>
        <v/>
      </c>
      <c r="J39" s="150" t="str">
        <f>IF(VLOOKUP($E39,BDD!$A$2:$N$567,MATCH($H$23,BDD!$A$1:$P$1,0),FALSE)=J$24,'V3_ Risques&amp;Conformité'!J$24,"")</f>
        <v>N3</v>
      </c>
      <c r="K39" s="150" t="str">
        <f>IF(VLOOKUP($E39,BDD!$A$2:$N$567,MATCH($H$23,BDD!$A$1:$P$1,0),FALSE)=K$24,'V3_ Risques&amp;Conformité'!K$24,"")</f>
        <v/>
      </c>
      <c r="L39" s="151" t="str">
        <f>IF(VLOOKUP($E39,BDD!$A$2:$N$567,MATCH($H$23,BDD!$A$1:$P$1,0),FALSE)=L$24,'V3_ Risques&amp;Conformité'!L$24,"")</f>
        <v/>
      </c>
      <c r="M39" s="63">
        <f t="shared" si="5"/>
        <v>0</v>
      </c>
      <c r="N39" s="146" t="str">
        <f>VLOOKUP(VLOOKUP(E39,BDD!$A$2:$P$428,15,FALSE),Suppl!$D$64:$E$68,2,FALSE)</f>
        <v>Non renseigné</v>
      </c>
      <c r="O39" s="629"/>
      <c r="P39" s="629"/>
      <c r="Q39" s="629"/>
      <c r="R39" s="629"/>
      <c r="S39" s="627">
        <f>IF(N39=Suppl!$E$65,0,IF(N39=Suppl!$E$66,1/2/(COUNTIFS($D:$D,D39,$N:$N,"Exigences"&amp;"*")+COUNTIFS($D:$D,D39,$N:$N,"Non"&amp;"*")),IF(N39=Suppl!$E$67,1/(COUNTIFS($D:$D,D39,$N:$N,"Exigences"&amp;"*")+COUNTIFS($D:$D,D39,$N:$N,"Non"&amp;"*")),0)))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267"/>
      <c r="AI39" s="30"/>
    </row>
    <row r="40" spans="1:35" ht="42.6" customHeight="1" x14ac:dyDescent="0.3">
      <c r="A40" s="267"/>
      <c r="B40" s="30"/>
      <c r="C40" s="30" t="str">
        <f t="shared" si="0"/>
        <v>3</v>
      </c>
      <c r="D40" s="32">
        <f t="shared" si="2"/>
        <v>2</v>
      </c>
      <c r="E40" s="32" t="str">
        <f t="shared" si="4"/>
        <v>325</v>
      </c>
      <c r="F40" s="143" t="s">
        <v>33</v>
      </c>
      <c r="G40" s="144" t="str">
        <f>VLOOKUP(E40,BDD!$A$2:$N$567,MATCH(G$24,BDD!$A$1:$P$1,0),FALSE)</f>
        <v xml:space="preserve">La DSI a créé un référentiel de contrôle adapté à l'organisation et mis en place les dispositifs de réduction des risques. Ce référentiel prend en compte la maturité et l'appétence au risque de l'organisation. </v>
      </c>
      <c r="H40" s="149" t="str">
        <f>IF(VLOOKUP($E40,BDD!$A$2:$N$567,MATCH($H$23,BDD!$A$1:$P$1,0),FALSE)=H$24,'V3_ Risques&amp;Conformité'!H$24,"")</f>
        <v/>
      </c>
      <c r="I40" s="150" t="str">
        <f>IF(VLOOKUP($E40,BDD!$A$2:$N$567,MATCH($H$23,BDD!$A$1:$P$1,0),FALSE)=I$24,'V3_ Risques&amp;Conformité'!I$24,"")</f>
        <v>N2</v>
      </c>
      <c r="J40" s="150" t="str">
        <f>IF(VLOOKUP($E40,BDD!$A$2:$N$567,MATCH($H$23,BDD!$A$1:$P$1,0),FALSE)=J$24,'V3_ Risques&amp;Conformité'!J$24,"")</f>
        <v/>
      </c>
      <c r="K40" s="150" t="str">
        <f>IF(VLOOKUP($E40,BDD!$A$2:$N$567,MATCH($H$23,BDD!$A$1:$P$1,0),FALSE)=K$24,'V3_ Risques&amp;Conformité'!K$24,"")</f>
        <v/>
      </c>
      <c r="L40" s="151" t="str">
        <f>IF(VLOOKUP($E40,BDD!$A$2:$N$567,MATCH($H$23,BDD!$A$1:$P$1,0),FALSE)=L$24,'V3_ Risques&amp;Conformité'!L$24,"")</f>
        <v/>
      </c>
      <c r="M40" s="63">
        <f t="shared" si="5"/>
        <v>0</v>
      </c>
      <c r="N40" s="144" t="str">
        <f>VLOOKUP(VLOOKUP(E40,BDD!$A$2:$P$428,15,FALSE),Suppl!$D$64:$E$68,2,FALSE)</f>
        <v>Non renseigné</v>
      </c>
      <c r="O40" s="629"/>
      <c r="P40" s="629"/>
      <c r="Q40" s="629"/>
      <c r="R40" s="629"/>
      <c r="S40" s="627">
        <f>IF(N40=Suppl!$E$65,0,IF(N40=Suppl!$E$66,1/2/(COUNTIFS($D:$D,D40,$N:$N,"Exigences"&amp;"*")+COUNTIFS($D:$D,D40,$N:$N,"Non"&amp;"*")),IF(N40=Suppl!$E$67,1/(COUNTIFS($D:$D,D40,$N:$N,"Exigences"&amp;"*")+COUNTIFS($D:$D,D40,$N:$N,"Non"&amp;"*")),0)))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267"/>
      <c r="AI40" s="30"/>
    </row>
    <row r="41" spans="1:35" ht="42.6" customHeight="1" x14ac:dyDescent="0.3">
      <c r="A41" s="267"/>
      <c r="B41" s="30"/>
      <c r="C41" s="30" t="str">
        <f t="shared" si="0"/>
        <v>3</v>
      </c>
      <c r="D41" s="32">
        <f t="shared" si="2"/>
        <v>2</v>
      </c>
      <c r="E41" s="32" t="str">
        <f t="shared" si="4"/>
        <v>326</v>
      </c>
      <c r="F41" s="147" t="s">
        <v>34</v>
      </c>
      <c r="G41" s="148" t="str">
        <f>VLOOKUP(E41,BDD!$A$2:$N$567,MATCH(G$24,BDD!$A$1:$P$1,0),FALSE)</f>
        <v>La DSI lance des projets visant à réduire les risques numériques. Ces projets peuvent être proposés pour intégration à la feuille de route numérique avec les autres projets, l'arbitrage étant réalisé avec les métiers.</v>
      </c>
      <c r="H41" s="149" t="str">
        <f>IF(VLOOKUP($E41,BDD!$A$2:$N$567,MATCH($H$23,BDD!$A$1:$P$1,0),FALSE)=H$24,'V3_ Risques&amp;Conformité'!H$24,"")</f>
        <v>N1</v>
      </c>
      <c r="I41" s="150" t="str">
        <f>IF(VLOOKUP($E41,BDD!$A$2:$N$567,MATCH($H$23,BDD!$A$1:$P$1,0),FALSE)=I$24,'V3_ Risques&amp;Conformité'!I$24,"")</f>
        <v/>
      </c>
      <c r="J41" s="150" t="str">
        <f>IF(VLOOKUP($E41,BDD!$A$2:$N$567,MATCH($H$23,BDD!$A$1:$P$1,0),FALSE)=J$24,'V3_ Risques&amp;Conformité'!J$24,"")</f>
        <v/>
      </c>
      <c r="K41" s="150" t="str">
        <f>IF(VLOOKUP($E41,BDD!$A$2:$N$567,MATCH($H$23,BDD!$A$1:$P$1,0),FALSE)=K$24,'V3_ Risques&amp;Conformité'!K$24,"")</f>
        <v/>
      </c>
      <c r="L41" s="151" t="str">
        <f>IF(VLOOKUP($E41,BDD!$A$2:$N$567,MATCH($H$23,BDD!$A$1:$P$1,0),FALSE)=L$24,'V3_ Risques&amp;Conformité'!L$24,"")</f>
        <v/>
      </c>
      <c r="M41" s="63">
        <f t="shared" si="5"/>
        <v>0</v>
      </c>
      <c r="N41" s="148" t="str">
        <f>VLOOKUP(VLOOKUP(E41,BDD!$A$2:$P$428,15,FALSE),Suppl!$D$64:$E$68,2,FALSE)</f>
        <v>Non renseigné</v>
      </c>
      <c r="O41" s="629"/>
      <c r="P41" s="629"/>
      <c r="Q41" s="629"/>
      <c r="R41" s="629"/>
      <c r="S41" s="627">
        <f>IF(N41=Suppl!$E$65,0,IF(N41=Suppl!$E$66,1/2/(COUNTIFS($D:$D,D41,$N:$N,"Exigences"&amp;"*")+COUNTIFS($D:$D,D41,$N:$N,"Non"&amp;"*")),IF(N41=Suppl!$E$67,1/(COUNTIFS($D:$D,D41,$N:$N,"Exigences"&amp;"*")+COUNTIFS($D:$D,D41,$N:$N,"Non"&amp;"*")),0)))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267"/>
      <c r="AI41" s="30"/>
    </row>
    <row r="42" spans="1:35" ht="42.6" customHeight="1" x14ac:dyDescent="0.3">
      <c r="A42" s="267"/>
      <c r="B42" s="30"/>
      <c r="C42" s="30" t="str">
        <f t="shared" si="0"/>
        <v>3</v>
      </c>
      <c r="D42" s="32">
        <f t="shared" si="2"/>
        <v>2</v>
      </c>
      <c r="E42" s="32" t="str">
        <f t="shared" si="4"/>
        <v>327</v>
      </c>
      <c r="F42" s="143" t="s">
        <v>36</v>
      </c>
      <c r="G42" s="144" t="str">
        <f>VLOOKUP(E42,BDD!$A$2:$N$567,MATCH(G$24,BDD!$A$1:$P$1,0),FALSE)</f>
        <v>Les contrôles IT font l'objet d'une revue régulière qui peut donner lieu à la mise en place de nouveaux contrôles ou d'ajustements. La DSI s'assure à cette occasion que les tests de leur efficacité sont réalisés et communiqués.</v>
      </c>
      <c r="H42" s="149" t="str">
        <f>IF(VLOOKUP($E42,BDD!$A$2:$N$567,MATCH($H$23,BDD!$A$1:$P$1,0),FALSE)=H$24,'V3_ Risques&amp;Conformité'!H$24,"")</f>
        <v/>
      </c>
      <c r="I42" s="150" t="str">
        <f>IF(VLOOKUP($E42,BDD!$A$2:$N$567,MATCH($H$23,BDD!$A$1:$P$1,0),FALSE)=I$24,'V3_ Risques&amp;Conformité'!I$24,"")</f>
        <v/>
      </c>
      <c r="J42" s="150" t="str">
        <f>IF(VLOOKUP($E42,BDD!$A$2:$N$567,MATCH($H$23,BDD!$A$1:$P$1,0),FALSE)=J$24,'V3_ Risques&amp;Conformité'!J$24,"")</f>
        <v/>
      </c>
      <c r="K42" s="150" t="str">
        <f>IF(VLOOKUP($E42,BDD!$A$2:$N$567,MATCH($H$23,BDD!$A$1:$P$1,0),FALSE)=K$24,'V3_ Risques&amp;Conformité'!K$24,"")</f>
        <v>N4</v>
      </c>
      <c r="L42" s="151" t="str">
        <f>IF(VLOOKUP($E42,BDD!$A$2:$N$567,MATCH($H$23,BDD!$A$1:$P$1,0),FALSE)=L$24,'V3_ Risques&amp;Conformité'!L$24,"")</f>
        <v/>
      </c>
      <c r="M42" s="63">
        <f t="shared" si="5"/>
        <v>0</v>
      </c>
      <c r="N42" s="144" t="str">
        <f>VLOOKUP(VLOOKUP(E42,BDD!$A$2:$P$428,15,FALSE),Suppl!$D$64:$E$68,2,FALSE)</f>
        <v>Non renseigné</v>
      </c>
      <c r="O42" s="636"/>
      <c r="P42" s="636"/>
      <c r="Q42" s="636"/>
      <c r="R42" s="636"/>
      <c r="S42" s="627">
        <f>IF(N42=Suppl!$E$65,0,IF(N42=Suppl!$E$66,1/2/(COUNTIFS($D:$D,D42,$N:$N,"Exigences"&amp;"*")+COUNTIFS($D:$D,D42,$N:$N,"Non"&amp;"*")),IF(N42=Suppl!$E$67,1/(COUNTIFS($D:$D,D42,$N:$N,"Exigences"&amp;"*")+COUNTIFS($D:$D,D42,$N:$N,"Non"&amp;"*")),0)))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267"/>
      <c r="AI42" s="30"/>
    </row>
    <row r="43" spans="1:35" ht="30" customHeight="1" x14ac:dyDescent="0.3">
      <c r="A43" s="267"/>
      <c r="B43" s="30"/>
      <c r="C43" s="30" t="str">
        <f t="shared" si="0"/>
        <v>3</v>
      </c>
      <c r="D43" s="32">
        <f t="shared" si="2"/>
        <v>3</v>
      </c>
      <c r="E43" s="194"/>
      <c r="F43" s="191" t="s">
        <v>501</v>
      </c>
      <c r="G43" s="192" t="str">
        <f>VLOOKUP(E45,BDD!$A$2:$N$567,6,FALSE)</f>
        <v>Revue de performance des contrôles</v>
      </c>
      <c r="H43" s="190"/>
      <c r="I43" s="135"/>
      <c r="J43" s="135"/>
      <c r="K43" s="135"/>
      <c r="L43" s="136"/>
      <c r="M43" s="137"/>
      <c r="N43" s="138"/>
      <c r="O43" s="630">
        <v>0</v>
      </c>
      <c r="P43" s="630"/>
      <c r="Q43" s="630"/>
      <c r="R43" s="630"/>
      <c r="S43" s="632">
        <f>SUMIFS(S:S,$D:$D,D43,$N:$N,"Exigences"&amp;"*")</f>
        <v>0</v>
      </c>
      <c r="T43" s="632"/>
      <c r="U43" s="632"/>
      <c r="V43" s="633"/>
      <c r="W43" s="356">
        <f>IFERROR(IF(N43=Suppl!$E$65,0,IF(N43=Suppl!$E$66,1/2/(COUNTIFS($N:$N,"Exigences"&amp;"*")+COUNTIFS($N:$N,"Non"&amp;"*")),IF(N43=Suppl!$E$67,1/(COUNTIFS($N:$N,"Exigences"&amp;"*")+COUNTIFS($N:$N,"Non"&amp;"*")),0))),0)</f>
        <v>0</v>
      </c>
      <c r="X43" s="30"/>
      <c r="Y43" s="30"/>
      <c r="Z43" s="30"/>
      <c r="AA43" s="30"/>
      <c r="AB43" s="30"/>
      <c r="AC43" s="30"/>
      <c r="AD43" s="30"/>
      <c r="AE43" s="30"/>
      <c r="AF43" s="30"/>
      <c r="AG43" s="30"/>
      <c r="AH43" s="267"/>
      <c r="AI43" s="30"/>
    </row>
    <row r="44" spans="1:35" ht="30" customHeight="1" x14ac:dyDescent="0.3">
      <c r="A44" s="267"/>
      <c r="B44" s="30"/>
      <c r="C44" s="30" t="str">
        <f t="shared" si="0"/>
        <v>3</v>
      </c>
      <c r="D44" s="32">
        <f t="shared" si="2"/>
        <v>3</v>
      </c>
      <c r="E44" s="195"/>
      <c r="F44" s="211" t="s">
        <v>550</v>
      </c>
      <c r="G44" s="620" t="str">
        <f>VLOOKUP(E46,BDD!$A$2:$N$567,7,FALSE)</f>
        <v>L’organisation réalise et communique régulièrement une évaluation de l’efficacité des contrôles SI, en regard des enjeux stratégiques, financiers, commerciaux, réglementaires, industriels ou d’innovation.</v>
      </c>
      <c r="H44" s="621"/>
      <c r="I44" s="621"/>
      <c r="J44" s="621"/>
      <c r="K44" s="621"/>
      <c r="L44" s="621"/>
      <c r="M44" s="621"/>
      <c r="N44" s="622"/>
      <c r="O44" s="631"/>
      <c r="P44" s="631"/>
      <c r="Q44" s="631"/>
      <c r="R44" s="631"/>
      <c r="S44" s="634"/>
      <c r="T44" s="634"/>
      <c r="U44" s="634"/>
      <c r="V44" s="635"/>
      <c r="W44" s="356">
        <f>IFERROR(IF(N44=Suppl!$E$65,0,IF(N44=Suppl!$E$66,1/2/(COUNTIFS($N:$N,"Exigences"&amp;"*")+COUNTIFS($N:$N,"Non"&amp;"*")),IF(N44=Suppl!$E$67,1/(COUNTIFS($N:$N,"Exigences"&amp;"*")+COUNTIFS($N:$N,"Non"&amp;"*")),0))),0)</f>
        <v>0</v>
      </c>
      <c r="X44" s="30"/>
      <c r="Y44" s="30"/>
      <c r="Z44" s="30"/>
      <c r="AA44" s="30"/>
      <c r="AB44" s="30"/>
      <c r="AC44" s="30"/>
      <c r="AD44" s="30"/>
      <c r="AE44" s="30"/>
      <c r="AF44" s="30"/>
      <c r="AG44" s="30"/>
      <c r="AH44" s="267"/>
      <c r="AI44" s="30"/>
    </row>
    <row r="45" spans="1:35" ht="41.4" x14ac:dyDescent="0.3">
      <c r="A45" s="267"/>
      <c r="B45" s="30"/>
      <c r="C45" s="30" t="str">
        <f t="shared" si="0"/>
        <v>3</v>
      </c>
      <c r="D45" s="32">
        <f t="shared" si="2"/>
        <v>3</v>
      </c>
      <c r="E45" s="32" t="str">
        <f t="shared" ref="E45:E47" si="6">C45&amp;D45&amp;RIGHT(F45,1)</f>
        <v>331</v>
      </c>
      <c r="F45" s="143" t="s">
        <v>27</v>
      </c>
      <c r="G45" s="144" t="str">
        <f>VLOOKUP(E45,BDD!$A$2:$N$567,MATCH(G$24,BDD!$A$1:$P$1,0),FALSE)</f>
        <v xml:space="preserve">La DSI effectue un suivi de la mise en œuvre des contrôles clés et évalue leur efficacité. Cette évaluation documentée comprend les contrôles récurrents de surveillance, définis avec les métiers. </v>
      </c>
      <c r="H45" s="149" t="str">
        <f>IF(VLOOKUP($E45,BDD!$A$2:$N$567,MATCH($H$23,BDD!$A$1:$P$1,0),FALSE)=H$24,'V3_ Risques&amp;Conformité'!H$24,"")</f>
        <v/>
      </c>
      <c r="I45" s="150" t="str">
        <f>IF(VLOOKUP($E45,BDD!$A$2:$N$567,MATCH($H$23,BDD!$A$1:$P$1,0),FALSE)=I$24,'V3_ Risques&amp;Conformité'!I$24,"")</f>
        <v/>
      </c>
      <c r="J45" s="150" t="str">
        <f>IF(VLOOKUP($E45,BDD!$A$2:$N$567,MATCH($H$23,BDD!$A$1:$P$1,0),FALSE)=J$24,'V3_ Risques&amp;Conformité'!J$24,"")</f>
        <v/>
      </c>
      <c r="K45" s="150" t="str">
        <f>IF(VLOOKUP($E45,BDD!$A$2:$N$567,MATCH($H$23,BDD!$A$1:$P$1,0),FALSE)=K$24,'V3_ Risques&amp;Conformité'!K$24,"")</f>
        <v>N4</v>
      </c>
      <c r="L45" s="151" t="str">
        <f>IF(VLOOKUP($E45,BDD!$A$2:$N$567,MATCH($H$23,BDD!$A$1:$P$1,0),FALSE)=L$24,'V3_ Risques&amp;Conformité'!L$24,"")</f>
        <v/>
      </c>
      <c r="M45" s="63">
        <f t="shared" ref="M45:M47" si="7">IF(N45="Exigences partiellement respectées",1,IF(N45="Exigences respectées",2,0))</f>
        <v>0</v>
      </c>
      <c r="N45" s="144" t="str">
        <f>VLOOKUP(VLOOKUP(E45,BDD!$A$2:$P$428,15,FALSE),Suppl!$D$64:$E$68,2,FALSE)</f>
        <v>Non renseigné</v>
      </c>
      <c r="O45" s="626"/>
      <c r="P45" s="626"/>
      <c r="Q45" s="626"/>
      <c r="R45" s="626"/>
      <c r="S45" s="627">
        <f>IF(N45=Suppl!$E$65,0,IF(N45=Suppl!$E$66,1/2/(COUNTIFS($D:$D,D45,$N:$N,"Exigences"&amp;"*")+COUNTIFS($D:$D,D45,$N:$N,"Non"&amp;"*")),IF(N45=Suppl!$E$67,1/(COUNTIFS($D:$D,D45,$N:$N,"Exigences"&amp;"*")+COUNTIFS($D:$D,D45,$N:$N,"Non"&amp;"*")),0)))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267"/>
      <c r="AI45" s="30"/>
    </row>
    <row r="46" spans="1:35" ht="55.2" x14ac:dyDescent="0.3">
      <c r="A46" s="267"/>
      <c r="B46" s="30"/>
      <c r="C46" s="30" t="str">
        <f t="shared" si="0"/>
        <v>3</v>
      </c>
      <c r="D46" s="32">
        <f t="shared" si="2"/>
        <v>3</v>
      </c>
      <c r="E46" s="32" t="str">
        <f t="shared" si="6"/>
        <v>332</v>
      </c>
      <c r="F46" s="145" t="s">
        <v>28</v>
      </c>
      <c r="G46" s="146" t="str">
        <f>VLOOKUP(E46,BDD!$A$2:$N$567,MATCH(G$24,BDD!$A$1:$P$1,0),FALSE)</f>
        <v xml:space="preserve">L’évaluation de l'efficacité des contrôles est réalisée par des équipes indépendantes des opérations évaluées, par exemple le contrôle interne et/ou l'audit interne. Cette évaluation documentée comprend les contrôles récurrents de surveillance définis avec les métiers. </v>
      </c>
      <c r="H46" s="149" t="str">
        <f>IF(VLOOKUP($E46,BDD!$A$2:$N$567,MATCH($H$23,BDD!$A$1:$P$1,0),FALSE)=H$24,'V3_ Risques&amp;Conformité'!H$24,"")</f>
        <v/>
      </c>
      <c r="I46" s="150" t="str">
        <f>IF(VLOOKUP($E46,BDD!$A$2:$N$567,MATCH($H$23,BDD!$A$1:$P$1,0),FALSE)=I$24,'V3_ Risques&amp;Conformité'!I$24,"")</f>
        <v/>
      </c>
      <c r="J46" s="150" t="str">
        <f>IF(VLOOKUP($E46,BDD!$A$2:$N$567,MATCH($H$23,BDD!$A$1:$P$1,0),FALSE)=J$24,'V3_ Risques&amp;Conformité'!J$24,"")</f>
        <v/>
      </c>
      <c r="K46" s="150" t="str">
        <f>IF(VLOOKUP($E46,BDD!$A$2:$N$567,MATCH($H$23,BDD!$A$1:$P$1,0),FALSE)=K$24,'V3_ Risques&amp;Conformité'!K$24,"")</f>
        <v>N4</v>
      </c>
      <c r="L46" s="151" t="str">
        <f>IF(VLOOKUP($E46,BDD!$A$2:$N$567,MATCH($H$23,BDD!$A$1:$P$1,0),FALSE)=L$24,'V3_ Risques&amp;Conformité'!L$24,"")</f>
        <v/>
      </c>
      <c r="M46" s="63">
        <f t="shared" si="7"/>
        <v>0</v>
      </c>
      <c r="N46" s="146" t="str">
        <f>VLOOKUP(VLOOKUP(E46,BDD!$A$2:$P$428,15,FALSE),Suppl!$D$64:$E$68,2,FALSE)</f>
        <v>Non renseigné</v>
      </c>
      <c r="O46" s="629"/>
      <c r="P46" s="629"/>
      <c r="Q46" s="629"/>
      <c r="R46" s="629"/>
      <c r="S46" s="627">
        <f>IF(N46=Suppl!$E$65,0,IF(N46=Suppl!$E$66,1/2/(COUNTIFS($D:$D,D46,$N:$N,"Exigences"&amp;"*")+COUNTIFS($D:$D,D46,$N:$N,"Non"&amp;"*")),IF(N46=Suppl!$E$67,1/(COUNTIFS($D:$D,D46,$N:$N,"Exigences"&amp;"*")+COUNTIFS($D:$D,D46,$N:$N,"Non"&amp;"*")),0)))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267"/>
      <c r="AI46" s="30"/>
    </row>
    <row r="47" spans="1:35" ht="41.4" x14ac:dyDescent="0.3">
      <c r="A47" s="267"/>
      <c r="B47" s="30"/>
      <c r="C47" s="30" t="str">
        <f t="shared" si="0"/>
        <v>3</v>
      </c>
      <c r="D47" s="32">
        <f t="shared" si="2"/>
        <v>3</v>
      </c>
      <c r="E47" s="32" t="str">
        <f t="shared" si="6"/>
        <v>333</v>
      </c>
      <c r="F47" s="143" t="s">
        <v>30</v>
      </c>
      <c r="G47" s="144" t="str">
        <f>VLOOKUP(E47,BDD!$A$2:$N$567,MATCH(G$24,BDD!$A$1:$P$1,0),FALSE)</f>
        <v xml:space="preserve">Les plans de remédiation associés aux risques numériques sont établis en liaison avec les évaluations des risques et des enjeux métiers, suivis par la filière risque ou à défaut par la DSI, et pilotés en coordination avec les métiers. </v>
      </c>
      <c r="H47" s="149" t="str">
        <f>IF(VLOOKUP($E47,BDD!$A$2:$N$567,MATCH($H$23,BDD!$A$1:$P$1,0),FALSE)=H$24,'V3_ Risques&amp;Conformité'!H$24,"")</f>
        <v/>
      </c>
      <c r="I47" s="150" t="str">
        <f>IF(VLOOKUP($E47,BDD!$A$2:$N$567,MATCH($H$23,BDD!$A$1:$P$1,0),FALSE)=I$24,'V3_ Risques&amp;Conformité'!I$24,"")</f>
        <v/>
      </c>
      <c r="J47" s="150" t="str">
        <f>IF(VLOOKUP($E47,BDD!$A$2:$N$567,MATCH($H$23,BDD!$A$1:$P$1,0),FALSE)=J$24,'V3_ Risques&amp;Conformité'!J$24,"")</f>
        <v>N3</v>
      </c>
      <c r="K47" s="150" t="str">
        <f>IF(VLOOKUP($E47,BDD!$A$2:$N$567,MATCH($H$23,BDD!$A$1:$P$1,0),FALSE)=K$24,'V3_ Risques&amp;Conformité'!K$24,"")</f>
        <v/>
      </c>
      <c r="L47" s="151" t="str">
        <f>IF(VLOOKUP($E47,BDD!$A$2:$N$567,MATCH($H$23,BDD!$A$1:$P$1,0),FALSE)=L$24,'V3_ Risques&amp;Conformité'!L$24,"")</f>
        <v/>
      </c>
      <c r="M47" s="63">
        <f t="shared" si="7"/>
        <v>0</v>
      </c>
      <c r="N47" s="144" t="str">
        <f>VLOOKUP(VLOOKUP(E47,BDD!$A$2:$P$428,15,FALSE),Suppl!$D$64:$E$68,2,FALSE)</f>
        <v>Non renseigné</v>
      </c>
      <c r="O47" s="629"/>
      <c r="P47" s="629"/>
      <c r="Q47" s="629"/>
      <c r="R47" s="629"/>
      <c r="S47" s="627">
        <f>IF(N47=Suppl!$E$65,0,IF(N47=Suppl!$E$66,1/2/(COUNTIFS($D:$D,D47,$N:$N,"Exigences"&amp;"*")+COUNTIFS($D:$D,D47,$N:$N,"Non"&amp;"*")),IF(N47=Suppl!$E$67,1/(COUNTIFS($D:$D,D47,$N:$N,"Exigences"&amp;"*")+COUNTIFS($D:$D,D47,$N:$N,"Non"&amp;"*")),0)))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267"/>
      <c r="AI47" s="30"/>
    </row>
    <row r="48" spans="1:35" ht="30" customHeight="1" x14ac:dyDescent="0.3">
      <c r="A48" s="267"/>
      <c r="B48" s="30"/>
      <c r="C48" s="30" t="str">
        <f t="shared" si="0"/>
        <v>3</v>
      </c>
      <c r="D48" s="32">
        <f>IF(LEFT(F48,5)="Bonne",D47+1,#REF!)</f>
        <v>4</v>
      </c>
      <c r="E48" s="194"/>
      <c r="F48" s="191" t="s">
        <v>502</v>
      </c>
      <c r="G48" s="192" t="str">
        <f>VLOOKUP(E50,BDD!$A$2:$N$567,6,FALSE)</f>
        <v>Gestion des risques cyber</v>
      </c>
      <c r="H48" s="190"/>
      <c r="I48" s="135"/>
      <c r="J48" s="135"/>
      <c r="K48" s="135"/>
      <c r="L48" s="136"/>
      <c r="M48" s="137"/>
      <c r="N48" s="138"/>
      <c r="O48" s="630">
        <v>0</v>
      </c>
      <c r="P48" s="630"/>
      <c r="Q48" s="630"/>
      <c r="R48" s="630"/>
      <c r="S48" s="632">
        <f>SUMIFS(S:S,$D:$D,D48,$N:$N,"Exigences"&amp;"*")</f>
        <v>0</v>
      </c>
      <c r="T48" s="632"/>
      <c r="U48" s="632"/>
      <c r="V48" s="633"/>
      <c r="W48" s="356">
        <f>IFERROR(IF(N48=Suppl!$E$65,0,IF(N48=Suppl!$E$66,1/2/(COUNTIFS($N:$N,"Exigences"&amp;"*")+COUNTIFS($N:$N,"Non"&amp;"*")),IF(N48=Suppl!$E$67,1/(COUNTIFS($N:$N,"Exigences"&amp;"*")+COUNTIFS($N:$N,"Non"&amp;"*")),0))),0)</f>
        <v>0</v>
      </c>
      <c r="X48" s="30"/>
      <c r="Y48" s="30"/>
      <c r="Z48" s="30"/>
      <c r="AA48" s="30"/>
      <c r="AB48" s="30"/>
      <c r="AC48" s="30"/>
      <c r="AD48" s="30"/>
      <c r="AE48" s="30"/>
      <c r="AF48" s="30"/>
      <c r="AG48" s="30"/>
      <c r="AH48" s="267"/>
      <c r="AI48" s="30"/>
    </row>
    <row r="49" spans="1:35" ht="30" customHeight="1" x14ac:dyDescent="0.3">
      <c r="A49" s="267"/>
      <c r="B49" s="30"/>
      <c r="C49" s="30" t="str">
        <f t="shared" si="0"/>
        <v>3</v>
      </c>
      <c r="D49" s="32">
        <f>IF(LEFT(F49,5)="Bonne",#REF!+1,D48)</f>
        <v>4</v>
      </c>
      <c r="E49" s="195"/>
      <c r="F49" s="211" t="s">
        <v>550</v>
      </c>
      <c r="G49" s="193" t="str">
        <f>VLOOKUP(E51,BDD!$A$2:$N$567,7,FALSE)</f>
        <v>La DSI a défini et a mis en œuvre des dispositifs de protection de l'organisation contre les cyberattaques (rançongiciels, fuite de données, etc.)</v>
      </c>
      <c r="H49" s="139"/>
      <c r="I49" s="139"/>
      <c r="J49" s="139"/>
      <c r="K49" s="139"/>
      <c r="L49" s="140"/>
      <c r="M49" s="141"/>
      <c r="N49" s="142"/>
      <c r="O49" s="631"/>
      <c r="P49" s="631"/>
      <c r="Q49" s="631"/>
      <c r="R49" s="631"/>
      <c r="S49" s="634"/>
      <c r="T49" s="634"/>
      <c r="U49" s="634"/>
      <c r="V49" s="635"/>
      <c r="W49" s="356">
        <f>IFERROR(IF(N49=Suppl!$E$65,0,IF(N49=Suppl!$E$66,1/2/(COUNTIFS($N:$N,"Exigences"&amp;"*")+COUNTIFS($N:$N,"Non"&amp;"*")),IF(N49=Suppl!$E$67,1/(COUNTIFS($N:$N,"Exigences"&amp;"*")+COUNTIFS($N:$N,"Non"&amp;"*")),0))),0)</f>
        <v>0</v>
      </c>
      <c r="X49" s="30"/>
      <c r="Y49" s="30"/>
      <c r="Z49" s="30"/>
      <c r="AA49" s="30"/>
      <c r="AB49" s="30"/>
      <c r="AC49" s="30"/>
      <c r="AD49" s="30"/>
      <c r="AE49" s="30"/>
      <c r="AF49" s="30"/>
      <c r="AG49" s="30"/>
      <c r="AH49" s="267"/>
      <c r="AI49" s="30"/>
    </row>
    <row r="50" spans="1:35" ht="30" customHeight="1" x14ac:dyDescent="0.3">
      <c r="A50" s="267"/>
      <c r="B50" s="30"/>
      <c r="C50" s="30" t="str">
        <f t="shared" si="0"/>
        <v>3</v>
      </c>
      <c r="D50" s="32">
        <f t="shared" si="2"/>
        <v>4</v>
      </c>
      <c r="E50" s="32" t="str">
        <f t="shared" ref="E50:E55" si="8">C50&amp;D50&amp;RIGHT(F50,1)</f>
        <v>341</v>
      </c>
      <c r="F50" s="143" t="s">
        <v>27</v>
      </c>
      <c r="G50" s="144" t="str">
        <f>VLOOKUP(E50,BDD!$A$2:$N$567,MATCH(G$24,BDD!$A$1:$P$1,0),FALSE)</f>
        <v>Une fonction RSSI est identifiée dans l'organisation et positionnée dans une logique d'indépendance de la fonction.</v>
      </c>
      <c r="H50" s="149" t="str">
        <f>IF(VLOOKUP($E50,BDD!$A$2:$N$567,MATCH($H$23,BDD!$A$1:$P$1,0),FALSE)=H$24,'V3_ Risques&amp;Conformité'!H$24,"")</f>
        <v>N1</v>
      </c>
      <c r="I50" s="150" t="str">
        <f>IF(VLOOKUP($E50,BDD!$A$2:$N$567,MATCH($H$23,BDD!$A$1:$P$1,0),FALSE)=I$24,'V3_ Risques&amp;Conformité'!I$24,"")</f>
        <v/>
      </c>
      <c r="J50" s="150" t="str">
        <f>IF(VLOOKUP($E50,BDD!$A$2:$N$567,MATCH($H$23,BDD!$A$1:$P$1,0),FALSE)=J$24,'V3_ Risques&amp;Conformité'!J$24,"")</f>
        <v/>
      </c>
      <c r="K50" s="150" t="str">
        <f>IF(VLOOKUP($E50,BDD!$A$2:$N$567,MATCH($H$23,BDD!$A$1:$P$1,0),FALSE)=K$24,'V3_ Risques&amp;Conformité'!K$24,"")</f>
        <v/>
      </c>
      <c r="L50" s="151" t="str">
        <f>IF(VLOOKUP($E50,BDD!$A$2:$N$567,MATCH($H$23,BDD!$A$1:$P$1,0),FALSE)=L$24,'V3_ Risques&amp;Conformité'!L$24,"")</f>
        <v/>
      </c>
      <c r="M50" s="63">
        <f t="shared" ref="M50:M55" si="9">IF(N50="Exigences partiellement respectées",1,IF(N50="Exigences respectées",2,0))</f>
        <v>0</v>
      </c>
      <c r="N50" s="144" t="str">
        <f>VLOOKUP(VLOOKUP(E50,BDD!$A$2:$P$428,15,FALSE),Suppl!$D$64:$E$68,2,FALSE)</f>
        <v>Non renseigné</v>
      </c>
      <c r="O50" s="626"/>
      <c r="P50" s="626"/>
      <c r="Q50" s="626"/>
      <c r="R50" s="626"/>
      <c r="S50" s="627">
        <f>IF(N50=Suppl!$E$65,0,IF(N50=Suppl!$E$66,1/2/(COUNTIFS($D:$D,D50,$N:$N,"Exigences"&amp;"*")+COUNTIFS($D:$D,D50,$N:$N,"Non"&amp;"*")),IF(N50=Suppl!$E$67,1/(COUNTIFS($D:$D,D50,$N:$N,"Exigences"&amp;"*")+COUNTIFS($D:$D,D50,$N:$N,"Non"&amp;"*")),0)))</f>
        <v>0</v>
      </c>
      <c r="T50" s="627"/>
      <c r="U50" s="627"/>
      <c r="V50" s="628"/>
      <c r="W50" s="356">
        <f>IFERROR(IF(N50=Suppl!$E$65,0,IF(N50=Suppl!$E$66,1/2/(COUNTIFS($N:$N,"Exigences"&amp;"*")+COUNTIFS($N:$N,"Non"&amp;"*")),IF(N50=Suppl!$E$67,1/(COUNTIFS($N:$N,"Exigences"&amp;"*")+COUNTIFS($N:$N,"Non"&amp;"*")),0))),0)</f>
        <v>0</v>
      </c>
      <c r="X50" s="30"/>
      <c r="Y50" s="30"/>
      <c r="Z50" s="30"/>
      <c r="AA50" s="30"/>
      <c r="AB50" s="30"/>
      <c r="AC50" s="30"/>
      <c r="AD50" s="30"/>
      <c r="AE50" s="30"/>
      <c r="AF50" s="30"/>
      <c r="AG50" s="30"/>
      <c r="AH50" s="267"/>
      <c r="AI50" s="30"/>
    </row>
    <row r="51" spans="1:35" ht="41.4" x14ac:dyDescent="0.3">
      <c r="A51" s="267"/>
      <c r="B51" s="30"/>
      <c r="C51" s="30" t="str">
        <f t="shared" si="0"/>
        <v>3</v>
      </c>
      <c r="D51" s="32">
        <f t="shared" si="2"/>
        <v>4</v>
      </c>
      <c r="E51" s="32" t="str">
        <f t="shared" si="8"/>
        <v>342</v>
      </c>
      <c r="F51" s="145" t="s">
        <v>28</v>
      </c>
      <c r="G51" s="146" t="str">
        <f>VLOOKUP(E51,BDD!$A$2:$N$567,MATCH(G$24,BDD!$A$1:$P$1,0),FALSE)</f>
        <v>Une PSSI (politique de sécurité des SI ), décrivant les grandes orientations et la vision stratégique de la direction de l'organisation vis-à-vis de la sécurité des SI, est élaborée par le RSSI et déclinée dans un corpus documentaire. </v>
      </c>
      <c r="H51" s="149" t="str">
        <f>IF(VLOOKUP($E51,BDD!$A$2:$N$567,MATCH($H$23,BDD!$A$1:$P$1,0),FALSE)=H$24,'V3_ Risques&amp;Conformité'!H$24,"")</f>
        <v>N1</v>
      </c>
      <c r="I51" s="150" t="str">
        <f>IF(VLOOKUP($E51,BDD!$A$2:$N$567,MATCH($H$23,BDD!$A$1:$P$1,0),FALSE)=I$24,'V3_ Risques&amp;Conformité'!I$24,"")</f>
        <v/>
      </c>
      <c r="J51" s="150" t="str">
        <f>IF(VLOOKUP($E51,BDD!$A$2:$N$567,MATCH($H$23,BDD!$A$1:$P$1,0),FALSE)=J$24,'V3_ Risques&amp;Conformité'!J$24,"")</f>
        <v/>
      </c>
      <c r="K51" s="150" t="str">
        <f>IF(VLOOKUP($E51,BDD!$A$2:$N$567,MATCH($H$23,BDD!$A$1:$P$1,0),FALSE)=K$24,'V3_ Risques&amp;Conformité'!K$24,"")</f>
        <v/>
      </c>
      <c r="L51" s="151" t="str">
        <f>IF(VLOOKUP($E51,BDD!$A$2:$N$567,MATCH($H$23,BDD!$A$1:$P$1,0),FALSE)=L$24,'V3_ Risques&amp;Conformité'!L$24,"")</f>
        <v/>
      </c>
      <c r="M51" s="63">
        <f t="shared" si="9"/>
        <v>0</v>
      </c>
      <c r="N51" s="146" t="str">
        <f>VLOOKUP(VLOOKUP(E51,BDD!$A$2:$P$428,15,FALSE),Suppl!$D$64:$E$68,2,FALSE)</f>
        <v>Non renseigné</v>
      </c>
      <c r="O51" s="629"/>
      <c r="P51" s="629"/>
      <c r="Q51" s="629"/>
      <c r="R51" s="629"/>
      <c r="S51" s="627">
        <f>IF(N51=Suppl!$E$65,0,IF(N51=Suppl!$E$66,1/2/(COUNTIFS($D:$D,D51,$N:$N,"Exigences"&amp;"*")+COUNTIFS($D:$D,D51,$N:$N,"Non"&amp;"*")),IF(N51=Suppl!$E$67,1/(COUNTIFS($D:$D,D51,$N:$N,"Exigences"&amp;"*")+COUNTIFS($D:$D,D51,$N:$N,"Non"&amp;"*")),0)))</f>
        <v>0</v>
      </c>
      <c r="T51" s="627"/>
      <c r="U51" s="627"/>
      <c r="V51" s="628"/>
      <c r="W51" s="356">
        <f>IFERROR(IF(N51=Suppl!$E$65,0,IF(N51=Suppl!$E$66,1/2/(COUNTIFS($N:$N,"Exigences"&amp;"*")+COUNTIFS($N:$N,"Non"&amp;"*")),IF(N51=Suppl!$E$67,1/(COUNTIFS($N:$N,"Exigences"&amp;"*")+COUNTIFS($N:$N,"Non"&amp;"*")),0))),0)</f>
        <v>0</v>
      </c>
      <c r="X51" s="30"/>
      <c r="Y51" s="30"/>
      <c r="Z51" s="30"/>
      <c r="AA51" s="30"/>
      <c r="AB51" s="30"/>
      <c r="AC51" s="30"/>
      <c r="AD51" s="30"/>
      <c r="AE51" s="30"/>
      <c r="AF51" s="30"/>
      <c r="AG51" s="30"/>
      <c r="AH51" s="267"/>
      <c r="AI51" s="30"/>
    </row>
    <row r="52" spans="1:35" ht="59.4" customHeight="1" x14ac:dyDescent="0.3">
      <c r="A52" s="267"/>
      <c r="B52" s="30"/>
      <c r="C52" s="30" t="str">
        <f t="shared" si="0"/>
        <v>3</v>
      </c>
      <c r="D52" s="32">
        <f t="shared" si="2"/>
        <v>4</v>
      </c>
      <c r="E52" s="32" t="str">
        <f t="shared" si="8"/>
        <v>343</v>
      </c>
      <c r="F52" s="143" t="s">
        <v>30</v>
      </c>
      <c r="G52" s="144" t="str">
        <f>VLOOKUP(E52,BDD!$A$2:$N$567,MATCH(G$24,BDD!$A$1:$P$1,0),FALSE)</f>
        <v>La DSI met en place un dispositif de prévention, protection, détection et réaction contre les risques cyber (organisation, socle documentaire, processus et outils) en réponse à son évaluation de la menace. Les tierces parties sont intégrées dans ce dispositif.</v>
      </c>
      <c r="H52" s="149" t="str">
        <f>IF(VLOOKUP($E52,BDD!$A$2:$N$567,MATCH($H$23,BDD!$A$1:$P$1,0),FALSE)=H$24,'V3_ Risques&amp;Conformité'!H$24,"")</f>
        <v>N1</v>
      </c>
      <c r="I52" s="150" t="str">
        <f>IF(VLOOKUP($E52,BDD!$A$2:$N$567,MATCH($H$23,BDD!$A$1:$P$1,0),FALSE)=I$24,'V3_ Risques&amp;Conformité'!I$24,"")</f>
        <v/>
      </c>
      <c r="J52" s="150" t="str">
        <f>IF(VLOOKUP($E52,BDD!$A$2:$N$567,MATCH($H$23,BDD!$A$1:$P$1,0),FALSE)=J$24,'V3_ Risques&amp;Conformité'!J$24,"")</f>
        <v/>
      </c>
      <c r="K52" s="150" t="str">
        <f>IF(VLOOKUP($E52,BDD!$A$2:$N$567,MATCH($H$23,BDD!$A$1:$P$1,0),FALSE)=K$24,'V3_ Risques&amp;Conformité'!K$24,"")</f>
        <v/>
      </c>
      <c r="L52" s="151" t="str">
        <f>IF(VLOOKUP($E52,BDD!$A$2:$N$567,MATCH($H$23,BDD!$A$1:$P$1,0),FALSE)=L$24,'V3_ Risques&amp;Conformité'!L$24,"")</f>
        <v/>
      </c>
      <c r="M52" s="63">
        <f t="shared" si="9"/>
        <v>0</v>
      </c>
      <c r="N52" s="144" t="str">
        <f>VLOOKUP(VLOOKUP(E52,BDD!$A$2:$P$428,15,FALSE),Suppl!$D$64:$E$68,2,FALSE)</f>
        <v>Non renseigné</v>
      </c>
      <c r="O52" s="629"/>
      <c r="P52" s="629"/>
      <c r="Q52" s="629"/>
      <c r="R52" s="629"/>
      <c r="S52" s="627">
        <f>IF(N52=Suppl!$E$65,0,IF(N52=Suppl!$E$66,1/2/(COUNTIFS($D:$D,D52,$N:$N,"Exigences"&amp;"*")+COUNTIFS($D:$D,D52,$N:$N,"Non"&amp;"*")),IF(N52=Suppl!$E$67,1/(COUNTIFS($D:$D,D52,$N:$N,"Exigences"&amp;"*")+COUNTIFS($D:$D,D52,$N:$N,"Non"&amp;"*")),0)))</f>
        <v>0</v>
      </c>
      <c r="T52" s="627"/>
      <c r="U52" s="627"/>
      <c r="V52" s="628"/>
      <c r="W52" s="356">
        <f>IFERROR(IF(N52=Suppl!$E$65,0,IF(N52=Suppl!$E$66,1/2/(COUNTIFS($N:$N,"Exigences"&amp;"*")+COUNTIFS($N:$N,"Non"&amp;"*")),IF(N52=Suppl!$E$67,1/(COUNTIFS($N:$N,"Exigences"&amp;"*")+COUNTIFS($N:$N,"Non"&amp;"*")),0))),0)</f>
        <v>0</v>
      </c>
      <c r="X52" s="30"/>
      <c r="Y52" s="30"/>
      <c r="Z52" s="30"/>
      <c r="AA52" s="30"/>
      <c r="AB52" s="30"/>
      <c r="AC52" s="30"/>
      <c r="AD52" s="30"/>
      <c r="AE52" s="30"/>
      <c r="AF52" s="30"/>
      <c r="AG52" s="30"/>
      <c r="AH52" s="267"/>
      <c r="AI52" s="30"/>
    </row>
    <row r="53" spans="1:35" ht="30" customHeight="1" x14ac:dyDescent="0.3">
      <c r="A53" s="267"/>
      <c r="B53" s="30"/>
      <c r="C53" s="30" t="str">
        <f t="shared" si="0"/>
        <v>3</v>
      </c>
      <c r="D53" s="32">
        <f t="shared" si="2"/>
        <v>4</v>
      </c>
      <c r="E53" s="32" t="str">
        <f t="shared" si="8"/>
        <v>344</v>
      </c>
      <c r="F53" s="145" t="s">
        <v>32</v>
      </c>
      <c r="G53" s="146" t="str">
        <f>VLOOKUP(E53,BDD!$A$2:$N$567,MATCH(G$24,BDD!$A$1:$P$1,0),FALSE)</f>
        <v>Le dispositif est évalué et maintenu régulièrement à l'état de l'art en réponse à l'évolution de la menace. </v>
      </c>
      <c r="H53" s="149" t="str">
        <f>IF(VLOOKUP($E53,BDD!$A$2:$N$567,MATCH($H$23,BDD!$A$1:$P$1,0),FALSE)=H$24,'V3_ Risques&amp;Conformité'!H$24,"")</f>
        <v/>
      </c>
      <c r="I53" s="150" t="str">
        <f>IF(VLOOKUP($E53,BDD!$A$2:$N$567,MATCH($H$23,BDD!$A$1:$P$1,0),FALSE)=I$24,'V3_ Risques&amp;Conformité'!I$24,"")</f>
        <v>N2</v>
      </c>
      <c r="J53" s="150" t="str">
        <f>IF(VLOOKUP($E53,BDD!$A$2:$N$567,MATCH($H$23,BDD!$A$1:$P$1,0),FALSE)=J$24,'V3_ Risques&amp;Conformité'!J$24,"")</f>
        <v/>
      </c>
      <c r="K53" s="150" t="str">
        <f>IF(VLOOKUP($E53,BDD!$A$2:$N$567,MATCH($H$23,BDD!$A$1:$P$1,0),FALSE)=K$24,'V3_ Risques&amp;Conformité'!K$24,"")</f>
        <v/>
      </c>
      <c r="L53" s="151" t="str">
        <f>IF(VLOOKUP($E53,BDD!$A$2:$N$567,MATCH($H$23,BDD!$A$1:$P$1,0),FALSE)=L$24,'V3_ Risques&amp;Conformité'!L$24,"")</f>
        <v/>
      </c>
      <c r="M53" s="63">
        <f t="shared" si="9"/>
        <v>0</v>
      </c>
      <c r="N53" s="146" t="str">
        <f>VLOOKUP(VLOOKUP(E53,BDD!$A$2:$P$428,15,FALSE),Suppl!$D$64:$E$68,2,FALSE)</f>
        <v>Non renseigné</v>
      </c>
      <c r="O53" s="629"/>
      <c r="P53" s="629"/>
      <c r="Q53" s="629"/>
      <c r="R53" s="629"/>
      <c r="S53" s="627">
        <f>IF(N53=Suppl!$E$65,0,IF(N53=Suppl!$E$66,1/2/(COUNTIFS($D:$D,D53,$N:$N,"Exigences"&amp;"*")+COUNTIFS($D:$D,D53,$N:$N,"Non"&amp;"*")),IF(N53=Suppl!$E$67,1/(COUNTIFS($D:$D,D53,$N:$N,"Exigences"&amp;"*")+COUNTIFS($D:$D,D53,$N:$N,"Non"&amp;"*")),0)))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267"/>
      <c r="AI53" s="30"/>
    </row>
    <row r="54" spans="1:35" ht="30" customHeight="1" x14ac:dyDescent="0.3">
      <c r="A54" s="267"/>
      <c r="B54" s="30"/>
      <c r="C54" s="30" t="str">
        <f t="shared" si="0"/>
        <v>3</v>
      </c>
      <c r="D54" s="32">
        <f t="shared" si="2"/>
        <v>4</v>
      </c>
      <c r="E54" s="32" t="str">
        <f t="shared" si="8"/>
        <v>345</v>
      </c>
      <c r="F54" s="143" t="s">
        <v>33</v>
      </c>
      <c r="G54" s="144" t="str">
        <f>VLOOKUP(E54,BDD!$A$2:$N$567,MATCH(G$24,BDD!$A$1:$P$1,0),FALSE)</f>
        <v>Le dispositif est testé et certifié par des tiers indépendants.</v>
      </c>
      <c r="H54" s="149" t="str">
        <f>IF(VLOOKUP($E54,BDD!$A$2:$N$567,MATCH($H$23,BDD!$A$1:$P$1,0),FALSE)=H$24,'V3_ Risques&amp;Conformité'!H$24,"")</f>
        <v/>
      </c>
      <c r="I54" s="150" t="str">
        <f>IF(VLOOKUP($E54,BDD!$A$2:$N$567,MATCH($H$23,BDD!$A$1:$P$1,0),FALSE)=I$24,'V3_ Risques&amp;Conformité'!I$24,"")</f>
        <v/>
      </c>
      <c r="J54" s="150" t="str">
        <f>IF(VLOOKUP($E54,BDD!$A$2:$N$567,MATCH($H$23,BDD!$A$1:$P$1,0),FALSE)=J$24,'V3_ Risques&amp;Conformité'!J$24,"")</f>
        <v/>
      </c>
      <c r="K54" s="150" t="str">
        <f>IF(VLOOKUP($E54,BDD!$A$2:$N$567,MATCH($H$23,BDD!$A$1:$P$1,0),FALSE)=K$24,'V3_ Risques&amp;Conformité'!K$24,"")</f>
        <v>N4</v>
      </c>
      <c r="L54" s="151" t="str">
        <f>IF(VLOOKUP($E54,BDD!$A$2:$N$567,MATCH($H$23,BDD!$A$1:$P$1,0),FALSE)=L$24,'V3_ Risques&amp;Conformité'!L$24,"")</f>
        <v/>
      </c>
      <c r="M54" s="63">
        <f t="shared" si="9"/>
        <v>0</v>
      </c>
      <c r="N54" s="144" t="str">
        <f>VLOOKUP(VLOOKUP(E54,BDD!$A$2:$P$428,15,FALSE),Suppl!$D$64:$E$68,2,FALSE)</f>
        <v>Non renseigné</v>
      </c>
      <c r="O54" s="629"/>
      <c r="P54" s="629"/>
      <c r="Q54" s="629"/>
      <c r="R54" s="629"/>
      <c r="S54" s="627">
        <f>IF(N54=Suppl!$E$65,0,IF(N54=Suppl!$E$66,1/2/(COUNTIFS($D:$D,D54,$N:$N,"Exigences"&amp;"*")+COUNTIFS($D:$D,D54,$N:$N,"Non"&amp;"*")),IF(N54=Suppl!$E$67,1/(COUNTIFS($D:$D,D54,$N:$N,"Exigences"&amp;"*")+COUNTIFS($D:$D,D54,$N:$N,"Non"&amp;"*")),0)))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267"/>
      <c r="AI54" s="30"/>
    </row>
    <row r="55" spans="1:35" ht="41.4" x14ac:dyDescent="0.3">
      <c r="A55" s="267"/>
      <c r="B55" s="30"/>
      <c r="C55" s="30" t="str">
        <f t="shared" si="0"/>
        <v>3</v>
      </c>
      <c r="D55" s="32">
        <f t="shared" si="2"/>
        <v>4</v>
      </c>
      <c r="E55" s="32" t="str">
        <f t="shared" si="8"/>
        <v>346</v>
      </c>
      <c r="F55" s="147" t="s">
        <v>34</v>
      </c>
      <c r="G55" s="148" t="str">
        <f>VLOOKUP(E55,BDD!$A$2:$N$567,MATCH(G$24,BDD!$A$1:$P$1,0),FALSE)</f>
        <v>Des campagnes de formation et de sensibilisation à la sécurité des systèmes d'information sont réalisées régulièrement et leur efficacité est mesurée et rapportée. Des actions de remédiation peuvent être menées suite à ces campagnes.</v>
      </c>
      <c r="H55" s="149" t="str">
        <f>IF(VLOOKUP($E55,BDD!$A$2:$N$567,MATCH($H$23,BDD!$A$1:$P$1,0),FALSE)=H$24,'V3_ Risques&amp;Conformité'!H$24,"")</f>
        <v/>
      </c>
      <c r="I55" s="150" t="str">
        <f>IF(VLOOKUP($E55,BDD!$A$2:$N$567,MATCH($H$23,BDD!$A$1:$P$1,0),FALSE)=I$24,'V3_ Risques&amp;Conformité'!I$24,"")</f>
        <v>N2</v>
      </c>
      <c r="J55" s="150" t="str">
        <f>IF(VLOOKUP($E55,BDD!$A$2:$N$567,MATCH($H$23,BDD!$A$1:$P$1,0),FALSE)=J$24,'V3_ Risques&amp;Conformité'!J$24,"")</f>
        <v/>
      </c>
      <c r="K55" s="150" t="str">
        <f>IF(VLOOKUP($E55,BDD!$A$2:$N$567,MATCH($H$23,BDD!$A$1:$P$1,0),FALSE)=K$24,'V3_ Risques&amp;Conformité'!K$24,"")</f>
        <v/>
      </c>
      <c r="L55" s="151" t="str">
        <f>IF(VLOOKUP($E55,BDD!$A$2:$N$567,MATCH($H$23,BDD!$A$1:$P$1,0),FALSE)=L$24,'V3_ Risques&amp;Conformité'!L$24,"")</f>
        <v/>
      </c>
      <c r="M55" s="63">
        <f t="shared" si="9"/>
        <v>0</v>
      </c>
      <c r="N55" s="148" t="str">
        <f>VLOOKUP(VLOOKUP(E55,BDD!$A$2:$P$428,15,FALSE),Suppl!$D$64:$E$68,2,FALSE)</f>
        <v>Non renseigné</v>
      </c>
      <c r="O55" s="629"/>
      <c r="P55" s="629"/>
      <c r="Q55" s="629"/>
      <c r="R55" s="629"/>
      <c r="S55" s="627">
        <f>IF(N55=Suppl!$E$65,0,IF(N55=Suppl!$E$66,1/2/(COUNTIFS($D:$D,D55,$N:$N,"Exigences"&amp;"*")+COUNTIFS($D:$D,D55,$N:$N,"Non"&amp;"*")),IF(N55=Suppl!$E$67,1/(COUNTIFS($D:$D,D55,$N:$N,"Exigences"&amp;"*")+COUNTIFS($D:$D,D55,$N:$N,"Non"&amp;"*")),0)))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267"/>
      <c r="AI55" s="30"/>
    </row>
    <row r="56" spans="1:35" ht="30" customHeight="1" x14ac:dyDescent="0.3">
      <c r="A56" s="267"/>
      <c r="B56" s="30"/>
      <c r="C56" s="30" t="str">
        <f t="shared" si="0"/>
        <v>3</v>
      </c>
      <c r="D56" s="32">
        <f>IF(LEFT(F56,5)="Bonne",D54+1,D55)</f>
        <v>5</v>
      </c>
      <c r="E56" s="194"/>
      <c r="F56" s="191" t="s">
        <v>503</v>
      </c>
      <c r="G56" s="192" t="str">
        <f>VLOOKUP(E58,BDD!$A$2:$N$567,6,FALSE)</f>
        <v xml:space="preserve">Protection  des infrastructures </v>
      </c>
      <c r="H56" s="190"/>
      <c r="I56" s="135"/>
      <c r="J56" s="135"/>
      <c r="K56" s="135"/>
      <c r="L56" s="136"/>
      <c r="M56" s="137"/>
      <c r="N56" s="138"/>
      <c r="O56" s="630">
        <v>0</v>
      </c>
      <c r="P56" s="630"/>
      <c r="Q56" s="630"/>
      <c r="R56" s="630"/>
      <c r="S56" s="632">
        <f>SUMIFS(S:S,$D:$D,D56,$N:$N,"Exigences"&amp;"*")</f>
        <v>0</v>
      </c>
      <c r="T56" s="632"/>
      <c r="U56" s="632"/>
      <c r="V56" s="633"/>
      <c r="W56" s="356">
        <f>IFERROR(IF(N56=Suppl!$E$65,0,IF(N56=Suppl!$E$66,1/2/(COUNTIFS($N:$N,"Exigences"&amp;"*")+COUNTIFS($N:$N,"Non"&amp;"*")),IF(N56=Suppl!$E$67,1/(COUNTIFS($N:$N,"Exigences"&amp;"*")+COUNTIFS($N:$N,"Non"&amp;"*")),0))),0)</f>
        <v>0</v>
      </c>
      <c r="X56" s="30"/>
      <c r="Y56" s="30"/>
      <c r="Z56" s="30"/>
      <c r="AA56" s="30"/>
      <c r="AB56" s="30"/>
      <c r="AC56" s="30"/>
      <c r="AD56" s="30"/>
      <c r="AE56" s="30"/>
      <c r="AF56" s="30"/>
      <c r="AG56" s="30"/>
      <c r="AH56" s="267"/>
      <c r="AI56" s="30"/>
    </row>
    <row r="57" spans="1:35" ht="30" customHeight="1" x14ac:dyDescent="0.3">
      <c r="A57" s="267"/>
      <c r="B57" s="30"/>
      <c r="C57" s="30" t="str">
        <f t="shared" si="0"/>
        <v>3</v>
      </c>
      <c r="D57" s="32">
        <f>IF(LEFT(F57,5)="Bonne",D55+1,D56)</f>
        <v>5</v>
      </c>
      <c r="E57" s="195"/>
      <c r="F57" s="211" t="s">
        <v>550</v>
      </c>
      <c r="G57" s="193" t="str">
        <f>VLOOKUP(E59,BDD!$A$2:$N$567,7,FALSE)</f>
        <v>La DSI a défini et mis en œuvre une stratégie relative à la protection des infrastructures numériques et elle en contrôle la bonne exécution.</v>
      </c>
      <c r="H57" s="139"/>
      <c r="I57" s="139"/>
      <c r="J57" s="139"/>
      <c r="K57" s="139"/>
      <c r="L57" s="140"/>
      <c r="M57" s="141"/>
      <c r="N57" s="142"/>
      <c r="O57" s="631"/>
      <c r="P57" s="631"/>
      <c r="Q57" s="631"/>
      <c r="R57" s="631"/>
      <c r="S57" s="634"/>
      <c r="T57" s="634"/>
      <c r="U57" s="634"/>
      <c r="V57" s="635"/>
      <c r="W57" s="356">
        <f>IFERROR(IF(N57=Suppl!$E$65,0,IF(N57=Suppl!$E$66,1/2/(COUNTIFS($N:$N,"Exigences"&amp;"*")+COUNTIFS($N:$N,"Non"&amp;"*")),IF(N57=Suppl!$E$67,1/(COUNTIFS($N:$N,"Exigences"&amp;"*")+COUNTIFS($N:$N,"Non"&amp;"*")),0))),0)</f>
        <v>0</v>
      </c>
      <c r="X57" s="30"/>
      <c r="Y57" s="30"/>
      <c r="Z57" s="30"/>
      <c r="AA57" s="30"/>
      <c r="AB57" s="30"/>
      <c r="AC57" s="30"/>
      <c r="AD57" s="30"/>
      <c r="AE57" s="30"/>
      <c r="AF57" s="30"/>
      <c r="AG57" s="30"/>
      <c r="AH57" s="267"/>
      <c r="AI57" s="30"/>
    </row>
    <row r="58" spans="1:35" ht="30" customHeight="1" x14ac:dyDescent="0.3">
      <c r="A58" s="267"/>
      <c r="B58" s="30"/>
      <c r="C58" s="30" t="str">
        <f t="shared" si="0"/>
        <v>3</v>
      </c>
      <c r="D58" s="32">
        <f t="shared" si="2"/>
        <v>5</v>
      </c>
      <c r="E58" s="32" t="str">
        <f t="shared" ref="E58:E62" si="10">C58&amp;D58&amp;RIGHT(F58,1)</f>
        <v>351</v>
      </c>
      <c r="F58" s="143" t="s">
        <v>27</v>
      </c>
      <c r="G58" s="144" t="str">
        <f>VLOOKUP(E58,BDD!$A$2:$N$567,MATCH(G$24,BDD!$A$1:$P$1,0),FALSE)</f>
        <v>Pour diminuer son exposition au risque, la DSI définit des éléments de redondance pour ses infrastructures.</v>
      </c>
      <c r="H58" s="149" t="str">
        <f>IF(VLOOKUP($E58,BDD!$A$2:$N$567,MATCH($H$23,BDD!$A$1:$P$1,0),FALSE)=H$24,'V3_ Risques&amp;Conformité'!H$24,"")</f>
        <v>N1</v>
      </c>
      <c r="I58" s="150" t="str">
        <f>IF(VLOOKUP($E58,BDD!$A$2:$N$567,MATCH($H$23,BDD!$A$1:$P$1,0),FALSE)=I$24,'V3_ Risques&amp;Conformité'!I$24,"")</f>
        <v/>
      </c>
      <c r="J58" s="150" t="str">
        <f>IF(VLOOKUP($E58,BDD!$A$2:$N$567,MATCH($H$23,BDD!$A$1:$P$1,0),FALSE)=J$24,'V3_ Risques&amp;Conformité'!J$24,"")</f>
        <v/>
      </c>
      <c r="K58" s="150" t="str">
        <f>IF(VLOOKUP($E58,BDD!$A$2:$N$567,MATCH($H$23,BDD!$A$1:$P$1,0),FALSE)=K$24,'V3_ Risques&amp;Conformité'!K$24,"")</f>
        <v/>
      </c>
      <c r="L58" s="151" t="str">
        <f>IF(VLOOKUP($E58,BDD!$A$2:$N$567,MATCH($H$23,BDD!$A$1:$P$1,0),FALSE)=L$24,'V3_ Risques&amp;Conformité'!L$24,"")</f>
        <v/>
      </c>
      <c r="M58" s="63">
        <f t="shared" ref="M58:M62" si="11">IF(N58="Exigences partiellement respectées",1,IF(N58="Exigences respectées",2,0))</f>
        <v>0</v>
      </c>
      <c r="N58" s="144" t="str">
        <f>VLOOKUP(VLOOKUP(E58,BDD!$A$2:$P$428,15,FALSE),Suppl!$D$64:$E$68,2,FALSE)</f>
        <v>Non renseigné</v>
      </c>
      <c r="O58" s="626"/>
      <c r="P58" s="626"/>
      <c r="Q58" s="626"/>
      <c r="R58" s="626"/>
      <c r="S58" s="627">
        <f>IF(N58=Suppl!$E$65,0,IF(N58=Suppl!$E$66,1/2/(COUNTIFS($D:$D,D58,$N:$N,"Exigences"&amp;"*")+COUNTIFS($D:$D,D58,$N:$N,"Non"&amp;"*")),IF(N58=Suppl!$E$67,1/(COUNTIFS($D:$D,D58,$N:$N,"Exigences"&amp;"*")+COUNTIFS($D:$D,D58,$N:$N,"Non"&amp;"*")),0)))</f>
        <v>0</v>
      </c>
      <c r="T58" s="627"/>
      <c r="U58" s="627"/>
      <c r="V58" s="628"/>
      <c r="W58" s="356">
        <f>IFERROR(IF(N58=Suppl!$E$65,0,IF(N58=Suppl!$E$66,1/2/(COUNTIFS($N:$N,"Exigences"&amp;"*")+COUNTIFS($N:$N,"Non"&amp;"*")),IF(N58=Suppl!$E$67,1/(COUNTIFS($N:$N,"Exigences"&amp;"*")+COUNTIFS($N:$N,"Non"&amp;"*")),0))),0)</f>
        <v>0</v>
      </c>
      <c r="X58" s="30"/>
      <c r="Y58" s="30"/>
      <c r="Z58" s="30"/>
      <c r="AA58" s="30"/>
      <c r="AB58" s="30"/>
      <c r="AC58" s="30"/>
      <c r="AD58" s="30"/>
      <c r="AE58" s="30"/>
      <c r="AF58" s="30"/>
      <c r="AG58" s="30"/>
      <c r="AH58" s="267"/>
      <c r="AI58" s="30"/>
    </row>
    <row r="59" spans="1:35" ht="41.4" x14ac:dyDescent="0.3">
      <c r="A59" s="267"/>
      <c r="B59" s="30"/>
      <c r="C59" s="30" t="str">
        <f t="shared" si="0"/>
        <v>3</v>
      </c>
      <c r="D59" s="32">
        <f t="shared" si="2"/>
        <v>5</v>
      </c>
      <c r="E59" s="32" t="str">
        <f t="shared" si="10"/>
        <v>352</v>
      </c>
      <c r="F59" s="145" t="s">
        <v>28</v>
      </c>
      <c r="G59" s="146" t="str">
        <f>VLOOKUP(E59,BDD!$A$2:$N$567,MATCH(G$24,BDD!$A$1:$P$1,0),FALSE)</f>
        <v xml:space="preserve">La DSI définit et met en œuvre une politique de sauvegarde qui couvre l'ensemble des données de l'organisation, qu'elles soient hébergées en interne, ou en externe par un prestataire. </v>
      </c>
      <c r="H59" s="149" t="str">
        <f>IF(VLOOKUP($E59,BDD!$A$2:$N$567,MATCH($H$23,BDD!$A$1:$P$1,0),FALSE)=H$24,'V3_ Risques&amp;Conformité'!H$24,"")</f>
        <v>N1</v>
      </c>
      <c r="I59" s="150" t="str">
        <f>IF(VLOOKUP($E59,BDD!$A$2:$N$567,MATCH($H$23,BDD!$A$1:$P$1,0),FALSE)=I$24,'V3_ Risques&amp;Conformité'!I$24,"")</f>
        <v/>
      </c>
      <c r="J59" s="150" t="str">
        <f>IF(VLOOKUP($E59,BDD!$A$2:$N$567,MATCH($H$23,BDD!$A$1:$P$1,0),FALSE)=J$24,'V3_ Risques&amp;Conformité'!J$24,"")</f>
        <v/>
      </c>
      <c r="K59" s="150" t="str">
        <f>IF(VLOOKUP($E59,BDD!$A$2:$N$567,MATCH($H$23,BDD!$A$1:$P$1,0),FALSE)=K$24,'V3_ Risques&amp;Conformité'!K$24,"")</f>
        <v/>
      </c>
      <c r="L59" s="151" t="str">
        <f>IF(VLOOKUP($E59,BDD!$A$2:$N$567,MATCH($H$23,BDD!$A$1:$P$1,0),FALSE)=L$24,'V3_ Risques&amp;Conformité'!L$24,"")</f>
        <v/>
      </c>
      <c r="M59" s="63">
        <f t="shared" si="11"/>
        <v>0</v>
      </c>
      <c r="N59" s="146" t="str">
        <f>VLOOKUP(VLOOKUP(E59,BDD!$A$2:$P$428,15,FALSE),Suppl!$D$64:$E$68,2,FALSE)</f>
        <v>Non renseigné</v>
      </c>
      <c r="O59" s="629"/>
      <c r="P59" s="629"/>
      <c r="Q59" s="629"/>
      <c r="R59" s="629"/>
      <c r="S59" s="627">
        <f>IF(N59=Suppl!$E$65,0,IF(N59=Suppl!$E$66,1/2/(COUNTIFS($D:$D,D59,$N:$N,"Exigences"&amp;"*")+COUNTIFS($D:$D,D59,$N:$N,"Non"&amp;"*")),IF(N59=Suppl!$E$67,1/(COUNTIFS($D:$D,D59,$N:$N,"Exigences"&amp;"*")+COUNTIFS($D:$D,D59,$N:$N,"Non"&amp;"*")),0)))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267"/>
      <c r="AI59" s="30"/>
    </row>
    <row r="60" spans="1:35" ht="30" customHeight="1" x14ac:dyDescent="0.3">
      <c r="A60" s="267"/>
      <c r="B60" s="30"/>
      <c r="C60" s="30" t="str">
        <f t="shared" si="0"/>
        <v>3</v>
      </c>
      <c r="D60" s="32">
        <f t="shared" si="2"/>
        <v>5</v>
      </c>
      <c r="E60" s="32" t="str">
        <f t="shared" si="10"/>
        <v>353</v>
      </c>
      <c r="F60" s="143" t="s">
        <v>30</v>
      </c>
      <c r="G60" s="144" t="str">
        <f>VLOOKUP(E60,BDD!$A$2:$N$567,MATCH(G$24,BDD!$A$1:$P$1,0),FALSE)</f>
        <v>Un plan de reprise d'activité informatique est défini, mis en œuvre et testé.</v>
      </c>
      <c r="H60" s="149" t="str">
        <f>IF(VLOOKUP($E60,BDD!$A$2:$N$567,MATCH($H$23,BDD!$A$1:$P$1,0),FALSE)=H$24,'V3_ Risques&amp;Conformité'!H$24,"")</f>
        <v/>
      </c>
      <c r="I60" s="150" t="str">
        <f>IF(VLOOKUP($E60,BDD!$A$2:$N$567,MATCH($H$23,BDD!$A$1:$P$1,0),FALSE)=I$24,'V3_ Risques&amp;Conformité'!I$24,"")</f>
        <v>N2</v>
      </c>
      <c r="J60" s="150" t="str">
        <f>IF(VLOOKUP($E60,BDD!$A$2:$N$567,MATCH($H$23,BDD!$A$1:$P$1,0),FALSE)=J$24,'V3_ Risques&amp;Conformité'!J$24,"")</f>
        <v/>
      </c>
      <c r="K60" s="150" t="str">
        <f>IF(VLOOKUP($E60,BDD!$A$2:$N$567,MATCH($H$23,BDD!$A$1:$P$1,0),FALSE)=K$24,'V3_ Risques&amp;Conformité'!K$24,"")</f>
        <v/>
      </c>
      <c r="L60" s="151" t="str">
        <f>IF(VLOOKUP($E60,BDD!$A$2:$N$567,MATCH($H$23,BDD!$A$1:$P$1,0),FALSE)=L$24,'V3_ Risques&amp;Conformité'!L$24,"")</f>
        <v/>
      </c>
      <c r="M60" s="63">
        <f t="shared" si="11"/>
        <v>0</v>
      </c>
      <c r="N60" s="144" t="str">
        <f>VLOOKUP(VLOOKUP(E60,BDD!$A$2:$P$428,15,FALSE),Suppl!$D$64:$E$68,2,FALSE)</f>
        <v>Non renseigné</v>
      </c>
      <c r="O60" s="629"/>
      <c r="P60" s="629"/>
      <c r="Q60" s="629"/>
      <c r="R60" s="629"/>
      <c r="S60" s="627">
        <f>IF(N60=Suppl!$E$65,0,IF(N60=Suppl!$E$66,1/2/(COUNTIFS($D:$D,D60,$N:$N,"Exigences"&amp;"*")+COUNTIFS($D:$D,D60,$N:$N,"Non"&amp;"*")),IF(N60=Suppl!$E$67,1/(COUNTIFS($D:$D,D60,$N:$N,"Exigences"&amp;"*")+COUNTIFS($D:$D,D60,$N:$N,"Non"&amp;"*")),0)))</f>
        <v>0</v>
      </c>
      <c r="T60" s="627"/>
      <c r="U60" s="627"/>
      <c r="V60" s="628"/>
      <c r="W60" s="356">
        <f>IFERROR(IF(N60=Suppl!$E$65,0,IF(N60=Suppl!$E$66,1/2/(COUNTIFS($N:$N,"Exigences"&amp;"*")+COUNTIFS($N:$N,"Non"&amp;"*")),IF(N60=Suppl!$E$67,1/(COUNTIFS($N:$N,"Exigences"&amp;"*")+COUNTIFS($N:$N,"Non"&amp;"*")),0))),0)</f>
        <v>0</v>
      </c>
      <c r="X60" s="30"/>
      <c r="Y60" s="30"/>
      <c r="Z60" s="30"/>
      <c r="AA60" s="30"/>
      <c r="AB60" s="30"/>
      <c r="AC60" s="30"/>
      <c r="AD60" s="30"/>
      <c r="AE60" s="30"/>
      <c r="AF60" s="30"/>
      <c r="AG60" s="30"/>
      <c r="AH60" s="267"/>
      <c r="AI60" s="30"/>
    </row>
    <row r="61" spans="1:35" ht="30" customHeight="1" x14ac:dyDescent="0.3">
      <c r="A61" s="267"/>
      <c r="B61" s="30"/>
      <c r="C61" s="30" t="str">
        <f t="shared" si="0"/>
        <v>3</v>
      </c>
      <c r="D61" s="32">
        <f t="shared" si="2"/>
        <v>5</v>
      </c>
      <c r="E61" s="32" t="str">
        <f t="shared" si="10"/>
        <v>354</v>
      </c>
      <c r="F61" s="145" t="s">
        <v>32</v>
      </c>
      <c r="G61" s="146" t="str">
        <f>VLOOKUP(E61,BDD!$A$2:$N$567,MATCH(G$24,BDD!$A$1:$P$1,0),FALSE)</f>
        <v>Un processus de gestion de l'obsolescence permet de piloter les risques d'obsolescence des différents composants du SI. </v>
      </c>
      <c r="H61" s="149" t="str">
        <f>IF(VLOOKUP($E61,BDD!$A$2:$N$567,MATCH($H$23,BDD!$A$1:$P$1,0),FALSE)=H$24,'V3_ Risques&amp;Conformité'!H$24,"")</f>
        <v/>
      </c>
      <c r="I61" s="150" t="str">
        <f>IF(VLOOKUP($E61,BDD!$A$2:$N$567,MATCH($H$23,BDD!$A$1:$P$1,0),FALSE)=I$24,'V3_ Risques&amp;Conformité'!I$24,"")</f>
        <v>N2</v>
      </c>
      <c r="J61" s="150" t="str">
        <f>IF(VLOOKUP($E61,BDD!$A$2:$N$567,MATCH($H$23,BDD!$A$1:$P$1,0),FALSE)=J$24,'V3_ Risques&amp;Conformité'!J$24,"")</f>
        <v/>
      </c>
      <c r="K61" s="150" t="str">
        <f>IF(VLOOKUP($E61,BDD!$A$2:$N$567,MATCH($H$23,BDD!$A$1:$P$1,0),FALSE)=K$24,'V3_ Risques&amp;Conformité'!K$24,"")</f>
        <v/>
      </c>
      <c r="L61" s="151" t="str">
        <f>IF(VLOOKUP($E61,BDD!$A$2:$N$567,MATCH($H$23,BDD!$A$1:$P$1,0),FALSE)=L$24,'V3_ Risques&amp;Conformité'!L$24,"")</f>
        <v/>
      </c>
      <c r="M61" s="63">
        <f t="shared" si="11"/>
        <v>0</v>
      </c>
      <c r="N61" s="146" t="str">
        <f>VLOOKUP(VLOOKUP(E61,BDD!$A$2:$P$428,15,FALSE),Suppl!$D$64:$E$68,2,FALSE)</f>
        <v>Non renseigné</v>
      </c>
      <c r="O61" s="629"/>
      <c r="P61" s="629"/>
      <c r="Q61" s="629"/>
      <c r="R61" s="629"/>
      <c r="S61" s="627">
        <f>IF(N61=Suppl!$E$65,0,IF(N61=Suppl!$E$66,1/2/(COUNTIFS($D:$D,D61,$N:$N,"Exigences"&amp;"*")+COUNTIFS($D:$D,D61,$N:$N,"Non"&amp;"*")),IF(N61=Suppl!$E$67,1/(COUNTIFS($D:$D,D61,$N:$N,"Exigences"&amp;"*")+COUNTIFS($D:$D,D61,$N:$N,"Non"&amp;"*")),0)))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267"/>
      <c r="AI61" s="30"/>
    </row>
    <row r="62" spans="1:35" ht="30" customHeight="1" x14ac:dyDescent="0.3">
      <c r="A62" s="267"/>
      <c r="B62" s="30"/>
      <c r="C62" s="30" t="str">
        <f t="shared" si="0"/>
        <v>3</v>
      </c>
      <c r="D62" s="32">
        <f t="shared" si="2"/>
        <v>5</v>
      </c>
      <c r="E62" s="32" t="str">
        <f t="shared" si="10"/>
        <v>355</v>
      </c>
      <c r="F62" s="143" t="s">
        <v>33</v>
      </c>
      <c r="G62" s="144" t="str">
        <f>VLOOKUP(E62,BDD!$A$2:$N$567,MATCH(G$24,BDD!$A$1:$P$1,0),FALSE)</f>
        <v>L'organisation a mis en place un processus de gestion des vulnérabilités permettant de détecter et de traiter les vulnérabilités.</v>
      </c>
      <c r="H62" s="149" t="str">
        <f>IF(VLOOKUP($E62,BDD!$A$2:$N$567,MATCH($H$23,BDD!$A$1:$P$1,0),FALSE)=H$24,'V3_ Risques&amp;Conformité'!H$24,"")</f>
        <v>N1</v>
      </c>
      <c r="I62" s="150" t="str">
        <f>IF(VLOOKUP($E62,BDD!$A$2:$N$567,MATCH($H$23,BDD!$A$1:$P$1,0),FALSE)=I$24,'V3_ Risques&amp;Conformité'!I$24,"")</f>
        <v/>
      </c>
      <c r="J62" s="150" t="str">
        <f>IF(VLOOKUP($E62,BDD!$A$2:$N$567,MATCH($H$23,BDD!$A$1:$P$1,0),FALSE)=J$24,'V3_ Risques&amp;Conformité'!J$24,"")</f>
        <v/>
      </c>
      <c r="K62" s="150" t="str">
        <f>IF(VLOOKUP($E62,BDD!$A$2:$N$567,MATCH($H$23,BDD!$A$1:$P$1,0),FALSE)=K$24,'V3_ Risques&amp;Conformité'!K$24,"")</f>
        <v/>
      </c>
      <c r="L62" s="151" t="str">
        <f>IF(VLOOKUP($E62,BDD!$A$2:$N$567,MATCH($H$23,BDD!$A$1:$P$1,0),FALSE)=L$24,'V3_ Risques&amp;Conformité'!L$24,"")</f>
        <v/>
      </c>
      <c r="M62" s="63">
        <f t="shared" si="11"/>
        <v>0</v>
      </c>
      <c r="N62" s="144" t="str">
        <f>VLOOKUP(VLOOKUP(E62,BDD!$A$2:$P$428,15,FALSE),Suppl!$D$64:$E$68,2,FALSE)</f>
        <v>Non renseigné</v>
      </c>
      <c r="O62" s="651"/>
      <c r="P62" s="629"/>
      <c r="Q62" s="629"/>
      <c r="R62" s="629"/>
      <c r="S62" s="627">
        <f>IF(N62=Suppl!$E$65,0,IF(N62=Suppl!$E$66,1/2/(COUNTIFS($D:$D,D62,$N:$N,"Exigences"&amp;"*")+COUNTIFS($D:$D,D62,$N:$N,"Non"&amp;"*")),IF(N62=Suppl!$E$67,1/(COUNTIFS($D:$D,D62,$N:$N,"Exigences"&amp;"*")+COUNTIFS($D:$D,D62,$N:$N,"Non"&amp;"*")),0)))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267"/>
      <c r="AI62" s="30"/>
    </row>
    <row r="63" spans="1:35" ht="30" customHeight="1" x14ac:dyDescent="0.3">
      <c r="A63" s="267"/>
      <c r="B63" s="30"/>
      <c r="C63" s="30" t="str">
        <f t="shared" si="0"/>
        <v>3</v>
      </c>
      <c r="D63" s="32">
        <f>IF(LEFT(F63,5)="Bonne",D60+1,D61)</f>
        <v>6</v>
      </c>
      <c r="E63" s="194"/>
      <c r="F63" s="191" t="s">
        <v>556</v>
      </c>
      <c r="G63" s="192" t="str">
        <f>VLOOKUP(E65,BDD!$A$2:$N$567,6,FALSE)</f>
        <v>Résilience et continuité d'activité</v>
      </c>
      <c r="H63" s="190"/>
      <c r="I63" s="135"/>
      <c r="J63" s="135"/>
      <c r="K63" s="135"/>
      <c r="L63" s="136"/>
      <c r="M63" s="137"/>
      <c r="N63" s="138"/>
      <c r="O63" s="630">
        <v>0</v>
      </c>
      <c r="P63" s="630"/>
      <c r="Q63" s="630"/>
      <c r="R63" s="630"/>
      <c r="S63" s="632">
        <f>SUMIFS(S:S,$D:$D,D63,$N:$N,"Exigences"&amp;"*")</f>
        <v>0</v>
      </c>
      <c r="T63" s="632"/>
      <c r="U63" s="632"/>
      <c r="V63" s="633"/>
      <c r="W63" s="356">
        <f>IFERROR(IF(N63=Suppl!$E$65,0,IF(N63=Suppl!$E$66,1/2/(COUNTIFS($N:$N,"Exigences"&amp;"*")+COUNTIFS($N:$N,"Non"&amp;"*")),IF(N63=Suppl!$E$67,1/(COUNTIFS($N:$N,"Exigences"&amp;"*")+COUNTIFS($N:$N,"Non"&amp;"*")),0))),0)</f>
        <v>0</v>
      </c>
      <c r="X63" s="30"/>
      <c r="Y63" s="30"/>
      <c r="Z63" s="30"/>
      <c r="AA63" s="30"/>
      <c r="AB63" s="30"/>
      <c r="AC63" s="30"/>
      <c r="AD63" s="30"/>
      <c r="AE63" s="30"/>
      <c r="AF63" s="30"/>
      <c r="AG63" s="30"/>
      <c r="AH63" s="267"/>
      <c r="AI63" s="30"/>
    </row>
    <row r="64" spans="1:35" ht="30" customHeight="1" x14ac:dyDescent="0.3">
      <c r="A64" s="267"/>
      <c r="B64" s="30"/>
      <c r="C64" s="30" t="str">
        <f t="shared" si="0"/>
        <v>3</v>
      </c>
      <c r="D64" s="32">
        <f>IF(LEFT(F64,5)="Bonne",D61+1,D63)</f>
        <v>6</v>
      </c>
      <c r="E64" s="195"/>
      <c r="F64" s="211" t="s">
        <v>550</v>
      </c>
      <c r="G64" s="620" t="str">
        <f>VLOOKUP(E66,BDD!$A$2:$N$567,7,FALSE)</f>
        <v xml:space="preserve">L'organisation est capable de réagir, e?cacement et dans les délais impartis, à des incidents majeurs ayant un impact significatif sur les métiers et sur l'activité de l'organisation. </v>
      </c>
      <c r="H64" s="621"/>
      <c r="I64" s="621"/>
      <c r="J64" s="621"/>
      <c r="K64" s="621"/>
      <c r="L64" s="621"/>
      <c r="M64" s="621"/>
      <c r="N64" s="622"/>
      <c r="O64" s="631"/>
      <c r="P64" s="631"/>
      <c r="Q64" s="631"/>
      <c r="R64" s="631"/>
      <c r="S64" s="634"/>
      <c r="T64" s="634"/>
      <c r="U64" s="634"/>
      <c r="V64" s="635"/>
      <c r="W64" s="356">
        <f>IFERROR(IF(N64=Suppl!$E$65,0,IF(N64=Suppl!$E$66,1/2/(COUNTIFS($N:$N,"Exigences"&amp;"*")+COUNTIFS($N:$N,"Non"&amp;"*")),IF(N64=Suppl!$E$67,1/(COUNTIFS($N:$N,"Exigences"&amp;"*")+COUNTIFS($N:$N,"Non"&amp;"*")),0))),0)</f>
        <v>0</v>
      </c>
      <c r="X64" s="30"/>
      <c r="Y64" s="30"/>
      <c r="Z64" s="30"/>
      <c r="AA64" s="30"/>
      <c r="AB64" s="30"/>
      <c r="AC64" s="30"/>
      <c r="AD64" s="30"/>
      <c r="AE64" s="30"/>
      <c r="AF64" s="30"/>
      <c r="AG64" s="30"/>
      <c r="AH64" s="267"/>
      <c r="AI64" s="30"/>
    </row>
    <row r="65" spans="1:35" ht="30" customHeight="1" x14ac:dyDescent="0.3">
      <c r="A65" s="267"/>
      <c r="B65" s="30"/>
      <c r="C65" s="30" t="str">
        <f t="shared" si="0"/>
        <v>3</v>
      </c>
      <c r="D65" s="32">
        <f t="shared" ref="D65:D69" si="12">IF(LEFT(F65,5)="Bonne",D63+1,D64)</f>
        <v>6</v>
      </c>
      <c r="E65" s="32" t="str">
        <f t="shared" ref="E65:E69" si="13">C65&amp;D65&amp;RIGHT(F65,1)</f>
        <v>361</v>
      </c>
      <c r="F65" s="143" t="s">
        <v>27</v>
      </c>
      <c r="G65" s="144" t="str">
        <f>VLOOKUP(E65,BDD!$A$2:$N$567,MATCH(G$24,BDD!$A$1:$P$1,0),FALSE)</f>
        <v>Un plan de continuité informatique est prévu ; il intègre le plan de reprise après sinistre (PRAS) et un plan de continuité des opérations informatiques. </v>
      </c>
      <c r="H65" s="149" t="str">
        <f>IF(VLOOKUP($E65,BDD!$A$2:$N$567,MATCH($H$23,BDD!$A$1:$P$1,0),FALSE)=H$24,'V3_ Risques&amp;Conformité'!H$24,"")</f>
        <v>N1</v>
      </c>
      <c r="I65" s="150" t="str">
        <f>IF(VLOOKUP($E65,BDD!$A$2:$N$567,MATCH($H$23,BDD!$A$1:$P$1,0),FALSE)=I$24,'V3_ Risques&amp;Conformité'!I$24,"")</f>
        <v/>
      </c>
      <c r="J65" s="150" t="str">
        <f>IF(VLOOKUP($E65,BDD!$A$2:$N$567,MATCH($H$23,BDD!$A$1:$P$1,0),FALSE)=J$24,'V3_ Risques&amp;Conformité'!J$24,"")</f>
        <v/>
      </c>
      <c r="K65" s="150" t="str">
        <f>IF(VLOOKUP($E65,BDD!$A$2:$N$567,MATCH($H$23,BDD!$A$1:$P$1,0),FALSE)=K$24,'V3_ Risques&amp;Conformité'!K$24,"")</f>
        <v/>
      </c>
      <c r="L65" s="151" t="str">
        <f>IF(VLOOKUP($E65,BDD!$A$2:$N$567,MATCH($H$23,BDD!$A$1:$P$1,0),FALSE)=L$24,'V3_ Risques&amp;Conformité'!L$24,"")</f>
        <v/>
      </c>
      <c r="M65" s="63">
        <f t="shared" ref="M65:M69" si="14">IF(N65="Exigences partiellement respectées",1,IF(N65="Exigences respectées",2,0))</f>
        <v>0</v>
      </c>
      <c r="N65" s="144" t="str">
        <f>VLOOKUP(VLOOKUP(E65,BDD!$A$2:$P$428,15,FALSE),Suppl!$D$64:$E$68,2,FALSE)</f>
        <v>Non renseigné</v>
      </c>
      <c r="O65" s="626"/>
      <c r="P65" s="626"/>
      <c r="Q65" s="626"/>
      <c r="R65" s="626"/>
      <c r="S65" s="627">
        <f>IF(N65=Suppl!$E$65,0,IF(N65=Suppl!$E$66,1/2/(COUNTIFS($D:$D,D65,$N:$N,"Exigences"&amp;"*")+COUNTIFS($D:$D,D65,$N:$N,"Non"&amp;"*")),IF(N65=Suppl!$E$67,1/(COUNTIFS($D:$D,D65,$N:$N,"Exigences"&amp;"*")+COUNTIFS($D:$D,D65,$N:$N,"Non"&amp;"*")),0)))</f>
        <v>0</v>
      </c>
      <c r="T65" s="627"/>
      <c r="U65" s="627"/>
      <c r="V65" s="628"/>
      <c r="W65" s="356">
        <f>IFERROR(IF(N65=Suppl!$E$65,0,IF(N65=Suppl!$E$66,1/2/(COUNTIFS($N:$N,"Exigences"&amp;"*")+COUNTIFS($N:$N,"Non"&amp;"*")),IF(N65=Suppl!$E$67,1/(COUNTIFS($N:$N,"Exigences"&amp;"*")+COUNTIFS($N:$N,"Non"&amp;"*")),0))),0)</f>
        <v>0</v>
      </c>
      <c r="X65" s="30"/>
      <c r="Y65" s="30"/>
      <c r="Z65" s="30"/>
      <c r="AA65" s="30"/>
      <c r="AB65" s="30"/>
      <c r="AC65" s="30"/>
      <c r="AD65" s="30"/>
      <c r="AE65" s="30"/>
      <c r="AF65" s="30"/>
      <c r="AG65" s="30"/>
      <c r="AH65" s="267"/>
      <c r="AI65" s="30"/>
    </row>
    <row r="66" spans="1:35" ht="69" x14ac:dyDescent="0.3">
      <c r="A66" s="267"/>
      <c r="B66" s="30"/>
      <c r="C66" s="30" t="str">
        <f t="shared" si="0"/>
        <v>3</v>
      </c>
      <c r="D66" s="32">
        <f t="shared" si="12"/>
        <v>6</v>
      </c>
      <c r="E66" s="32" t="str">
        <f t="shared" si="13"/>
        <v>362</v>
      </c>
      <c r="F66" s="145" t="s">
        <v>28</v>
      </c>
      <c r="G66" s="146" t="str">
        <f>VLOOKUP(E66,BDD!$A$2:$N$567,MATCH(G$24,BDD!$A$1:$P$1,0),FALSE)</f>
        <v>Le plan de gestion de crise est formalisé et maintenu en condition opérationnelle. Il doit être associé au plan de continuité d’activité et au plan de reprise d’activité (PCA/PRA). Les conditions de déclenchement et de sortie du plan de gestion de crise sont définies et validées en fonction du type d’événements ou d’incidents. Des indicateurs précis doivent être (si possible) associés à ces conditions.</v>
      </c>
      <c r="H66" s="149" t="str">
        <f>IF(VLOOKUP($E66,BDD!$A$2:$N$567,MATCH($H$23,BDD!$A$1:$P$1,0),FALSE)=H$24,'V3_ Risques&amp;Conformité'!H$24,"")</f>
        <v/>
      </c>
      <c r="I66" s="150" t="str">
        <f>IF(VLOOKUP($E66,BDD!$A$2:$N$567,MATCH($H$23,BDD!$A$1:$P$1,0),FALSE)=I$24,'V3_ Risques&amp;Conformité'!I$24,"")</f>
        <v/>
      </c>
      <c r="J66" s="150" t="str">
        <f>IF(VLOOKUP($E66,BDD!$A$2:$N$567,MATCH($H$23,BDD!$A$1:$P$1,0),FALSE)=J$24,'V3_ Risques&amp;Conformité'!J$24,"")</f>
        <v>N3</v>
      </c>
      <c r="K66" s="150" t="str">
        <f>IF(VLOOKUP($E66,BDD!$A$2:$N$567,MATCH($H$23,BDD!$A$1:$P$1,0),FALSE)=K$24,'V3_ Risques&amp;Conformité'!K$24,"")</f>
        <v/>
      </c>
      <c r="L66" s="151" t="str">
        <f>IF(VLOOKUP($E66,BDD!$A$2:$N$567,MATCH($H$23,BDD!$A$1:$P$1,0),FALSE)=L$24,'V3_ Risques&amp;Conformité'!L$24,"")</f>
        <v/>
      </c>
      <c r="M66" s="63">
        <f t="shared" si="14"/>
        <v>0</v>
      </c>
      <c r="N66" s="146" t="str">
        <f>VLOOKUP(VLOOKUP(E66,BDD!$A$2:$P$428,15,FALSE),Suppl!$D$64:$E$68,2,FALSE)</f>
        <v>Non renseigné</v>
      </c>
      <c r="O66" s="629"/>
      <c r="P66" s="629"/>
      <c r="Q66" s="629"/>
      <c r="R66" s="629"/>
      <c r="S66" s="627">
        <f>IF(N66=Suppl!$E$65,0,IF(N66=Suppl!$E$66,1/2/(COUNTIFS($D:$D,D66,$N:$N,"Exigences"&amp;"*")+COUNTIFS($D:$D,D66,$N:$N,"Non"&amp;"*")),IF(N66=Suppl!$E$67,1/(COUNTIFS($D:$D,D66,$N:$N,"Exigences"&amp;"*")+COUNTIFS($D:$D,D66,$N:$N,"Non"&amp;"*")),0)))</f>
        <v>0</v>
      </c>
      <c r="T66" s="627"/>
      <c r="U66" s="627"/>
      <c r="V66" s="628"/>
      <c r="W66" s="356">
        <f>IFERROR(IF(N66=Suppl!$E$65,0,IF(N66=Suppl!$E$66,1/2/(COUNTIFS($N:$N,"Exigences"&amp;"*")+COUNTIFS($N:$N,"Non"&amp;"*")),IF(N66=Suppl!$E$67,1/(COUNTIFS($N:$N,"Exigences"&amp;"*")+COUNTIFS($N:$N,"Non"&amp;"*")),0))),0)</f>
        <v>0</v>
      </c>
      <c r="X66" s="30"/>
      <c r="Y66" s="30"/>
      <c r="Z66" s="30"/>
      <c r="AA66" s="30"/>
      <c r="AB66" s="30"/>
      <c r="AC66" s="30"/>
      <c r="AD66" s="30"/>
      <c r="AE66" s="30"/>
      <c r="AF66" s="30"/>
      <c r="AG66" s="30"/>
      <c r="AH66" s="267"/>
      <c r="AI66" s="30"/>
    </row>
    <row r="67" spans="1:35" ht="30" customHeight="1" x14ac:dyDescent="0.3">
      <c r="A67" s="267"/>
      <c r="B67" s="30"/>
      <c r="C67" s="30" t="str">
        <f t="shared" si="0"/>
        <v>3</v>
      </c>
      <c r="D67" s="32">
        <f t="shared" si="12"/>
        <v>6</v>
      </c>
      <c r="E67" s="32" t="str">
        <f t="shared" si="13"/>
        <v>363</v>
      </c>
      <c r="F67" s="143" t="s">
        <v>30</v>
      </c>
      <c r="G67" s="144" t="str">
        <f>VLOOKUP(E67,BDD!$A$2:$N$567,MATCH(G$24,BDD!$A$1:$P$1,0),FALSE)</f>
        <v>Les scénarios de gestion de crise sont définis, validés et régulièrement testés. </v>
      </c>
      <c r="H67" s="149" t="str">
        <f>IF(VLOOKUP($E67,BDD!$A$2:$N$567,MATCH($H$23,BDD!$A$1:$P$1,0),FALSE)=H$24,'V3_ Risques&amp;Conformité'!H$24,"")</f>
        <v/>
      </c>
      <c r="I67" s="150" t="str">
        <f>IF(VLOOKUP($E67,BDD!$A$2:$N$567,MATCH($H$23,BDD!$A$1:$P$1,0),FALSE)=I$24,'V3_ Risques&amp;Conformité'!I$24,"")</f>
        <v/>
      </c>
      <c r="J67" s="150" t="str">
        <f>IF(VLOOKUP($E67,BDD!$A$2:$N$567,MATCH($H$23,BDD!$A$1:$P$1,0),FALSE)=J$24,'V3_ Risques&amp;Conformité'!J$24,"")</f>
        <v/>
      </c>
      <c r="K67" s="150" t="str">
        <f>IF(VLOOKUP($E67,BDD!$A$2:$N$567,MATCH($H$23,BDD!$A$1:$P$1,0),FALSE)=K$24,'V3_ Risques&amp;Conformité'!K$24,"")</f>
        <v>N4</v>
      </c>
      <c r="L67" s="151" t="str">
        <f>IF(VLOOKUP($E67,BDD!$A$2:$N$567,MATCH($H$23,BDD!$A$1:$P$1,0),FALSE)=L$24,'V3_ Risques&amp;Conformité'!L$24,"")</f>
        <v/>
      </c>
      <c r="M67" s="63">
        <f t="shared" si="14"/>
        <v>0</v>
      </c>
      <c r="N67" s="144" t="str">
        <f>VLOOKUP(VLOOKUP(E67,BDD!$A$2:$P$428,15,FALSE),Suppl!$D$64:$E$68,2,FALSE)</f>
        <v>Non renseigné</v>
      </c>
      <c r="O67" s="629"/>
      <c r="P67" s="629"/>
      <c r="Q67" s="629"/>
      <c r="R67" s="629"/>
      <c r="S67" s="627">
        <f>IF(N67=Suppl!$E$65,0,IF(N67=Suppl!$E$66,1/2/(COUNTIFS($D:$D,D67,$N:$N,"Exigences"&amp;"*")+COUNTIFS($D:$D,D67,$N:$N,"Non"&amp;"*")),IF(N67=Suppl!$E$67,1/(COUNTIFS($D:$D,D67,$N:$N,"Exigences"&amp;"*")+COUNTIFS($D:$D,D67,$N:$N,"Non"&amp;"*")),0)))</f>
        <v>0</v>
      </c>
      <c r="T67" s="627"/>
      <c r="U67" s="627"/>
      <c r="V67" s="628"/>
      <c r="W67" s="356">
        <f>IFERROR(IF(N67=Suppl!$E$65,0,IF(N67=Suppl!$E$66,1/2/(COUNTIFS($N:$N,"Exigences"&amp;"*")+COUNTIFS($N:$N,"Non"&amp;"*")),IF(N67=Suppl!$E$67,1/(COUNTIFS($N:$N,"Exigences"&amp;"*")+COUNTIFS($N:$N,"Non"&amp;"*")),0))),0)</f>
        <v>0</v>
      </c>
      <c r="X67" s="30"/>
      <c r="Y67" s="30"/>
      <c r="Z67" s="30"/>
      <c r="AA67" s="30"/>
      <c r="AB67" s="30"/>
      <c r="AC67" s="30"/>
      <c r="AD67" s="30"/>
      <c r="AE67" s="30"/>
      <c r="AF67" s="30"/>
      <c r="AG67" s="30"/>
      <c r="AH67" s="267"/>
      <c r="AI67" s="30"/>
    </row>
    <row r="68" spans="1:35" ht="43.2" customHeight="1" x14ac:dyDescent="0.3">
      <c r="A68" s="267"/>
      <c r="B68" s="30"/>
      <c r="C68" s="30" t="str">
        <f t="shared" si="0"/>
        <v>3</v>
      </c>
      <c r="D68" s="32">
        <f t="shared" si="12"/>
        <v>6</v>
      </c>
      <c r="E68" s="32" t="str">
        <f t="shared" si="13"/>
        <v>364</v>
      </c>
      <c r="F68" s="145" t="s">
        <v>32</v>
      </c>
      <c r="G68" s="146" t="str">
        <f>VLOOKUP(E68,BDD!$A$2:$N$567,MATCH(G$24,BDD!$A$1:$P$1,0),FALSE)</f>
        <v>Les tests de ces scénarios ainsi que les incidents majeurs donnent lieu à des retours d'expérience, à des bilans et à des plans d'amélioration partagés et communiqués.</v>
      </c>
      <c r="H68" s="149" t="str">
        <f>IF(VLOOKUP($E68,BDD!$A$2:$N$567,MATCH($H$23,BDD!$A$1:$P$1,0),FALSE)=H$24,'V3_ Risques&amp;Conformité'!H$24,"")</f>
        <v/>
      </c>
      <c r="I68" s="150" t="str">
        <f>IF(VLOOKUP($E68,BDD!$A$2:$N$567,MATCH($H$23,BDD!$A$1:$P$1,0),FALSE)=I$24,'V3_ Risques&amp;Conformité'!I$24,"")</f>
        <v/>
      </c>
      <c r="J68" s="150" t="str">
        <f>IF(VLOOKUP($E68,BDD!$A$2:$N$567,MATCH($H$23,BDD!$A$1:$P$1,0),FALSE)=J$24,'V3_ Risques&amp;Conformité'!J$24,"")</f>
        <v/>
      </c>
      <c r="K68" s="150" t="str">
        <f>IF(VLOOKUP($E68,BDD!$A$2:$N$567,MATCH($H$23,BDD!$A$1:$P$1,0),FALSE)=K$24,'V3_ Risques&amp;Conformité'!K$24,"")</f>
        <v/>
      </c>
      <c r="L68" s="151" t="str">
        <f>IF(VLOOKUP($E68,BDD!$A$2:$N$567,MATCH($H$23,BDD!$A$1:$P$1,0),FALSE)=L$24,'V3_ Risques&amp;Conformité'!L$24,"")</f>
        <v>N5</v>
      </c>
      <c r="M68" s="63">
        <f t="shared" si="14"/>
        <v>0</v>
      </c>
      <c r="N68" s="146" t="str">
        <f>VLOOKUP(VLOOKUP(E68,BDD!$A$2:$P$428,15,FALSE),Suppl!$D$64:$E$68,2,FALSE)</f>
        <v>Non renseigné</v>
      </c>
      <c r="O68" s="629"/>
      <c r="P68" s="629"/>
      <c r="Q68" s="629"/>
      <c r="R68" s="629"/>
      <c r="S68" s="627">
        <f>IF(N68=Suppl!$E$65,0,IF(N68=Suppl!$E$66,1/2/(COUNTIFS($D:$D,D68,$N:$N,"Exigences"&amp;"*")+COUNTIFS($D:$D,D68,$N:$N,"Non"&amp;"*")),IF(N68=Suppl!$E$67,1/(COUNTIFS($D:$D,D68,$N:$N,"Exigences"&amp;"*")+COUNTIFS($D:$D,D68,$N:$N,"Non"&amp;"*")),0)))</f>
        <v>0</v>
      </c>
      <c r="T68" s="627"/>
      <c r="U68" s="627"/>
      <c r="V68" s="628"/>
      <c r="W68" s="356">
        <f>IFERROR(IF(N68=Suppl!$E$65,0,IF(N68=Suppl!$E$66,1/2/(COUNTIFS($N:$N,"Exigences"&amp;"*")+COUNTIFS($N:$N,"Non"&amp;"*")),IF(N68=Suppl!$E$67,1/(COUNTIFS($N:$N,"Exigences"&amp;"*")+COUNTIFS($N:$N,"Non"&amp;"*")),0))),0)</f>
        <v>0</v>
      </c>
      <c r="X68" s="30"/>
      <c r="Y68" s="30"/>
      <c r="Z68" s="30"/>
      <c r="AA68" s="30"/>
      <c r="AB68" s="30"/>
      <c r="AC68" s="30"/>
      <c r="AD68" s="30"/>
      <c r="AE68" s="30"/>
      <c r="AF68" s="30"/>
      <c r="AG68" s="30"/>
      <c r="AH68" s="267"/>
      <c r="AI68" s="30"/>
    </row>
    <row r="69" spans="1:35" ht="30" customHeight="1" x14ac:dyDescent="0.3">
      <c r="A69" s="267"/>
      <c r="B69" s="30"/>
      <c r="C69" s="30" t="str">
        <f t="shared" si="0"/>
        <v>3</v>
      </c>
      <c r="D69" s="32">
        <f t="shared" si="12"/>
        <v>6</v>
      </c>
      <c r="E69" s="32" t="str">
        <f t="shared" si="13"/>
        <v>365</v>
      </c>
      <c r="F69" s="143" t="s">
        <v>33</v>
      </c>
      <c r="G69" s="144" t="str">
        <f>VLOOKUP(E69,BDD!$A$2:$N$567,MATCH(G$24,BDD!$A$1:$P$1,0),FALSE)</f>
        <v>La composante numérique du plan de continuité d'activité est définie, mise en œuvre et testée régulièrement.</v>
      </c>
      <c r="H69" s="149" t="str">
        <f>IF(VLOOKUP($E69,BDD!$A$2:$N$567,MATCH($H$23,BDD!$A$1:$P$1,0),FALSE)=H$24,'V3_ Risques&amp;Conformité'!H$24,"")</f>
        <v/>
      </c>
      <c r="I69" s="150" t="str">
        <f>IF(VLOOKUP($E69,BDD!$A$2:$N$567,MATCH($H$23,BDD!$A$1:$P$1,0),FALSE)=I$24,'V3_ Risques&amp;Conformité'!I$24,"")</f>
        <v/>
      </c>
      <c r="J69" s="150" t="str">
        <f>IF(VLOOKUP($E69,BDD!$A$2:$N$567,MATCH($H$23,BDD!$A$1:$P$1,0),FALSE)=J$24,'V3_ Risques&amp;Conformité'!J$24,"")</f>
        <v/>
      </c>
      <c r="K69" s="150" t="str">
        <f>IF(VLOOKUP($E69,BDD!$A$2:$N$567,MATCH($H$23,BDD!$A$1:$P$1,0),FALSE)=K$24,'V3_ Risques&amp;Conformité'!K$24,"")</f>
        <v/>
      </c>
      <c r="L69" s="151" t="str">
        <f>IF(VLOOKUP($E69,BDD!$A$2:$N$567,MATCH($H$23,BDD!$A$1:$P$1,0),FALSE)=L$24,'V3_ Risques&amp;Conformité'!L$24,"")</f>
        <v>N5</v>
      </c>
      <c r="M69" s="63">
        <f t="shared" si="14"/>
        <v>0</v>
      </c>
      <c r="N69" s="144" t="str">
        <f>VLOOKUP(VLOOKUP(E69,BDD!$A$2:$P$428,15,FALSE),Suppl!$D$64:$E$68,2,FALSE)</f>
        <v>Non renseigné</v>
      </c>
      <c r="O69" s="629"/>
      <c r="P69" s="629"/>
      <c r="Q69" s="629"/>
      <c r="R69" s="629"/>
      <c r="S69" s="627">
        <f>IF(N69=Suppl!$E$65,0,IF(N69=Suppl!$E$66,1/2/(COUNTIFS($D:$D,D69,$N:$N,"Exigences"&amp;"*")+COUNTIFS($D:$D,D69,$N:$N,"Non"&amp;"*")),IF(N69=Suppl!$E$67,1/(COUNTIFS($D:$D,D69,$N:$N,"Exigences"&amp;"*")+COUNTIFS($D:$D,D69,$N:$N,"Non"&amp;"*")),0)))</f>
        <v>0</v>
      </c>
      <c r="T69" s="627"/>
      <c r="U69" s="627"/>
      <c r="V69" s="628"/>
      <c r="W69" s="356">
        <f>IFERROR(IF(N69=Suppl!$E$65,0,IF(N69=Suppl!$E$66,1/2/(COUNTIFS($N:$N,"Exigences"&amp;"*")+COUNTIFS($N:$N,"Non"&amp;"*")),IF(N69=Suppl!$E$67,1/(COUNTIFS($N:$N,"Exigences"&amp;"*")+COUNTIFS($N:$N,"Non"&amp;"*")),0))),0)</f>
        <v>0</v>
      </c>
      <c r="X69" s="30"/>
      <c r="Y69" s="30"/>
      <c r="Z69" s="30"/>
      <c r="AA69" s="30"/>
      <c r="AB69" s="30"/>
      <c r="AC69" s="30"/>
      <c r="AD69" s="30"/>
      <c r="AE69" s="30"/>
      <c r="AF69" s="30"/>
      <c r="AG69" s="30"/>
      <c r="AH69" s="267"/>
      <c r="AI69" s="30"/>
    </row>
    <row r="70" spans="1:35" ht="30" customHeight="1" x14ac:dyDescent="0.3">
      <c r="A70" s="267"/>
      <c r="B70" s="30"/>
      <c r="C70" s="30" t="str">
        <f t="shared" si="0"/>
        <v>3</v>
      </c>
      <c r="D70" s="32">
        <f>IF(LEFT(F70,5)="Bonne",D69+1,#REF!)</f>
        <v>7</v>
      </c>
      <c r="E70" s="194"/>
      <c r="F70" s="191" t="s">
        <v>557</v>
      </c>
      <c r="G70" s="192" t="str">
        <f>VLOOKUP(E72,BDD!$A$2:$N$567,6,FALSE)</f>
        <v>Protection des données</v>
      </c>
      <c r="H70" s="190"/>
      <c r="I70" s="135"/>
      <c r="J70" s="135"/>
      <c r="K70" s="135"/>
      <c r="L70" s="136"/>
      <c r="M70" s="137"/>
      <c r="N70" s="138"/>
      <c r="O70" s="630">
        <v>0</v>
      </c>
      <c r="P70" s="630"/>
      <c r="Q70" s="630"/>
      <c r="R70" s="630"/>
      <c r="S70" s="632">
        <f>SUMIFS(S:S,$D:$D,D70,$N:$N,"Exigences"&amp;"*")</f>
        <v>0</v>
      </c>
      <c r="T70" s="632"/>
      <c r="U70" s="632"/>
      <c r="V70" s="633"/>
      <c r="W70" s="356">
        <f>IFERROR(IF(N70=Suppl!$E$65,0,IF(N70=Suppl!$E$66,1/2/(COUNTIFS($N:$N,"Exigences"&amp;"*")+COUNTIFS($N:$N,"Non"&amp;"*")),IF(N70=Suppl!$E$67,1/(COUNTIFS($N:$N,"Exigences"&amp;"*")+COUNTIFS($N:$N,"Non"&amp;"*")),0))),0)</f>
        <v>0</v>
      </c>
      <c r="X70" s="30"/>
      <c r="Y70" s="30"/>
      <c r="Z70" s="30"/>
      <c r="AA70" s="30"/>
      <c r="AB70" s="30"/>
      <c r="AC70" s="30"/>
      <c r="AD70" s="30"/>
      <c r="AE70" s="30"/>
      <c r="AF70" s="30"/>
      <c r="AG70" s="30"/>
      <c r="AH70" s="267"/>
      <c r="AI70" s="30"/>
    </row>
    <row r="71" spans="1:35" ht="30" customHeight="1" x14ac:dyDescent="0.3">
      <c r="A71" s="267"/>
      <c r="B71" s="30"/>
      <c r="C71" s="30" t="str">
        <f t="shared" si="0"/>
        <v>3</v>
      </c>
      <c r="D71" s="32">
        <f>IF(LEFT(F71,5)="Bonne",#REF!+1,D70)</f>
        <v>7</v>
      </c>
      <c r="E71" s="195"/>
      <c r="F71" s="211" t="s">
        <v>550</v>
      </c>
      <c r="G71" s="193" t="str">
        <f>VLOOKUP(E73,BDD!$A$2:$N$567,7,FALSE)</f>
        <v xml:space="preserve">Les données de l'organisation sont protégées avec un niveau de sécurité adapté et leur qualité permet d'alimenter sans risque les systèmes numériques. </v>
      </c>
      <c r="H71" s="139"/>
      <c r="I71" s="139"/>
      <c r="J71" s="139"/>
      <c r="K71" s="139"/>
      <c r="L71" s="140"/>
      <c r="M71" s="141"/>
      <c r="N71" s="142"/>
      <c r="O71" s="631"/>
      <c r="P71" s="631"/>
      <c r="Q71" s="631"/>
      <c r="R71" s="631"/>
      <c r="S71" s="634"/>
      <c r="T71" s="634"/>
      <c r="U71" s="634"/>
      <c r="V71" s="635"/>
      <c r="W71" s="356">
        <f>IFERROR(IF(N71=Suppl!$E$65,0,IF(N71=Suppl!$E$66,1/2/(COUNTIFS($N:$N,"Exigences"&amp;"*")+COUNTIFS($N:$N,"Non"&amp;"*")),IF(N71=Suppl!$E$67,1/(COUNTIFS($N:$N,"Exigences"&amp;"*")+COUNTIFS($N:$N,"Non"&amp;"*")),0))),0)</f>
        <v>0</v>
      </c>
      <c r="X71" s="30"/>
      <c r="Y71" s="30"/>
      <c r="Z71" s="30"/>
      <c r="AA71" s="30"/>
      <c r="AB71" s="30"/>
      <c r="AC71" s="30"/>
      <c r="AD71" s="30"/>
      <c r="AE71" s="30"/>
      <c r="AF71" s="30"/>
      <c r="AG71" s="30"/>
      <c r="AH71" s="267"/>
      <c r="AI71" s="30"/>
    </row>
    <row r="72" spans="1:35" ht="30" customHeight="1" x14ac:dyDescent="0.3">
      <c r="A72" s="267"/>
      <c r="B72" s="30"/>
      <c r="C72" s="30" t="str">
        <f t="shared" si="0"/>
        <v>3</v>
      </c>
      <c r="D72" s="32">
        <f t="shared" ref="D72:D76" si="15">IF(LEFT(F72,5)="Bonne",D70+1,D71)</f>
        <v>7</v>
      </c>
      <c r="E72" s="32" t="str">
        <f t="shared" ref="E72:E76" si="16">C72&amp;D72&amp;RIGHT(F72,1)</f>
        <v>371</v>
      </c>
      <c r="F72" s="143" t="s">
        <v>27</v>
      </c>
      <c r="G72" s="144" t="str">
        <f>VLOOKUP(E72,BDD!$A$2:$N$567,MATCH(G$24,BDD!$A$1:$P$1,0),FALSE)</f>
        <v>L’organisation a défini une liste des « données clés » avec la DSI et les métiers. </v>
      </c>
      <c r="H72" s="149" t="str">
        <f>IF(VLOOKUP($E72,BDD!$A$2:$N$567,MATCH($H$23,BDD!$A$1:$P$1,0),FALSE)=H$24,'V3_ Risques&amp;Conformité'!H$24,"")</f>
        <v>N1</v>
      </c>
      <c r="I72" s="150" t="str">
        <f>IF(VLOOKUP($E72,BDD!$A$2:$N$567,MATCH($H$23,BDD!$A$1:$P$1,0),FALSE)=I$24,'V3_ Risques&amp;Conformité'!I$24,"")</f>
        <v/>
      </c>
      <c r="J72" s="150" t="str">
        <f>IF(VLOOKUP($E72,BDD!$A$2:$N$567,MATCH($H$23,BDD!$A$1:$P$1,0),FALSE)=J$24,'V3_ Risques&amp;Conformité'!J$24,"")</f>
        <v/>
      </c>
      <c r="K72" s="150" t="str">
        <f>IF(VLOOKUP($E72,BDD!$A$2:$N$567,MATCH($H$23,BDD!$A$1:$P$1,0),FALSE)=K$24,'V3_ Risques&amp;Conformité'!K$24,"")</f>
        <v/>
      </c>
      <c r="L72" s="151" t="str">
        <f>IF(VLOOKUP($E72,BDD!$A$2:$N$567,MATCH($H$23,BDD!$A$1:$P$1,0),FALSE)=L$24,'V3_ Risques&amp;Conformité'!L$24,"")</f>
        <v/>
      </c>
      <c r="M72" s="63">
        <f t="shared" ref="M72:M76" si="17">IF(N72="Exigences partiellement respectées",1,IF(N72="Exigences respectées",2,0))</f>
        <v>0</v>
      </c>
      <c r="N72" s="144" t="str">
        <f>VLOOKUP(VLOOKUP(E72,BDD!$A$2:$P$428,15,FALSE),Suppl!$D$64:$E$68,2,FALSE)</f>
        <v>Non renseigné</v>
      </c>
      <c r="O72" s="626"/>
      <c r="P72" s="626"/>
      <c r="Q72" s="626"/>
      <c r="R72" s="626"/>
      <c r="S72" s="627">
        <f>IF(N72=Suppl!$E$65,0,IF(N72=Suppl!$E$66,1/2/(COUNTIFS($D:$D,D72,$N:$N,"Exigences"&amp;"*")+COUNTIFS($D:$D,D72,$N:$N,"Non"&amp;"*")),IF(N72=Suppl!$E$67,1/(COUNTIFS($D:$D,D72,$N:$N,"Exigences"&amp;"*")+COUNTIFS($D:$D,D72,$N:$N,"Non"&amp;"*")),0)))</f>
        <v>0</v>
      </c>
      <c r="T72" s="627"/>
      <c r="U72" s="627"/>
      <c r="V72" s="628"/>
      <c r="W72" s="356">
        <f>IFERROR(IF(N72=Suppl!$E$65,0,IF(N72=Suppl!$E$66,1/2/(COUNTIFS($N:$N,"Exigences"&amp;"*")+COUNTIFS($N:$N,"Non"&amp;"*")),IF(N72=Suppl!$E$67,1/(COUNTIFS($N:$N,"Exigences"&amp;"*")+COUNTIFS($N:$N,"Non"&amp;"*")),0))),0)</f>
        <v>0</v>
      </c>
      <c r="X72" s="30"/>
      <c r="Y72" s="30"/>
      <c r="Z72" s="30"/>
      <c r="AA72" s="30"/>
      <c r="AB72" s="30"/>
      <c r="AC72" s="30"/>
      <c r="AD72" s="30"/>
      <c r="AE72" s="30"/>
      <c r="AF72" s="30"/>
      <c r="AG72" s="30"/>
      <c r="AH72" s="267"/>
      <c r="AI72" s="30"/>
    </row>
    <row r="73" spans="1:35" ht="30" customHeight="1" x14ac:dyDescent="0.3">
      <c r="A73" s="267"/>
      <c r="B73" s="30"/>
      <c r="C73" s="30" t="str">
        <f t="shared" si="0"/>
        <v>3</v>
      </c>
      <c r="D73" s="32">
        <f t="shared" si="15"/>
        <v>7</v>
      </c>
      <c r="E73" s="32" t="str">
        <f t="shared" si="16"/>
        <v>372</v>
      </c>
      <c r="F73" s="145" t="s">
        <v>28</v>
      </c>
      <c r="G73" s="146" t="str">
        <f>VLOOKUP(E73,BDD!$A$2:$N$567,MATCH(G$24,BDD!$A$1:$P$1,0),FALSE)</f>
        <v>La DSI met en place des mesures pour protéger les données en termes de CIA (Confidentialité, Intégrité, Authenticité) dans tous les environnements qu'elle gère.</v>
      </c>
      <c r="H73" s="149" t="str">
        <f>IF(VLOOKUP($E73,BDD!$A$2:$N$567,MATCH($H$23,BDD!$A$1:$P$1,0),FALSE)=H$24,'V3_ Risques&amp;Conformité'!H$24,"")</f>
        <v>N1</v>
      </c>
      <c r="I73" s="150" t="str">
        <f>IF(VLOOKUP($E73,BDD!$A$2:$N$567,MATCH($H$23,BDD!$A$1:$P$1,0),FALSE)=I$24,'V3_ Risques&amp;Conformité'!I$24,"")</f>
        <v/>
      </c>
      <c r="J73" s="150" t="str">
        <f>IF(VLOOKUP($E73,BDD!$A$2:$N$567,MATCH($H$23,BDD!$A$1:$P$1,0),FALSE)=J$24,'V3_ Risques&amp;Conformité'!J$24,"")</f>
        <v/>
      </c>
      <c r="K73" s="150" t="str">
        <f>IF(VLOOKUP($E73,BDD!$A$2:$N$567,MATCH($H$23,BDD!$A$1:$P$1,0),FALSE)=K$24,'V3_ Risques&amp;Conformité'!K$24,"")</f>
        <v/>
      </c>
      <c r="L73" s="151" t="str">
        <f>IF(VLOOKUP($E73,BDD!$A$2:$N$567,MATCH($H$23,BDD!$A$1:$P$1,0),FALSE)=L$24,'V3_ Risques&amp;Conformité'!L$24,"")</f>
        <v/>
      </c>
      <c r="M73" s="63">
        <f t="shared" si="17"/>
        <v>0</v>
      </c>
      <c r="N73" s="146" t="str">
        <f>VLOOKUP(VLOOKUP(E73,BDD!$A$2:$P$428,15,FALSE),Suppl!$D$64:$E$68,2,FALSE)</f>
        <v>Non renseigné</v>
      </c>
      <c r="O73" s="629"/>
      <c r="P73" s="629"/>
      <c r="Q73" s="629"/>
      <c r="R73" s="629"/>
      <c r="S73" s="627">
        <f>IF(N73=Suppl!$E$65,0,IF(N73=Suppl!$E$66,1/2/(COUNTIFS($D:$D,D73,$N:$N,"Exigences"&amp;"*")+COUNTIFS($D:$D,D73,$N:$N,"Non"&amp;"*")),IF(N73=Suppl!$E$67,1/(COUNTIFS($D:$D,D73,$N:$N,"Exigences"&amp;"*")+COUNTIFS($D:$D,D73,$N:$N,"Non"&amp;"*")),0)))</f>
        <v>0</v>
      </c>
      <c r="T73" s="627"/>
      <c r="U73" s="627"/>
      <c r="V73" s="628"/>
      <c r="W73" s="356">
        <f>IFERROR(IF(N73=Suppl!$E$65,0,IF(N73=Suppl!$E$66,1/2/(COUNTIFS($N:$N,"Exigences"&amp;"*")+COUNTIFS($N:$N,"Non"&amp;"*")),IF(N73=Suppl!$E$67,1/(COUNTIFS($N:$N,"Exigences"&amp;"*")+COUNTIFS($N:$N,"Non"&amp;"*")),0))),0)</f>
        <v>0</v>
      </c>
      <c r="X73" s="30"/>
      <c r="Y73" s="30"/>
      <c r="Z73" s="30"/>
      <c r="AA73" s="30"/>
      <c r="AB73" s="30"/>
      <c r="AC73" s="30"/>
      <c r="AD73" s="30"/>
      <c r="AE73" s="30"/>
      <c r="AF73" s="30"/>
      <c r="AG73" s="30"/>
      <c r="AH73" s="267"/>
      <c r="AI73" s="30"/>
    </row>
    <row r="74" spans="1:35" ht="30" customHeight="1" x14ac:dyDescent="0.3">
      <c r="A74" s="267"/>
      <c r="B74" s="30"/>
      <c r="C74" s="30" t="str">
        <f t="shared" si="0"/>
        <v>3</v>
      </c>
      <c r="D74" s="32">
        <f t="shared" si="15"/>
        <v>7</v>
      </c>
      <c r="E74" s="32" t="str">
        <f t="shared" si="16"/>
        <v>373</v>
      </c>
      <c r="F74" s="143" t="s">
        <v>30</v>
      </c>
      <c r="G74" s="144" t="str">
        <f>VLOOKUP(E74,BDD!$A$2:$N$567,MATCH(G$24,BDD!$A$1:$P$1,0),FALSE)</f>
        <v>Les mesures de protection des données comprennent des contrôles embarqués dans les applications (ou applications controls).</v>
      </c>
      <c r="H74" s="149" t="str">
        <f>IF(VLOOKUP($E74,BDD!$A$2:$N$567,MATCH($H$23,BDD!$A$1:$P$1,0),FALSE)=H$24,'V3_ Risques&amp;Conformité'!H$24,"")</f>
        <v/>
      </c>
      <c r="I74" s="150" t="str">
        <f>IF(VLOOKUP($E74,BDD!$A$2:$N$567,MATCH($H$23,BDD!$A$1:$P$1,0),FALSE)=I$24,'V3_ Risques&amp;Conformité'!I$24,"")</f>
        <v/>
      </c>
      <c r="J74" s="150" t="str">
        <f>IF(VLOOKUP($E74,BDD!$A$2:$N$567,MATCH($H$23,BDD!$A$1:$P$1,0),FALSE)=J$24,'V3_ Risques&amp;Conformité'!J$24,"")</f>
        <v>N3</v>
      </c>
      <c r="K74" s="150" t="str">
        <f>IF(VLOOKUP($E74,BDD!$A$2:$N$567,MATCH($H$23,BDD!$A$1:$P$1,0),FALSE)=K$24,'V3_ Risques&amp;Conformité'!K$24,"")</f>
        <v/>
      </c>
      <c r="L74" s="151" t="str">
        <f>IF(VLOOKUP($E74,BDD!$A$2:$N$567,MATCH($H$23,BDD!$A$1:$P$1,0),FALSE)=L$24,'V3_ Risques&amp;Conformité'!L$24,"")</f>
        <v/>
      </c>
      <c r="M74" s="63">
        <f t="shared" si="17"/>
        <v>0</v>
      </c>
      <c r="N74" s="144" t="str">
        <f>VLOOKUP(VLOOKUP(E74,BDD!$A$2:$P$428,15,FALSE),Suppl!$D$64:$E$68,2,FALSE)</f>
        <v>Non renseigné</v>
      </c>
      <c r="O74" s="629"/>
      <c r="P74" s="629"/>
      <c r="Q74" s="629"/>
      <c r="R74" s="629"/>
      <c r="S74" s="627">
        <f>IF(N74=Suppl!$E$65,0,IF(N74=Suppl!$E$66,1/2/(COUNTIFS($D:$D,D74,$N:$N,"Exigences"&amp;"*")+COUNTIFS($D:$D,D74,$N:$N,"Non"&amp;"*")),IF(N74=Suppl!$E$67,1/(COUNTIFS($D:$D,D74,$N:$N,"Exigences"&amp;"*")+COUNTIFS($D:$D,D74,$N:$N,"Non"&amp;"*")),0)))</f>
        <v>0</v>
      </c>
      <c r="T74" s="627"/>
      <c r="U74" s="627"/>
      <c r="V74" s="628"/>
      <c r="W74" s="356">
        <f>IFERROR(IF(N74=Suppl!$E$65,0,IF(N74=Suppl!$E$66,1/2/(COUNTIFS($N:$N,"Exigences"&amp;"*")+COUNTIFS($N:$N,"Non"&amp;"*")),IF(N74=Suppl!$E$67,1/(COUNTIFS($N:$N,"Exigences"&amp;"*")+COUNTIFS($N:$N,"Non"&amp;"*")),0))),0)</f>
        <v>0</v>
      </c>
      <c r="X74" s="30"/>
      <c r="Y74" s="30"/>
      <c r="Z74" s="30"/>
      <c r="AA74" s="30"/>
      <c r="AB74" s="30"/>
      <c r="AC74" s="30"/>
      <c r="AD74" s="30"/>
      <c r="AE74" s="30"/>
      <c r="AF74" s="30"/>
      <c r="AG74" s="30"/>
      <c r="AH74" s="267"/>
      <c r="AI74" s="30"/>
    </row>
    <row r="75" spans="1:35" ht="41.4" x14ac:dyDescent="0.3">
      <c r="A75" s="267"/>
      <c r="B75" s="30"/>
      <c r="C75" s="30" t="str">
        <f t="shared" si="0"/>
        <v>3</v>
      </c>
      <c r="D75" s="32">
        <f t="shared" si="15"/>
        <v>7</v>
      </c>
      <c r="E75" s="32" t="str">
        <f t="shared" si="16"/>
        <v>374</v>
      </c>
      <c r="F75" s="145" t="s">
        <v>32</v>
      </c>
      <c r="G75" s="146" t="str">
        <f>VLOOKUP(E75,BDD!$A$2:$N$567,MATCH(G$24,BDD!$A$1:$P$1,0),FALSE)</f>
        <v>En tant que propriétaire des données, le métier reste responsable des informations qu’il traite et il partage avec la DSI la responsabilité des contrôles, qu’ils soient manuels ou automatisés. </v>
      </c>
      <c r="H75" s="149" t="str">
        <f>IF(VLOOKUP($E75,BDD!$A$2:$N$567,MATCH($H$23,BDD!$A$1:$P$1,0),FALSE)=H$24,'V3_ Risques&amp;Conformité'!H$24,"")</f>
        <v/>
      </c>
      <c r="I75" s="150" t="str">
        <f>IF(VLOOKUP($E75,BDD!$A$2:$N$567,MATCH($H$23,BDD!$A$1:$P$1,0),FALSE)=I$24,'V3_ Risques&amp;Conformité'!I$24,"")</f>
        <v>N2</v>
      </c>
      <c r="J75" s="150" t="str">
        <f>IF(VLOOKUP($E75,BDD!$A$2:$N$567,MATCH($H$23,BDD!$A$1:$P$1,0),FALSE)=J$24,'V3_ Risques&amp;Conformité'!J$24,"")</f>
        <v/>
      </c>
      <c r="K75" s="150" t="str">
        <f>IF(VLOOKUP($E75,BDD!$A$2:$N$567,MATCH($H$23,BDD!$A$1:$P$1,0),FALSE)=K$24,'V3_ Risques&amp;Conformité'!K$24,"")</f>
        <v/>
      </c>
      <c r="L75" s="151" t="str">
        <f>IF(VLOOKUP($E75,BDD!$A$2:$N$567,MATCH($H$23,BDD!$A$1:$P$1,0),FALSE)=L$24,'V3_ Risques&amp;Conformité'!L$24,"")</f>
        <v/>
      </c>
      <c r="M75" s="63">
        <f t="shared" si="17"/>
        <v>0</v>
      </c>
      <c r="N75" s="146" t="str">
        <f>VLOOKUP(VLOOKUP(E75,BDD!$A$2:$P$428,15,FALSE),Suppl!$D$64:$E$68,2,FALSE)</f>
        <v>Non renseigné</v>
      </c>
      <c r="O75" s="629"/>
      <c r="P75" s="629"/>
      <c r="Q75" s="629"/>
      <c r="R75" s="629"/>
      <c r="S75" s="627">
        <f>IF(N75=Suppl!$E$65,0,IF(N75=Suppl!$E$66,1/2/(COUNTIFS($D:$D,D75,$N:$N,"Exigences"&amp;"*")+COUNTIFS($D:$D,D75,$N:$N,"Non"&amp;"*")),IF(N75=Suppl!$E$67,1/(COUNTIFS($D:$D,D75,$N:$N,"Exigences"&amp;"*")+COUNTIFS($D:$D,D75,$N:$N,"Non"&amp;"*")),0)))</f>
        <v>0</v>
      </c>
      <c r="T75" s="627"/>
      <c r="U75" s="627"/>
      <c r="V75" s="628"/>
      <c r="W75" s="356">
        <f>IFERROR(IF(N75=Suppl!$E$65,0,IF(N75=Suppl!$E$66,1/2/(COUNTIFS($N:$N,"Exigences"&amp;"*")+COUNTIFS($N:$N,"Non"&amp;"*")),IF(N75=Suppl!$E$67,1/(COUNTIFS($N:$N,"Exigences"&amp;"*")+COUNTIFS($N:$N,"Non"&amp;"*")),0))),0)</f>
        <v>0</v>
      </c>
      <c r="X75" s="30"/>
      <c r="Y75" s="30"/>
      <c r="Z75" s="30"/>
      <c r="AA75" s="30"/>
      <c r="AB75" s="30"/>
      <c r="AC75" s="30"/>
      <c r="AD75" s="30"/>
      <c r="AE75" s="30"/>
      <c r="AF75" s="30"/>
      <c r="AG75" s="30"/>
      <c r="AH75" s="267"/>
      <c r="AI75" s="30"/>
    </row>
    <row r="76" spans="1:35" ht="56.4" customHeight="1" x14ac:dyDescent="0.3">
      <c r="A76" s="267"/>
      <c r="B76" s="30"/>
      <c r="C76" s="30" t="str">
        <f t="shared" si="0"/>
        <v>3</v>
      </c>
      <c r="D76" s="32">
        <f t="shared" si="15"/>
        <v>7</v>
      </c>
      <c r="E76" s="32" t="str">
        <f t="shared" si="16"/>
        <v>375</v>
      </c>
      <c r="F76" s="143" t="s">
        <v>33</v>
      </c>
      <c r="G76" s="144" t="str">
        <f>VLOOKUP(E76,BDD!$A$2:$N$567,MATCH(G$24,BDD!$A$1:$P$1,0),FALSE)</f>
        <v>Un dispositif de gouvernance et de mise en qualité des données supervise les risques liés à leurs  usages, notamment ceux engendrés par l'IA (hallucination, biais, décisions induites). Des dispositifs de suivi de la qualité des données sont utilisés.</v>
      </c>
      <c r="H76" s="149" t="str">
        <f>IF(VLOOKUP($E76,BDD!$A$2:$N$567,MATCH($H$23,BDD!$A$1:$P$1,0),FALSE)=H$24,'V3_ Risques&amp;Conformité'!H$24,"")</f>
        <v/>
      </c>
      <c r="I76" s="150" t="str">
        <f>IF(VLOOKUP($E76,BDD!$A$2:$N$567,MATCH($H$23,BDD!$A$1:$P$1,0),FALSE)=I$24,'V3_ Risques&amp;Conformité'!I$24,"")</f>
        <v/>
      </c>
      <c r="J76" s="150" t="str">
        <f>IF(VLOOKUP($E76,BDD!$A$2:$N$567,MATCH($H$23,BDD!$A$1:$P$1,0),FALSE)=J$24,'V3_ Risques&amp;Conformité'!J$24,"")</f>
        <v>N3</v>
      </c>
      <c r="K76" s="150" t="str">
        <f>IF(VLOOKUP($E76,BDD!$A$2:$N$567,MATCH($H$23,BDD!$A$1:$P$1,0),FALSE)=K$24,'V3_ Risques&amp;Conformité'!K$24,"")</f>
        <v/>
      </c>
      <c r="L76" s="151" t="str">
        <f>IF(VLOOKUP($E76,BDD!$A$2:$N$567,MATCH($H$23,BDD!$A$1:$P$1,0),FALSE)=L$24,'V3_ Risques&amp;Conformité'!L$24,"")</f>
        <v/>
      </c>
      <c r="M76" s="63">
        <f t="shared" si="17"/>
        <v>0</v>
      </c>
      <c r="N76" s="250" t="str">
        <f>VLOOKUP(VLOOKUP(E76,BDD!$A$2:$P$428,15,FALSE),Suppl!$D$64:$E$68,2,FALSE)</f>
        <v>Non renseigné</v>
      </c>
      <c r="O76" s="647"/>
      <c r="P76" s="636"/>
      <c r="Q76" s="636"/>
      <c r="R76" s="636"/>
      <c r="S76" s="627">
        <f>IF(N76=Suppl!$E$65,0,IF(N76=Suppl!$E$66,1/2/(COUNTIFS($D:$D,D76,$N:$N,"Exigences"&amp;"*")+COUNTIFS($D:$D,D76,$N:$N,"Non"&amp;"*")),IF(N76=Suppl!$E$67,1/(COUNTIFS($D:$D,D76,$N:$N,"Exigences"&amp;"*")+COUNTIFS($D:$D,D76,$N:$N,"Non"&amp;"*")),0)))</f>
        <v>0</v>
      </c>
      <c r="T76" s="627"/>
      <c r="U76" s="627"/>
      <c r="V76" s="628"/>
      <c r="W76" s="356">
        <f>IFERROR(IF(N76=Suppl!$E$65,0,IF(N76=Suppl!$E$66,1/2/(COUNTIFS($N:$N,"Exigences"&amp;"*")+COUNTIFS($N:$N,"Non"&amp;"*")),IF(N76=Suppl!$E$67,1/(COUNTIFS($N:$N,"Exigences"&amp;"*")+COUNTIFS($N:$N,"Non"&amp;"*")),0))),0)</f>
        <v>0</v>
      </c>
      <c r="X76" s="30"/>
      <c r="Y76" s="30"/>
      <c r="Z76" s="30"/>
      <c r="AA76" s="30"/>
      <c r="AB76" s="30"/>
      <c r="AC76" s="30"/>
      <c r="AD76" s="30"/>
      <c r="AE76" s="30"/>
      <c r="AF76" s="30"/>
      <c r="AG76" s="30"/>
      <c r="AH76" s="267"/>
      <c r="AI76" s="30"/>
    </row>
    <row r="77" spans="1:35" ht="30" customHeight="1" x14ac:dyDescent="0.3">
      <c r="A77" s="267"/>
      <c r="B77" s="30"/>
      <c r="C77" s="30" t="str">
        <f t="shared" si="0"/>
        <v>3</v>
      </c>
      <c r="D77" s="32">
        <f>IF(LEFT(F77,5)="Bonne",D75+1,D76)</f>
        <v>8</v>
      </c>
      <c r="E77" s="32"/>
      <c r="F77" s="191" t="s">
        <v>640</v>
      </c>
      <c r="G77" s="192" t="str">
        <f>VLOOKUP(E79,BDD!$A$2:$N$567,6,FALSE)</f>
        <v>Conformité</v>
      </c>
      <c r="H77" s="190" t="str">
        <f>VLOOKUP(E79,BDD!$A$2:$N$567,6,FALSE)</f>
        <v>Conformité</v>
      </c>
      <c r="I77" s="135"/>
      <c r="J77" s="135"/>
      <c r="K77" s="135"/>
      <c r="L77" s="136"/>
      <c r="M77" s="137"/>
      <c r="N77" s="138"/>
      <c r="O77" s="630">
        <v>0</v>
      </c>
      <c r="P77" s="630"/>
      <c r="Q77" s="630"/>
      <c r="R77" s="630"/>
      <c r="S77" s="632">
        <f>SUMIFS(S:S,$D:$D,D77,$N:$N,"Exigences"&amp;"*")</f>
        <v>0</v>
      </c>
      <c r="T77" s="632"/>
      <c r="U77" s="632"/>
      <c r="V77" s="633"/>
      <c r="W77" s="356">
        <f>IFERROR(IF(N77=Suppl!$E$65,0,IF(N77=Suppl!$E$66,1/2/(COUNTIFS($N:$N,"Exigences"&amp;"*")+COUNTIFS($N:$N,"Non"&amp;"*")),IF(N77=Suppl!$E$67,1/(COUNTIFS($N:$N,"Exigences"&amp;"*")+COUNTIFS($N:$N,"Non"&amp;"*")),0))),0)</f>
        <v>0</v>
      </c>
      <c r="X77" s="30"/>
      <c r="Y77" s="30"/>
      <c r="Z77" s="30"/>
      <c r="AA77" s="30"/>
      <c r="AB77" s="30"/>
      <c r="AC77" s="30"/>
      <c r="AD77" s="30"/>
      <c r="AE77" s="30"/>
      <c r="AF77" s="30"/>
      <c r="AG77" s="30"/>
      <c r="AH77" s="267"/>
      <c r="AI77" s="30"/>
    </row>
    <row r="78" spans="1:35" ht="30" customHeight="1" x14ac:dyDescent="0.3">
      <c r="A78" s="267"/>
      <c r="B78" s="30"/>
      <c r="C78" s="30" t="str">
        <f t="shared" si="0"/>
        <v>3</v>
      </c>
      <c r="D78" s="32">
        <f>IF(LEFT(F78,5)="Bonne",D76+1,D77)</f>
        <v>8</v>
      </c>
      <c r="E78" s="32"/>
      <c r="F78" s="211" t="s">
        <v>550</v>
      </c>
      <c r="G78" s="620" t="str">
        <f>VLOOKUP(E80,BDD!$A$2:$N$567,7,FALSE)</f>
        <v>La DSI assure la conformité aux réglementations numériques et contribue au dispositif de gestion de la conformité réglementaire, contractuelle ainsi que la conformité aux référentiels internes de l’organisation.</v>
      </c>
      <c r="H78" s="621"/>
      <c r="I78" s="621"/>
      <c r="J78" s="621"/>
      <c r="K78" s="621"/>
      <c r="L78" s="621"/>
      <c r="M78" s="621"/>
      <c r="N78" s="622"/>
      <c r="O78" s="631"/>
      <c r="P78" s="631"/>
      <c r="Q78" s="631"/>
      <c r="R78" s="631"/>
      <c r="S78" s="634"/>
      <c r="T78" s="634"/>
      <c r="U78" s="634"/>
      <c r="V78" s="635"/>
      <c r="W78" s="356">
        <f>IFERROR(IF(N78=Suppl!$E$65,0,IF(N78=Suppl!$E$66,1/2/(COUNTIFS($N:$N,"Exigences"&amp;"*")+COUNTIFS($N:$N,"Non"&amp;"*")),IF(N78=Suppl!$E$67,1/(COUNTIFS($N:$N,"Exigences"&amp;"*")+COUNTIFS($N:$N,"Non"&amp;"*")),0))),0)</f>
        <v>0</v>
      </c>
      <c r="X78" s="30"/>
      <c r="Y78" s="30"/>
      <c r="Z78" s="30"/>
      <c r="AA78" s="30"/>
      <c r="AB78" s="30"/>
      <c r="AC78" s="30"/>
      <c r="AD78" s="30"/>
      <c r="AE78" s="30"/>
      <c r="AF78" s="30"/>
      <c r="AG78" s="30"/>
      <c r="AH78" s="267"/>
      <c r="AI78" s="30"/>
    </row>
    <row r="79" spans="1:35" ht="30" customHeight="1" x14ac:dyDescent="0.3">
      <c r="A79" s="267"/>
      <c r="B79" s="30"/>
      <c r="C79" s="30" t="str">
        <f t="shared" si="0"/>
        <v>3</v>
      </c>
      <c r="D79" s="32">
        <f t="shared" ref="D79:D85" si="18">IF(LEFT(F79,5)="Bonne",D77+1,D78)</f>
        <v>8</v>
      </c>
      <c r="E79" s="32" t="str">
        <f t="shared" ref="E79:E85" si="19">C79&amp;D79&amp;RIGHT(F79,1)</f>
        <v>381</v>
      </c>
      <c r="F79" s="143" t="s">
        <v>27</v>
      </c>
      <c r="G79" s="144" t="str">
        <f>VLOOKUP(E79,BDD!$A$2:$N$567,MATCH(G$24,BDD!$A$1:$P$1,0),FALSE)</f>
        <v>La DSI assure une veille juridique et réglementaire structurée sur son périmètre lui permettant d’identifier les réglementations applicables et leurs évolutions.</v>
      </c>
      <c r="H79" s="149" t="str">
        <f>IF(VLOOKUP($E79,BDD!$A$2:$N$567,MATCH($H$23,BDD!$A$1:$P$1,0),FALSE)=H$24,'V3_ Risques&amp;Conformité'!H$24,"")</f>
        <v>N1</v>
      </c>
      <c r="I79" s="150" t="str">
        <f>IF(VLOOKUP($E79,BDD!$A$2:$N$567,MATCH($H$23,BDD!$A$1:$P$1,0),FALSE)=I$24,'V3_ Risques&amp;Conformité'!I$24,"")</f>
        <v/>
      </c>
      <c r="J79" s="150" t="str">
        <f>IF(VLOOKUP($E79,BDD!$A$2:$N$567,MATCH($H$23,BDD!$A$1:$P$1,0),FALSE)=J$24,'V3_ Risques&amp;Conformité'!J$24,"")</f>
        <v/>
      </c>
      <c r="K79" s="150" t="str">
        <f>IF(VLOOKUP($E79,BDD!$A$2:$N$567,MATCH($H$23,BDD!$A$1:$P$1,0),FALSE)=K$24,'V3_ Risques&amp;Conformité'!K$24,"")</f>
        <v/>
      </c>
      <c r="L79" s="151" t="str">
        <f>IF(VLOOKUP($E79,BDD!$A$2:$N$567,MATCH($H$23,BDD!$A$1:$P$1,0),FALSE)=L$24,'V3_ Risques&amp;Conformité'!L$24,"")</f>
        <v/>
      </c>
      <c r="M79" s="63">
        <f>IF(N79="Exigences partiellement respectées",1,IF(N79="Exigences respectées",2,0))</f>
        <v>0</v>
      </c>
      <c r="N79" s="144" t="str">
        <f>VLOOKUP(VLOOKUP(E79,BDD!$A$2:$P$428,15,FALSE),Suppl!$D$64:$E$68,2,FALSE)</f>
        <v>Non renseigné</v>
      </c>
      <c r="O79" s="626"/>
      <c r="P79" s="626"/>
      <c r="Q79" s="626"/>
      <c r="R79" s="626"/>
      <c r="S79" s="627">
        <f>IF(N79=Suppl!$E$65,0,IF(N79=Suppl!$E$66,1/2/(COUNTIFS($D:$D,D79,$N:$N,"Exigences"&amp;"*")+COUNTIFS($D:$D,D79,$N:$N,"Non"&amp;"*")),IF(N79=Suppl!$E$67,1/(COUNTIFS($D:$D,D79,$N:$N,"Exigences"&amp;"*")+COUNTIFS($D:$D,D79,$N:$N,"Non"&amp;"*")),0)))</f>
        <v>0</v>
      </c>
      <c r="T79" s="627"/>
      <c r="U79" s="627"/>
      <c r="V79" s="628"/>
      <c r="W79" s="356">
        <f>IFERROR(IF(N79=Suppl!$E$65,0,IF(N79=Suppl!$E$66,1/2/(COUNTIFS($N:$N,"Exigences"&amp;"*")+COUNTIFS($N:$N,"Non"&amp;"*")),IF(N79=Suppl!$E$67,1/(COUNTIFS($N:$N,"Exigences"&amp;"*")+COUNTIFS($N:$N,"Non"&amp;"*")),0))),0)</f>
        <v>0</v>
      </c>
      <c r="X79" s="30"/>
      <c r="Y79" s="30"/>
      <c r="Z79" s="30"/>
      <c r="AA79" s="30"/>
      <c r="AB79" s="30"/>
      <c r="AC79" s="30"/>
      <c r="AD79" s="30"/>
      <c r="AE79" s="30"/>
      <c r="AF79" s="30"/>
      <c r="AG79" s="30"/>
      <c r="AH79" s="267"/>
      <c r="AI79" s="30"/>
    </row>
    <row r="80" spans="1:35" ht="27.6" x14ac:dyDescent="0.3">
      <c r="A80" s="267"/>
      <c r="B80" s="30"/>
      <c r="C80" s="30" t="str">
        <f t="shared" si="0"/>
        <v>3</v>
      </c>
      <c r="D80" s="32">
        <f t="shared" si="18"/>
        <v>8</v>
      </c>
      <c r="E80" s="32" t="str">
        <f t="shared" si="19"/>
        <v>382</v>
      </c>
      <c r="F80" s="145" t="s">
        <v>28</v>
      </c>
      <c r="G80" s="146" t="str">
        <f>VLOOKUP(E80,BDD!$A$2:$N$567,MATCH(G$24,BDD!$A$1:$P$1,0),FALSE)</f>
        <v>Un dispositif de conformité structuré permet à la DSI de définir ses objectifs et d’évaluer les risques de nonconformité à travers une charte validée par la direction générale.</v>
      </c>
      <c r="H80" s="149" t="str">
        <f>IF(VLOOKUP($E80,BDD!$A$2:$N$567,MATCH($H$23,BDD!$A$1:$P$1,0),FALSE)=H$24,'V3_ Risques&amp;Conformité'!H$24,"")</f>
        <v/>
      </c>
      <c r="I80" s="150" t="str">
        <f>IF(VLOOKUP($E80,BDD!$A$2:$N$567,MATCH($H$23,BDD!$A$1:$P$1,0),FALSE)=I$24,'V3_ Risques&amp;Conformité'!I$24,"")</f>
        <v>N2</v>
      </c>
      <c r="J80" s="150" t="str">
        <f>IF(VLOOKUP($E80,BDD!$A$2:$N$567,MATCH($H$23,BDD!$A$1:$P$1,0),FALSE)=J$24,'V3_ Risques&amp;Conformité'!J$24,"")</f>
        <v/>
      </c>
      <c r="K80" s="150" t="str">
        <f>IF(VLOOKUP($E80,BDD!$A$2:$N$567,MATCH($H$23,BDD!$A$1:$P$1,0),FALSE)=K$24,'V3_ Risques&amp;Conformité'!K$24,"")</f>
        <v/>
      </c>
      <c r="L80" s="151" t="str">
        <f>IF(VLOOKUP($E80,BDD!$A$2:$N$567,MATCH($H$23,BDD!$A$1:$P$1,0),FALSE)=L$24,'V3_ Risques&amp;Conformité'!L$24,"")</f>
        <v/>
      </c>
      <c r="M80" s="63">
        <f t="shared" ref="M80:M85" si="20">IF(N80="Exigences partiellement respectées",1,IF(N80="Exigences respectées",2,0))</f>
        <v>0</v>
      </c>
      <c r="N80" s="146" t="str">
        <f>VLOOKUP(VLOOKUP(E80,BDD!$A$2:$P$428,15,FALSE),Suppl!$D$64:$E$68,2,FALSE)</f>
        <v>Non renseigné</v>
      </c>
      <c r="O80" s="629"/>
      <c r="P80" s="629"/>
      <c r="Q80" s="629"/>
      <c r="R80" s="629"/>
      <c r="S80" s="627">
        <f>IF(N80=Suppl!$E$65,0,IF(N80=Suppl!$E$66,1/2/(COUNTIFS($D:$D,D80,$N:$N,"Exigences"&amp;"*")+COUNTIFS($D:$D,D80,$N:$N,"Non"&amp;"*")),IF(N80=Suppl!$E$67,1/(COUNTIFS($D:$D,D80,$N:$N,"Exigences"&amp;"*")+COUNTIFS($D:$D,D80,$N:$N,"Non"&amp;"*")),0)))</f>
        <v>0</v>
      </c>
      <c r="T80" s="627"/>
      <c r="U80" s="627"/>
      <c r="V80" s="628"/>
      <c r="W80" s="356">
        <f>IFERROR(IF(N80=Suppl!$E$65,0,IF(N80=Suppl!$E$66,1/2/(COUNTIFS($N:$N,"Exigences"&amp;"*")+COUNTIFS($N:$N,"Non"&amp;"*")),IF(N80=Suppl!$E$67,1/(COUNTIFS($N:$N,"Exigences"&amp;"*")+COUNTIFS($N:$N,"Non"&amp;"*")),0))),0)</f>
        <v>0</v>
      </c>
      <c r="X80" s="30"/>
      <c r="Y80" s="30"/>
      <c r="Z80" s="30"/>
      <c r="AA80" s="30"/>
      <c r="AB80" s="30"/>
      <c r="AC80" s="30"/>
      <c r="AD80" s="30"/>
      <c r="AE80" s="30"/>
      <c r="AF80" s="30"/>
      <c r="AG80" s="30"/>
      <c r="AH80" s="267"/>
      <c r="AI80" s="30"/>
    </row>
    <row r="81" spans="1:35" ht="30" customHeight="1" x14ac:dyDescent="0.3">
      <c r="A81" s="267"/>
      <c r="B81" s="30"/>
      <c r="C81" s="30" t="str">
        <f t="shared" si="0"/>
        <v>3</v>
      </c>
      <c r="D81" s="32">
        <f t="shared" si="18"/>
        <v>8</v>
      </c>
      <c r="E81" s="32" t="str">
        <f t="shared" si="19"/>
        <v>383</v>
      </c>
      <c r="F81" s="143" t="s">
        <v>30</v>
      </c>
      <c r="G81" s="144" t="str">
        <f>VLOOKUP(E81,BDD!$A$2:$N$567,MATCH(G$24,BDD!$A$1:$P$1,0),FALSE)</f>
        <v>La DSI s’insère dans un plan structuré de communication, formation et acculturation, aligné sur les objectifs de conformité.</v>
      </c>
      <c r="H81" s="149" t="str">
        <f>IF(VLOOKUP($E81,BDD!$A$2:$N$567,MATCH($H$23,BDD!$A$1:$P$1,0),FALSE)=H$24,'V3_ Risques&amp;Conformité'!H$24,"")</f>
        <v/>
      </c>
      <c r="I81" s="150" t="str">
        <f>IF(VLOOKUP($E81,BDD!$A$2:$N$567,MATCH($H$23,BDD!$A$1:$P$1,0),FALSE)=I$24,'V3_ Risques&amp;Conformité'!I$24,"")</f>
        <v/>
      </c>
      <c r="J81" s="150" t="str">
        <f>IF(VLOOKUP($E81,BDD!$A$2:$N$567,MATCH($H$23,BDD!$A$1:$P$1,0),FALSE)=J$24,'V3_ Risques&amp;Conformité'!J$24,"")</f>
        <v>N3</v>
      </c>
      <c r="K81" s="150" t="str">
        <f>IF(VLOOKUP($E81,BDD!$A$2:$N$567,MATCH($H$23,BDD!$A$1:$P$1,0),FALSE)=K$24,'V3_ Risques&amp;Conformité'!K$24,"")</f>
        <v/>
      </c>
      <c r="L81" s="151" t="str">
        <f>IF(VLOOKUP($E81,BDD!$A$2:$N$567,MATCH($H$23,BDD!$A$1:$P$1,0),FALSE)=L$24,'V3_ Risques&amp;Conformité'!L$24,"")</f>
        <v/>
      </c>
      <c r="M81" s="63">
        <f t="shared" si="20"/>
        <v>0</v>
      </c>
      <c r="N81" s="144" t="str">
        <f>VLOOKUP(VLOOKUP(E81,BDD!$A$2:$P$428,15,FALSE),Suppl!$D$64:$E$68,2,FALSE)</f>
        <v>Non renseigné</v>
      </c>
      <c r="O81" s="629"/>
      <c r="P81" s="629"/>
      <c r="Q81" s="629"/>
      <c r="R81" s="629"/>
      <c r="S81" s="627">
        <f>IF(N81=Suppl!$E$65,0,IF(N81=Suppl!$E$66,1/2/(COUNTIFS($D:$D,D81,$N:$N,"Exigences"&amp;"*")+COUNTIFS($D:$D,D81,$N:$N,"Non"&amp;"*")),IF(N81=Suppl!$E$67,1/(COUNTIFS($D:$D,D81,$N:$N,"Exigences"&amp;"*")+COUNTIFS($D:$D,D81,$N:$N,"Non"&amp;"*")),0)))</f>
        <v>0</v>
      </c>
      <c r="T81" s="627"/>
      <c r="U81" s="627"/>
      <c r="V81" s="628"/>
      <c r="W81" s="356">
        <f>IFERROR(IF(N81=Suppl!$E$65,0,IF(N81=Suppl!$E$66,1/2/(COUNTIFS($N:$N,"Exigences"&amp;"*")+COUNTIFS($N:$N,"Non"&amp;"*")),IF(N81=Suppl!$E$67,1/(COUNTIFS($N:$N,"Exigences"&amp;"*")+COUNTIFS($N:$N,"Non"&amp;"*")),0))),0)</f>
        <v>0</v>
      </c>
      <c r="X81" s="30"/>
      <c r="Y81" s="30"/>
      <c r="Z81" s="30"/>
      <c r="AA81" s="30"/>
      <c r="AB81" s="30"/>
      <c r="AC81" s="30"/>
      <c r="AD81" s="30"/>
      <c r="AE81" s="30"/>
      <c r="AF81" s="30"/>
      <c r="AG81" s="30"/>
      <c r="AH81" s="267"/>
      <c r="AI81" s="30"/>
    </row>
    <row r="82" spans="1:35" ht="30" customHeight="1" x14ac:dyDescent="0.3">
      <c r="A82" s="267"/>
      <c r="B82" s="30"/>
      <c r="C82" s="30" t="str">
        <f t="shared" si="0"/>
        <v>3</v>
      </c>
      <c r="D82" s="32">
        <f t="shared" si="18"/>
        <v>8</v>
      </c>
      <c r="E82" s="32" t="str">
        <f t="shared" si="19"/>
        <v>384</v>
      </c>
      <c r="F82" s="145" t="s">
        <v>32</v>
      </c>
      <c r="G82" s="146" t="str">
        <f>VLOOKUP(E82,BDD!$A$2:$N$567,MATCH(G$24,BDD!$A$1:$P$1,0),FALSE)</f>
        <v>La DSI identifie les écarts de conformité, elle les corrige et documente ses actions.</v>
      </c>
      <c r="H82" s="149" t="str">
        <f>IF(VLOOKUP($E82,BDD!$A$2:$N$567,MATCH($H$23,BDD!$A$1:$P$1,0),FALSE)=H$24,'V3_ Risques&amp;Conformité'!H$24,"")</f>
        <v/>
      </c>
      <c r="I82" s="150" t="str">
        <f>IF(VLOOKUP($E82,BDD!$A$2:$N$567,MATCH($H$23,BDD!$A$1:$P$1,0),FALSE)=I$24,'V3_ Risques&amp;Conformité'!I$24,"")</f>
        <v>N2</v>
      </c>
      <c r="J82" s="150" t="str">
        <f>IF(VLOOKUP($E82,BDD!$A$2:$N$567,MATCH($H$23,BDD!$A$1:$P$1,0),FALSE)=J$24,'V3_ Risques&amp;Conformité'!J$24,"")</f>
        <v/>
      </c>
      <c r="K82" s="150" t="str">
        <f>IF(VLOOKUP($E82,BDD!$A$2:$N$567,MATCH($H$23,BDD!$A$1:$P$1,0),FALSE)=K$24,'V3_ Risques&amp;Conformité'!K$24,"")</f>
        <v/>
      </c>
      <c r="L82" s="151" t="str">
        <f>IF(VLOOKUP($E82,BDD!$A$2:$N$567,MATCH($H$23,BDD!$A$1:$P$1,0),FALSE)=L$24,'V3_ Risques&amp;Conformité'!L$24,"")</f>
        <v/>
      </c>
      <c r="M82" s="63">
        <f t="shared" si="20"/>
        <v>0</v>
      </c>
      <c r="N82" s="146" t="str">
        <f>VLOOKUP(VLOOKUP(E82,BDD!$A$2:$P$428,15,FALSE),Suppl!$D$64:$E$68,2,FALSE)</f>
        <v>Non renseigné</v>
      </c>
      <c r="O82" s="629"/>
      <c r="P82" s="629"/>
      <c r="Q82" s="629"/>
      <c r="R82" s="629"/>
      <c r="S82" s="627">
        <f>IF(N82=Suppl!$E$65,0,IF(N82=Suppl!$E$66,1/2/(COUNTIFS($D:$D,D82,$N:$N,"Exigences"&amp;"*")+COUNTIFS($D:$D,D82,$N:$N,"Non"&amp;"*")),IF(N82=Suppl!$E$67,1/(COUNTIFS($D:$D,D82,$N:$N,"Exigences"&amp;"*")+COUNTIFS($D:$D,D82,$N:$N,"Non"&amp;"*")),0)))</f>
        <v>0</v>
      </c>
      <c r="T82" s="627"/>
      <c r="U82" s="627"/>
      <c r="V82" s="628"/>
      <c r="W82" s="356">
        <f>IFERROR(IF(N82=Suppl!$E$65,0,IF(N82=Suppl!$E$66,1/2/(COUNTIFS($N:$N,"Exigences"&amp;"*")+COUNTIFS($N:$N,"Non"&amp;"*")),IF(N82=Suppl!$E$67,1/(COUNTIFS($N:$N,"Exigences"&amp;"*")+COUNTIFS($N:$N,"Non"&amp;"*")),0))),0)</f>
        <v>0</v>
      </c>
      <c r="X82" s="30"/>
      <c r="Y82" s="30"/>
      <c r="Z82" s="30"/>
      <c r="AA82" s="30"/>
      <c r="AB82" s="30"/>
      <c r="AC82" s="30"/>
      <c r="AD82" s="30"/>
      <c r="AE82" s="30"/>
      <c r="AF82" s="30"/>
      <c r="AG82" s="30"/>
      <c r="AH82" s="267"/>
      <c r="AI82" s="30"/>
    </row>
    <row r="83" spans="1:35" ht="30" customHeight="1" x14ac:dyDescent="0.3">
      <c r="A83" s="267"/>
      <c r="B83" s="30"/>
      <c r="C83" s="30" t="str">
        <f t="shared" si="0"/>
        <v>3</v>
      </c>
      <c r="D83" s="32">
        <f t="shared" si="18"/>
        <v>8</v>
      </c>
      <c r="E83" s="32" t="str">
        <f t="shared" si="19"/>
        <v>385</v>
      </c>
      <c r="F83" s="143" t="s">
        <v>33</v>
      </c>
      <c r="G83" s="144" t="str">
        <f>VLOOKUP(E83,BDD!$A$2:$N$567,MATCH(G$24,BDD!$A$1:$P$1,0),FALSE)</f>
        <v>Les exigences de conformité sont prises en compte dès la conception des solutions (compliance by design).</v>
      </c>
      <c r="H83" s="149" t="str">
        <f>IF(VLOOKUP($E83,BDD!$A$2:$N$567,MATCH($H$23,BDD!$A$1:$P$1,0),FALSE)=H$24,'V3_ Risques&amp;Conformité'!H$24,"")</f>
        <v/>
      </c>
      <c r="I83" s="150" t="str">
        <f>IF(VLOOKUP($E83,BDD!$A$2:$N$567,MATCH($H$23,BDD!$A$1:$P$1,0),FALSE)=I$24,'V3_ Risques&amp;Conformité'!I$24,"")</f>
        <v/>
      </c>
      <c r="J83" s="150" t="str">
        <f>IF(VLOOKUP($E83,BDD!$A$2:$N$567,MATCH($H$23,BDD!$A$1:$P$1,0),FALSE)=J$24,'V3_ Risques&amp;Conformité'!J$24,"")</f>
        <v>N3</v>
      </c>
      <c r="K83" s="150" t="str">
        <f>IF(VLOOKUP($E83,BDD!$A$2:$N$567,MATCH($H$23,BDD!$A$1:$P$1,0),FALSE)=K$24,'V3_ Risques&amp;Conformité'!K$24,"")</f>
        <v/>
      </c>
      <c r="L83" s="151" t="str">
        <f>IF(VLOOKUP($E83,BDD!$A$2:$N$567,MATCH($H$23,BDD!$A$1:$P$1,0),FALSE)=L$24,'V3_ Risques&amp;Conformité'!L$24,"")</f>
        <v/>
      </c>
      <c r="M83" s="63">
        <f t="shared" si="20"/>
        <v>0</v>
      </c>
      <c r="N83" s="144" t="str">
        <f>VLOOKUP(VLOOKUP(E83,BDD!$A$2:$P$428,15,FALSE),Suppl!$D$64:$E$68,2,FALSE)</f>
        <v>Non renseigné</v>
      </c>
      <c r="O83" s="629"/>
      <c r="P83" s="629"/>
      <c r="Q83" s="629"/>
      <c r="R83" s="629"/>
      <c r="S83" s="627">
        <f>IF(N83=Suppl!$E$65,0,IF(N83=Suppl!$E$66,1/2/(COUNTIFS($D:$D,D83,$N:$N,"Exigences"&amp;"*")+COUNTIFS($D:$D,D83,$N:$N,"Non"&amp;"*")),IF(N83=Suppl!$E$67,1/(COUNTIFS($D:$D,D83,$N:$N,"Exigences"&amp;"*")+COUNTIFS($D:$D,D83,$N:$N,"Non"&amp;"*")),0)))</f>
        <v>0</v>
      </c>
      <c r="T83" s="627"/>
      <c r="U83" s="627"/>
      <c r="V83" s="628"/>
      <c r="W83" s="356">
        <f>IFERROR(IF(N83=Suppl!$E$65,0,IF(N83=Suppl!$E$66,1/2/(COUNTIFS($N:$N,"Exigences"&amp;"*")+COUNTIFS($N:$N,"Non"&amp;"*")),IF(N83=Suppl!$E$67,1/(COUNTIFS($N:$N,"Exigences"&amp;"*")+COUNTIFS($N:$N,"Non"&amp;"*")),0))),0)</f>
        <v>0</v>
      </c>
      <c r="X83" s="30"/>
      <c r="Y83" s="30"/>
      <c r="Z83" s="30"/>
      <c r="AA83" s="30"/>
      <c r="AB83" s="30"/>
      <c r="AC83" s="30"/>
      <c r="AD83" s="30"/>
      <c r="AE83" s="30"/>
      <c r="AF83" s="30"/>
      <c r="AG83" s="30"/>
      <c r="AH83" s="267"/>
      <c r="AI83" s="30"/>
    </row>
    <row r="84" spans="1:35" ht="41.4" x14ac:dyDescent="0.3">
      <c r="A84" s="267"/>
      <c r="B84" s="30"/>
      <c r="C84" s="30" t="str">
        <f t="shared" si="0"/>
        <v>3</v>
      </c>
      <c r="D84" s="32">
        <f t="shared" si="18"/>
        <v>8</v>
      </c>
      <c r="E84" s="32" t="str">
        <f t="shared" si="19"/>
        <v>386</v>
      </c>
      <c r="F84" s="147" t="s">
        <v>34</v>
      </c>
      <c r="G84" s="148" t="str">
        <f>VLOOKUP(E84,BDD!$A$2:$N$567,MATCH(G$24,BDD!$A$1:$P$1,0),FALSE)</f>
        <v>La DSI a défini un plan de contrôle de la conformité structuré, basé sur l’analyse des risques numériques et prenant en compte les dysfonctionnements potentiels. Ce plan inclut notamment la gestion des tierces parties (par exemple, les fournisseurs de cloud).</v>
      </c>
      <c r="H84" s="149" t="str">
        <f>IF(VLOOKUP($E84,BDD!$A$2:$N$567,MATCH($H$23,BDD!$A$1:$P$1,0),FALSE)=H$24,'V3_ Risques&amp;Conformité'!H$24,"")</f>
        <v/>
      </c>
      <c r="I84" s="150" t="str">
        <f>IF(VLOOKUP($E84,BDD!$A$2:$N$567,MATCH($H$23,BDD!$A$1:$P$1,0),FALSE)=I$24,'V3_ Risques&amp;Conformité'!I$24,"")</f>
        <v/>
      </c>
      <c r="J84" s="150" t="str">
        <f>IF(VLOOKUP($E84,BDD!$A$2:$N$567,MATCH($H$23,BDD!$A$1:$P$1,0),FALSE)=J$24,'V3_ Risques&amp;Conformité'!J$24,"")</f>
        <v/>
      </c>
      <c r="K84" s="150" t="str">
        <f>IF(VLOOKUP($E84,BDD!$A$2:$N$567,MATCH($H$23,BDD!$A$1:$P$1,0),FALSE)=K$24,'V3_ Risques&amp;Conformité'!K$24,"")</f>
        <v>N4</v>
      </c>
      <c r="L84" s="151" t="str">
        <f>IF(VLOOKUP($E84,BDD!$A$2:$N$567,MATCH($H$23,BDD!$A$1:$P$1,0),FALSE)=L$24,'V3_ Risques&amp;Conformité'!L$24,"")</f>
        <v/>
      </c>
      <c r="M84" s="63">
        <f t="shared" si="20"/>
        <v>0</v>
      </c>
      <c r="N84" s="148" t="str">
        <f>VLOOKUP(VLOOKUP(E84,BDD!$A$2:$P$428,15,FALSE),Suppl!$D$64:$E$68,2,FALSE)</f>
        <v>Non renseigné</v>
      </c>
      <c r="O84" s="629"/>
      <c r="P84" s="629"/>
      <c r="Q84" s="629"/>
      <c r="R84" s="629"/>
      <c r="S84" s="627">
        <f>IF(N84=Suppl!$E$65,0,IF(N84=Suppl!$E$66,1/2/(COUNTIFS($D:$D,D84,$N:$N,"Exigences"&amp;"*")+COUNTIFS($D:$D,D84,$N:$N,"Non"&amp;"*")),IF(N84=Suppl!$E$67,1/(COUNTIFS($D:$D,D84,$N:$N,"Exigences"&amp;"*")+COUNTIFS($D:$D,D84,$N:$N,"Non"&amp;"*")),0)))</f>
        <v>0</v>
      </c>
      <c r="T84" s="627"/>
      <c r="U84" s="627"/>
      <c r="V84" s="628"/>
      <c r="W84" s="356">
        <f>IFERROR(IF(N84=Suppl!$E$65,0,IF(N84=Suppl!$E$66,1/2/(COUNTIFS($N:$N,"Exigences"&amp;"*")+COUNTIFS($N:$N,"Non"&amp;"*")),IF(N84=Suppl!$E$67,1/(COUNTIFS($N:$N,"Exigences"&amp;"*")+COUNTIFS($N:$N,"Non"&amp;"*")),0))),0)</f>
        <v>0</v>
      </c>
      <c r="X84" s="30"/>
      <c r="Y84" s="30"/>
      <c r="Z84" s="30"/>
      <c r="AA84" s="30"/>
      <c r="AB84" s="30"/>
      <c r="AC84" s="30"/>
      <c r="AD84" s="30"/>
      <c r="AE84" s="30"/>
      <c r="AF84" s="30"/>
      <c r="AG84" s="30"/>
      <c r="AH84" s="267"/>
      <c r="AI84" s="30"/>
    </row>
    <row r="85" spans="1:35" ht="27.6" x14ac:dyDescent="0.3">
      <c r="A85" s="267"/>
      <c r="B85" s="30"/>
      <c r="C85" s="30" t="str">
        <f t="shared" si="0"/>
        <v>3</v>
      </c>
      <c r="D85" s="32">
        <f t="shared" si="18"/>
        <v>8</v>
      </c>
      <c r="E85" s="32" t="str">
        <f t="shared" si="19"/>
        <v>387</v>
      </c>
      <c r="F85" s="143" t="s">
        <v>36</v>
      </c>
      <c r="G85" s="144" t="str">
        <f>VLOOKUP(E85,BDD!$A$2:$N$567,MATCH(G$24,BDD!$A$1:$P$1,0),FALSE)</f>
        <v>Le dispositif de conformité de la DSI assure une communication régulière sur ses risques et valide les reportings réglementaires avant diffusion interne et externe.</v>
      </c>
      <c r="H85" s="149" t="str">
        <f>IF(VLOOKUP($E85,BDD!$A$2:$N$567,MATCH($H$23,BDD!$A$1:$P$1,0),FALSE)=H$24,'V3_ Risques&amp;Conformité'!H$24,"")</f>
        <v/>
      </c>
      <c r="I85" s="150" t="str">
        <f>IF(VLOOKUP($E85,BDD!$A$2:$N$567,MATCH($H$23,BDD!$A$1:$P$1,0),FALSE)=I$24,'V3_ Risques&amp;Conformité'!I$24,"")</f>
        <v/>
      </c>
      <c r="J85" s="150" t="str">
        <f>IF(VLOOKUP($E85,BDD!$A$2:$N$567,MATCH($H$23,BDD!$A$1:$P$1,0),FALSE)=J$24,'V3_ Risques&amp;Conformité'!J$24,"")</f>
        <v>N3</v>
      </c>
      <c r="K85" s="150" t="str">
        <f>IF(VLOOKUP($E85,BDD!$A$2:$N$567,MATCH($H$23,BDD!$A$1:$P$1,0),FALSE)=K$24,'V3_ Risques&amp;Conformité'!K$24,"")</f>
        <v/>
      </c>
      <c r="L85" s="151" t="str">
        <f>IF(VLOOKUP($E85,BDD!$A$2:$N$567,MATCH($H$23,BDD!$A$1:$P$1,0),FALSE)=L$24,'V3_ Risques&amp;Conformité'!L$24,"")</f>
        <v/>
      </c>
      <c r="M85" s="63">
        <f t="shared" si="20"/>
        <v>0</v>
      </c>
      <c r="N85" s="144" t="str">
        <f>VLOOKUP(VLOOKUP(E85,BDD!$A$2:$P$428,15,FALSE),Suppl!$D$64:$E$68,2,FALSE)</f>
        <v>Non renseigné</v>
      </c>
      <c r="O85" s="636"/>
      <c r="P85" s="636"/>
      <c r="Q85" s="636"/>
      <c r="R85" s="636"/>
      <c r="S85" s="624">
        <f>IF(N85=Suppl!$E$65,0,IF(N85=Suppl!$E$66,1/2/(COUNTIFS($D:$D,D85,$N:$N,"Exigences"&amp;"*")+COUNTIFS($D:$D,D85,$N:$N,"Non"&amp;"*")),IF(N85=Suppl!$E$67,1/(COUNTIFS($D:$D,D85,$N:$N,"Exigences"&amp;"*")+COUNTIFS($D:$D,D85,$N:$N,"Non"&amp;"*")),0)))</f>
        <v>0</v>
      </c>
      <c r="T85" s="624"/>
      <c r="U85" s="624"/>
      <c r="V85" s="625"/>
      <c r="W85" s="356">
        <f>IFERROR(IF(N85=Suppl!$E$65,0,IF(N85=Suppl!$E$66,1/2/(COUNTIFS($N:$N,"Exigences"&amp;"*")+COUNTIFS($N:$N,"Non"&amp;"*")),IF(N85=Suppl!$E$67,1/(COUNTIFS($N:$N,"Exigences"&amp;"*")+COUNTIFS($N:$N,"Non"&amp;"*")),0))),0)</f>
        <v>0</v>
      </c>
      <c r="X85" s="30"/>
      <c r="Y85" s="30"/>
      <c r="Z85" s="30"/>
      <c r="AA85" s="30"/>
      <c r="AB85" s="30"/>
      <c r="AC85" s="30"/>
      <c r="AD85" s="30"/>
      <c r="AE85" s="30"/>
      <c r="AF85" s="30"/>
      <c r="AG85" s="30"/>
      <c r="AH85" s="267"/>
      <c r="AI85" s="30"/>
    </row>
    <row r="86" spans="1:35" ht="30" customHeight="1" x14ac:dyDescent="0.3">
      <c r="A86" s="267"/>
      <c r="B86" s="30"/>
      <c r="C86" s="30"/>
      <c r="D86" s="32"/>
      <c r="E86" s="32"/>
      <c r="F86" s="30"/>
      <c r="G86" s="32"/>
      <c r="H86" s="32"/>
      <c r="I86" s="32"/>
      <c r="J86" s="32"/>
      <c r="K86" s="32"/>
      <c r="L86" s="32"/>
      <c r="M86" s="32"/>
      <c r="N86" s="30"/>
      <c r="O86" s="30"/>
      <c r="P86" s="30"/>
      <c r="Q86" s="30"/>
      <c r="R86" s="30"/>
      <c r="S86" s="30"/>
      <c r="T86" s="30"/>
      <c r="U86" s="30"/>
      <c r="V86" s="30"/>
      <c r="W86" s="33"/>
      <c r="X86" s="30"/>
      <c r="Y86" s="30"/>
      <c r="Z86" s="30"/>
      <c r="AA86" s="30"/>
      <c r="AB86" s="30"/>
      <c r="AC86" s="30"/>
      <c r="AD86" s="30"/>
      <c r="AE86" s="30"/>
      <c r="AF86" s="30"/>
      <c r="AG86" s="30"/>
      <c r="AH86" s="267"/>
      <c r="AI86" s="30"/>
    </row>
    <row r="87" spans="1:35" ht="30" customHeight="1" x14ac:dyDescent="0.3">
      <c r="A87" s="267" t="s">
        <v>164</v>
      </c>
      <c r="B87" s="267"/>
      <c r="C87" s="267"/>
      <c r="D87" s="267"/>
      <c r="E87" s="267"/>
      <c r="F87" s="267"/>
      <c r="G87" s="292"/>
      <c r="H87" s="292"/>
      <c r="I87" s="292"/>
      <c r="J87" s="292"/>
      <c r="K87" s="292"/>
      <c r="L87" s="292"/>
      <c r="M87" s="292"/>
      <c r="N87" s="267"/>
      <c r="O87" s="267"/>
      <c r="P87" s="267"/>
      <c r="Q87" s="267"/>
      <c r="R87" s="267"/>
      <c r="S87" s="267"/>
      <c r="T87" s="267"/>
      <c r="U87" s="267"/>
      <c r="V87" s="267"/>
      <c r="W87" s="306"/>
      <c r="X87" s="267"/>
      <c r="Y87" s="267"/>
      <c r="Z87" s="267"/>
      <c r="AA87" s="267"/>
      <c r="AB87" s="267"/>
      <c r="AC87" s="267"/>
      <c r="AD87" s="267"/>
      <c r="AE87" s="267"/>
      <c r="AF87" s="267"/>
      <c r="AG87" s="267"/>
      <c r="AH87" s="267" t="s">
        <v>164</v>
      </c>
      <c r="AI87" s="30"/>
    </row>
  </sheetData>
  <sheetProtection algorithmName="SHA-512" hashValue="5kIx9zyP4AuS7pcdE3dLDOSCZY/9v4BrV3w1uCWLGxj6YBvtNpRtL44vM9NhFXy+oi1TH9nxTUAksaLfohPluA==" saltValue="E8DjxP/KG/KT+U9yqNRV/Q==" spinCount="100000" sheet="1" scenarios="1"/>
  <protectedRanges>
    <protectedRange algorithmName="SHA-512" hashValue="ovKORbp8VisJou+piSgFzTrSreLgS7IlmVwKbGHTROFHm7MY/Vp4PR9gLc4QgnZhS9DlyLsOu0XuFGM/3H2Vkw==" saltValue="aAIEI6H5DdJy0/e8k9R5gA==" spinCount="100000" sqref="O20:R20" name="Plage1_4"/>
  </protectedRanges>
  <mergeCells count="117">
    <mergeCell ref="AD6:AD9"/>
    <mergeCell ref="O85:R85"/>
    <mergeCell ref="S85:V85"/>
    <mergeCell ref="O82:R82"/>
    <mergeCell ref="S82:V82"/>
    <mergeCell ref="O83:R83"/>
    <mergeCell ref="S83:V83"/>
    <mergeCell ref="O84:R84"/>
    <mergeCell ref="S84:V84"/>
    <mergeCell ref="O79:R79"/>
    <mergeCell ref="S79:V79"/>
    <mergeCell ref="O80:R80"/>
    <mergeCell ref="S80:V80"/>
    <mergeCell ref="O81:R81"/>
    <mergeCell ref="S81:V81"/>
    <mergeCell ref="O77:R78"/>
    <mergeCell ref="S77:V78"/>
    <mergeCell ref="O56:R57"/>
    <mergeCell ref="S56:V57"/>
    <mergeCell ref="O58:R58"/>
    <mergeCell ref="S58:V58"/>
    <mergeCell ref="O60:R60"/>
    <mergeCell ref="S60:V60"/>
    <mergeCell ref="O68:R68"/>
    <mergeCell ref="S68:V68"/>
    <mergeCell ref="O75:R75"/>
    <mergeCell ref="S75:V75"/>
    <mergeCell ref="O76:R76"/>
    <mergeCell ref="S76:V76"/>
    <mergeCell ref="O73:R73"/>
    <mergeCell ref="S73:V73"/>
    <mergeCell ref="S66:V66"/>
    <mergeCell ref="O67:R67"/>
    <mergeCell ref="S67:V67"/>
    <mergeCell ref="O74:R74"/>
    <mergeCell ref="S72:V72"/>
    <mergeCell ref="O22:R22"/>
    <mergeCell ref="O25:R26"/>
    <mergeCell ref="O61:R61"/>
    <mergeCell ref="S61:V61"/>
    <mergeCell ref="O62:R62"/>
    <mergeCell ref="S62:V62"/>
    <mergeCell ref="S45:V45"/>
    <mergeCell ref="O46:R46"/>
    <mergeCell ref="S46:V46"/>
    <mergeCell ref="O28:R28"/>
    <mergeCell ref="S28:V28"/>
    <mergeCell ref="O29:R29"/>
    <mergeCell ref="S29:V29"/>
    <mergeCell ref="O36:R36"/>
    <mergeCell ref="S36:V36"/>
    <mergeCell ref="S37:V37"/>
    <mergeCell ref="O38:R38"/>
    <mergeCell ref="O24:R24"/>
    <mergeCell ref="S24:V24"/>
    <mergeCell ref="O27:R27"/>
    <mergeCell ref="S27:V27"/>
    <mergeCell ref="S38:V38"/>
    <mergeCell ref="O32:R32"/>
    <mergeCell ref="S32:V32"/>
    <mergeCell ref="O33:R33"/>
    <mergeCell ref="S33:V33"/>
    <mergeCell ref="O34:R35"/>
    <mergeCell ref="S34:V35"/>
    <mergeCell ref="O37:R37"/>
    <mergeCell ref="O47:R47"/>
    <mergeCell ref="S47:V47"/>
    <mergeCell ref="O59:R59"/>
    <mergeCell ref="S59:V59"/>
    <mergeCell ref="O50:R50"/>
    <mergeCell ref="O40:R40"/>
    <mergeCell ref="S40:V40"/>
    <mergeCell ref="O41:R41"/>
    <mergeCell ref="S41:V41"/>
    <mergeCell ref="O48:R49"/>
    <mergeCell ref="S48:V49"/>
    <mergeCell ref="O53:R53"/>
    <mergeCell ref="S53:V53"/>
    <mergeCell ref="O45:R45"/>
    <mergeCell ref="O52:R52"/>
    <mergeCell ref="S52:V52"/>
    <mergeCell ref="S51:V51"/>
    <mergeCell ref="O42:R42"/>
    <mergeCell ref="S42:V42"/>
    <mergeCell ref="S54:V54"/>
    <mergeCell ref="O55:R55"/>
    <mergeCell ref="S55:V55"/>
    <mergeCell ref="S50:V50"/>
    <mergeCell ref="O51:R51"/>
    <mergeCell ref="O43:R44"/>
    <mergeCell ref="S43:V44"/>
    <mergeCell ref="O39:R39"/>
    <mergeCell ref="S39:V39"/>
    <mergeCell ref="G26:N26"/>
    <mergeCell ref="G35:N35"/>
    <mergeCell ref="G44:N44"/>
    <mergeCell ref="G64:N64"/>
    <mergeCell ref="G78:N78"/>
    <mergeCell ref="O20:R20"/>
    <mergeCell ref="O21:R21"/>
    <mergeCell ref="S25:V26"/>
    <mergeCell ref="S74:V74"/>
    <mergeCell ref="O69:R69"/>
    <mergeCell ref="S69:V69"/>
    <mergeCell ref="O66:R66"/>
    <mergeCell ref="O63:R64"/>
    <mergeCell ref="S63:V64"/>
    <mergeCell ref="O65:R65"/>
    <mergeCell ref="S65:V65"/>
    <mergeCell ref="O30:R30"/>
    <mergeCell ref="S30:V30"/>
    <mergeCell ref="O31:R31"/>
    <mergeCell ref="S31:V31"/>
    <mergeCell ref="O70:R71"/>
    <mergeCell ref="S70:V71"/>
    <mergeCell ref="O72:R72"/>
    <mergeCell ref="O54:R54"/>
  </mergeCells>
  <conditionalFormatting sqref="G5:G11 G13:G20">
    <cfRule type="expression" dxfId="133" priority="22">
      <formula>$G5&lt;&gt;""</formula>
    </cfRule>
  </conditionalFormatting>
  <conditionalFormatting sqref="H27:L34 H36:L43 H45:L63 H65:L77 H79:L85">
    <cfRule type="expression" dxfId="132" priority="26">
      <formula>AND($N27="Non évalué",H27&lt;&gt;"")</formula>
    </cfRule>
    <cfRule type="expression" dxfId="131" priority="27">
      <formula>AND($N27="Exigences non respectées",H27&lt;&gt;"")</formula>
    </cfRule>
    <cfRule type="expression" dxfId="130" priority="28">
      <formula>AND($N27="Exigences partiellement respectées",H27&lt;&gt;"")</formula>
    </cfRule>
    <cfRule type="expression" dxfId="129" priority="29">
      <formula>AND($N27="Exigences respectées",H27&lt;&gt;"")</formula>
    </cfRule>
  </conditionalFormatting>
  <conditionalFormatting sqref="O7:U11">
    <cfRule type="cellIs" dxfId="128" priority="7" operator="equal">
      <formula>3</formula>
    </cfRule>
    <cfRule type="cellIs" dxfId="127" priority="8" operator="equal">
      <formula>2</formula>
    </cfRule>
    <cfRule type="cellIs" dxfId="126" priority="9" operator="equal">
      <formula>1</formula>
    </cfRule>
  </conditionalFormatting>
  <conditionalFormatting sqref="O12:U14">
    <cfRule type="cellIs" dxfId="125" priority="4" operator="equal">
      <formula>3</formula>
    </cfRule>
    <cfRule type="cellIs" dxfId="124" priority="5" operator="equal">
      <formula>2</formula>
    </cfRule>
    <cfRule type="cellIs" dxfId="123" priority="6" operator="equal">
      <formula>1</formula>
    </cfRule>
  </conditionalFormatting>
  <conditionalFormatting sqref="G21:G22">
    <cfRule type="expression" dxfId="122" priority="3">
      <formula>$G21&lt;&gt;""</formula>
    </cfRule>
  </conditionalFormatting>
  <conditionalFormatting sqref="O20:R20">
    <cfRule type="cellIs" dxfId="121" priority="1" operator="notEqual">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36B50B-89E1-47B8-A966-6AF996CD0B71}">
          <x14:formula1>
            <xm:f>Suppl!$E$65:$E$69</xm:f>
          </x14:formula1>
          <xm:sqref>W17 W7:W14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78735-34B5-47C4-94C9-C93A658DA004}">
  <sheetPr codeName="Feuil42">
    <tabColor rgb="FF0079A4"/>
  </sheetPr>
  <dimension ref="A1:P118"/>
  <sheetViews>
    <sheetView showGridLines="0" showRowColHeaders="0" zoomScale="66" zoomScaleNormal="111" workbookViewId="0">
      <selection activeCell="K13" sqref="K13"/>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68"/>
      <c r="B1" s="261" t="s">
        <v>560</v>
      </c>
      <c r="C1" s="262"/>
      <c r="D1" s="262"/>
      <c r="E1" s="262"/>
      <c r="F1" s="262"/>
      <c r="G1" s="268"/>
      <c r="H1" s="266"/>
      <c r="I1" s="266"/>
      <c r="J1" s="295" t="str">
        <f>VLOOKUP($E$12,BDD!$A$2:$N$567,3,FALSE)</f>
        <v>RSE</v>
      </c>
      <c r="K1" s="266"/>
      <c r="L1" s="268"/>
      <c r="M1" s="268"/>
      <c r="N1" s="268"/>
      <c r="O1" s="268"/>
      <c r="P1" s="268"/>
    </row>
    <row r="2" spans="1:16" ht="45" customHeight="1" x14ac:dyDescent="0.3">
      <c r="A2" s="268"/>
      <c r="B2" s="268"/>
      <c r="C2" s="268"/>
      <c r="D2" s="268"/>
      <c r="E2" s="268"/>
      <c r="F2" s="268"/>
      <c r="G2" s="268"/>
      <c r="H2" s="268"/>
      <c r="I2" s="268"/>
      <c r="J2" s="270" t="str">
        <f>VLOOKUP($E$12,BDD!$A$2:$N$567,4,FALSE)</f>
        <v>Soutenir les enjeux de responsabilité sociétale de l'organisation et incarner ses valeurs éthiques et sociétales.</v>
      </c>
      <c r="K2" s="268"/>
      <c r="L2" s="268"/>
      <c r="M2" s="268"/>
      <c r="N2" s="268"/>
      <c r="O2" s="268"/>
      <c r="P2" s="268"/>
    </row>
    <row r="3" spans="1:16" ht="18" x14ac:dyDescent="0.35">
      <c r="A3" s="268"/>
      <c r="B3" s="68"/>
      <c r="C3" s="68"/>
      <c r="D3" s="68"/>
      <c r="E3" s="68"/>
      <c r="F3" s="68"/>
      <c r="G3" s="69" t="str">
        <f>IF(Suppl!B64=2,"Le vecteur n'est pas utilisé","")</f>
        <v/>
      </c>
      <c r="H3" s="69"/>
      <c r="I3" s="69"/>
      <c r="J3" s="69"/>
      <c r="K3" s="69"/>
      <c r="L3" s="70"/>
      <c r="M3" s="68"/>
      <c r="N3" s="68"/>
      <c r="O3" s="68"/>
      <c r="P3" s="268"/>
    </row>
    <row r="4" spans="1:16" x14ac:dyDescent="0.3">
      <c r="A4" s="268"/>
      <c r="B4" s="68"/>
      <c r="C4" s="68"/>
      <c r="D4" s="68"/>
      <c r="E4" s="68"/>
      <c r="F4" s="68"/>
      <c r="G4" s="68"/>
      <c r="H4" s="68"/>
      <c r="I4" s="68"/>
      <c r="J4" s="68"/>
      <c r="K4" s="68"/>
      <c r="L4" s="68"/>
      <c r="M4" s="68"/>
      <c r="N4" s="68"/>
      <c r="O4" s="68"/>
      <c r="P4" s="268"/>
    </row>
    <row r="5" spans="1:16" ht="25.8" x14ac:dyDescent="0.5">
      <c r="A5" s="296"/>
      <c r="B5" s="74"/>
      <c r="C5" s="68" t="str">
        <f>IF(LEFT(RIGHT($B$1,2),1)=" ",RIGHT($B$1,1),RIGHT($B$1,2))</f>
        <v>4</v>
      </c>
      <c r="D5" s="68">
        <f>IF(LEFT(F5,14)="Bonne pratique",D4+1,D4)</f>
        <v>1</v>
      </c>
      <c r="E5" s="71"/>
      <c r="F5" s="208" t="s">
        <v>499</v>
      </c>
      <c r="G5" s="75"/>
      <c r="H5" s="205"/>
      <c r="I5" s="73"/>
      <c r="J5" s="73" t="str">
        <f>VLOOKUP(E12,BDD!$A$2:$N$567,6,FALSE)</f>
        <v>Gouvernance</v>
      </c>
      <c r="K5" s="72"/>
      <c r="L5" s="75"/>
      <c r="M5" s="75"/>
      <c r="N5" s="75"/>
      <c r="O5" s="74"/>
      <c r="P5" s="296"/>
    </row>
    <row r="6" spans="1:16" x14ac:dyDescent="0.3">
      <c r="A6" s="268"/>
      <c r="B6" s="68"/>
      <c r="C6" s="68" t="str">
        <f t="shared" ref="C6:C69" si="0">IF(LEFT(RIGHT($B$1,2),1)=" ",RIGHT($B$1,1),RIGHT($B$1,2))</f>
        <v>4</v>
      </c>
      <c r="D6" s="68">
        <f>IF(LEFT(F6,14)="Bonne pratique",D5+1,D5)</f>
        <v>1</v>
      </c>
      <c r="E6" s="68"/>
      <c r="F6" s="68"/>
      <c r="G6" s="68"/>
      <c r="H6" s="68"/>
      <c r="I6" s="68"/>
      <c r="J6" s="68"/>
      <c r="K6" s="68"/>
      <c r="L6" s="68"/>
      <c r="M6" s="68"/>
      <c r="N6" s="68"/>
      <c r="O6" s="68"/>
      <c r="P6" s="268"/>
    </row>
    <row r="7" spans="1:16" ht="23.4" customHeight="1" x14ac:dyDescent="0.35">
      <c r="A7" s="297"/>
      <c r="B7" s="76"/>
      <c r="C7" s="68" t="str">
        <f t="shared" si="0"/>
        <v>4</v>
      </c>
      <c r="D7" s="68">
        <f t="shared" ref="D7:D67" si="1">IF(LEFT(F7,14)="Bonne pratique",D6+1,D6)</f>
        <v>1</v>
      </c>
      <c r="E7" s="76"/>
      <c r="F7" s="76"/>
      <c r="G7" s="76"/>
      <c r="H7" s="76"/>
      <c r="I7" s="77"/>
      <c r="J7" s="207" t="str">
        <f>IFERROR(_xlfn.TEXTBEFORE(VLOOKUP(E12,BDD!$A$2:$N$567,7,FALSE)," ",26),VLOOKUP(E12,BDD!$A$2:$N$567,7,FALSE))</f>
        <v xml:space="preserve">Une gouvernance RSE incluant les sujets numériques est mise en place au niveau de l'organisation. </v>
      </c>
      <c r="K7" s="77"/>
      <c r="L7" s="76"/>
      <c r="M7" s="76"/>
      <c r="N7" s="76"/>
      <c r="O7" s="76"/>
      <c r="P7" s="297"/>
    </row>
    <row r="8" spans="1:16" ht="18" x14ac:dyDescent="0.35">
      <c r="A8" s="268"/>
      <c r="B8" s="68"/>
      <c r="C8" s="68" t="str">
        <f t="shared" si="0"/>
        <v>4</v>
      </c>
      <c r="D8" s="68">
        <f t="shared" si="1"/>
        <v>1</v>
      </c>
      <c r="E8" s="68"/>
      <c r="F8" s="68"/>
      <c r="G8" s="68"/>
      <c r="H8" s="68"/>
      <c r="I8" s="68"/>
      <c r="J8" s="207" t="str">
        <f>IFERROR(_xlfn.TEXTAFTER(VLOOKUP(E12,BDD!$A$2:$N$567,7,FALSE)," ",26),"")</f>
        <v/>
      </c>
      <c r="K8" s="68"/>
      <c r="L8" s="68"/>
      <c r="M8" s="68"/>
      <c r="N8" s="68"/>
      <c r="O8" s="68"/>
      <c r="P8" s="268"/>
    </row>
    <row r="9" spans="1:16" x14ac:dyDescent="0.3">
      <c r="A9" s="268"/>
      <c r="B9" s="68"/>
      <c r="C9" s="68" t="str">
        <f t="shared" si="0"/>
        <v>4</v>
      </c>
      <c r="D9" s="68">
        <f t="shared" si="1"/>
        <v>1</v>
      </c>
      <c r="E9" s="68"/>
      <c r="F9" s="68"/>
      <c r="G9" s="78"/>
      <c r="H9" s="78"/>
      <c r="I9" s="78"/>
      <c r="J9" s="78"/>
      <c r="K9" s="78"/>
      <c r="L9" s="78"/>
      <c r="M9" s="618" t="s">
        <v>92</v>
      </c>
      <c r="N9" s="618"/>
      <c r="O9" s="68"/>
      <c r="P9" s="268"/>
    </row>
    <row r="10" spans="1:16" ht="33" x14ac:dyDescent="0.3">
      <c r="A10" s="268"/>
      <c r="B10" s="68"/>
      <c r="C10" s="68" t="str">
        <f t="shared" si="0"/>
        <v>4</v>
      </c>
      <c r="D10" s="68">
        <f t="shared" si="1"/>
        <v>1</v>
      </c>
      <c r="E10" s="68"/>
      <c r="F10" s="79"/>
      <c r="G10" s="80" t="s">
        <v>561</v>
      </c>
      <c r="H10" s="80" t="s">
        <v>82</v>
      </c>
      <c r="I10" s="126" t="s">
        <v>21</v>
      </c>
      <c r="J10" s="80" t="s">
        <v>84</v>
      </c>
      <c r="K10" s="80" t="s">
        <v>549</v>
      </c>
      <c r="L10" s="78"/>
      <c r="M10" s="81" t="s">
        <v>86</v>
      </c>
      <c r="N10" s="82" t="s">
        <v>87</v>
      </c>
      <c r="O10" s="68"/>
      <c r="P10" s="268"/>
    </row>
    <row r="11" spans="1:16" x14ac:dyDescent="0.3">
      <c r="A11" s="268"/>
      <c r="B11" s="68"/>
      <c r="C11" s="68" t="str">
        <f t="shared" si="0"/>
        <v>4</v>
      </c>
      <c r="D11" s="68">
        <f t="shared" si="1"/>
        <v>1</v>
      </c>
      <c r="E11" s="68"/>
      <c r="F11" s="68"/>
      <c r="G11" s="83"/>
      <c r="H11" s="83"/>
      <c r="I11" s="83"/>
      <c r="J11" s="68"/>
      <c r="K11" s="83"/>
      <c r="L11" s="68"/>
      <c r="M11" s="68"/>
      <c r="N11" s="68"/>
      <c r="O11" s="68"/>
      <c r="P11" s="268"/>
    </row>
    <row r="12" spans="1:16" ht="130.05000000000001" customHeight="1" x14ac:dyDescent="0.3">
      <c r="A12" s="268"/>
      <c r="B12" s="68"/>
      <c r="C12" s="68" t="str">
        <f t="shared" si="0"/>
        <v>4</v>
      </c>
      <c r="D12" s="68">
        <f t="shared" si="1"/>
        <v>1</v>
      </c>
      <c r="E12" s="84" t="str">
        <f>C12&amp;D12&amp;RIGHT(F12,1)</f>
        <v>411</v>
      </c>
      <c r="F12" s="66" t="s">
        <v>27</v>
      </c>
      <c r="G12" s="67" t="str">
        <f>IFERROR(IF(VLOOKUP($E12,BDD!$A$1:$S$567,MATCH(G$10,BDD!$A$1:$P$1,0),FALSE)=0,"",VLOOKUP($E12,BDD!$A$1:$S$567,MATCH(G$10,BDD!$A$1:$P$1,0),FALSE)),"")</f>
        <v>La DSI bénéficie du sponsorship de la direction générale de l'organisation en matière de numérique responsable.</v>
      </c>
      <c r="H12" s="85" t="str">
        <f>IF(VLOOKUP(E12,BDD!$A$1:$S$567,15,FALSE)=0,"Critère non évalué","")</f>
        <v>Critère non évalué</v>
      </c>
      <c r="I12" s="66" t="str">
        <f>IFERROR(IF(VLOOKUP($E12,BDD!$A$1:$S$567,MATCH(I$10,BDD!$A$1:$P$1,0),FALSE)=0,"",VLOOKUP($E12,BDD!$A$1:$S$567,MATCH(I$10,BDD!$A$1:$P$1,0),FALSE)),"")</f>
        <v>N2</v>
      </c>
      <c r="J12" s="86"/>
      <c r="K12" s="67" t="str">
        <f>IFERROR(IF(VLOOKUP($E12,BDD!$A$1:$S$567,MATCH(K$10,BDD!$A$1:$P$1,0),FALSE)=0,"",VLOOKUP($E12,BDD!$A$1:$S$567,MATCH(K$10,BDD!$A$1:$P$1,0),FALSE)),"")</f>
        <v xml:space="preserve"> </v>
      </c>
      <c r="L12" s="68"/>
      <c r="M12" s="87"/>
      <c r="N12" s="87"/>
      <c r="O12" s="68"/>
      <c r="P12" s="268"/>
    </row>
    <row r="13" spans="1:16" ht="130.05000000000001" customHeight="1" x14ac:dyDescent="0.3">
      <c r="A13" s="268"/>
      <c r="B13" s="68"/>
      <c r="C13" s="68" t="str">
        <f t="shared" si="0"/>
        <v>4</v>
      </c>
      <c r="D13" s="68">
        <f t="shared" si="1"/>
        <v>1</v>
      </c>
      <c r="E13" s="84" t="str">
        <f t="shared" ref="E13:E82" si="2">C13&amp;D13&amp;RIGHT(F13,1)</f>
        <v>412</v>
      </c>
      <c r="F13" s="94" t="s">
        <v>28</v>
      </c>
      <c r="G13" s="65" t="str">
        <f>IFERROR(IF(VLOOKUP($E13,BDD!$A$1:$S$567,MATCH(G$10,BDD!$A$1:$P$1,0),FALSE)=0,"",VLOOKUP($E13,BDD!$A$1:$S$567,MATCH(G$10,BDD!$A$1:$P$1,0),FALSE)),"")</f>
        <v>La stratégie numérique intègre la politique RSE de l'organisation et la met en œuvre.</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c>
      <c r="L13" s="68"/>
      <c r="M13" s="90"/>
      <c r="N13" s="90"/>
      <c r="O13" s="68"/>
      <c r="P13" s="268"/>
    </row>
    <row r="14" spans="1:16" ht="130.05000000000001" customHeight="1" x14ac:dyDescent="0.3">
      <c r="A14" s="268"/>
      <c r="B14" s="68"/>
      <c r="C14" s="68" t="str">
        <f t="shared" si="0"/>
        <v>4</v>
      </c>
      <c r="D14" s="68">
        <f t="shared" si="1"/>
        <v>1</v>
      </c>
      <c r="E14" s="84" t="str">
        <f t="shared" si="2"/>
        <v>413</v>
      </c>
      <c r="F14" s="66" t="s">
        <v>30</v>
      </c>
      <c r="G14" s="67" t="str">
        <f>IFERROR(IF(VLOOKUP($E14,BDD!$A$1:$S$567,MATCH(G$10,BDD!$A$1:$P$1,0),FALSE)=0,"",VLOOKUP($E14,BDD!$A$1:$S$567,MATCH(G$10,BDD!$A$1:$P$1,0),FALSE)),"")</f>
        <v>L'organisation a mis en place une instance dédiée, chargée du pilotage du numérique responsable et des initiatives liées à la conformité.</v>
      </c>
      <c r="H14" s="85" t="str">
        <f>IF(VLOOKUP(E14,BDD!$A$1:$S$567,15,FALSE)=0,"Critère non évalué","")</f>
        <v>Critère non évalué</v>
      </c>
      <c r="I14" s="66" t="str">
        <f>IFERROR(IF(VLOOKUP($E14,BDD!$A$1:$S$567,MATCH(I$10,BDD!$A$1:$P$1,0),FALSE)=0,"",VLOOKUP($E14,BDD!$A$1:$S$567,MATCH(I$10,BDD!$A$1:$P$1,0),FALSE)),"")</f>
        <v>N1</v>
      </c>
      <c r="J14" s="86"/>
      <c r="K14" s="67" t="str">
        <f>IFERROR(IF(VLOOKUP($E14,BDD!$A$1:$S$567,MATCH(K$10,BDD!$A$1:$P$1,0),FALSE)=0,"",VLOOKUP($E14,BDD!$A$1:$S$567,MATCH(K$10,BDD!$A$1:$P$1,0),FALSE)),"")</f>
        <v/>
      </c>
      <c r="L14" s="68"/>
      <c r="M14" s="87"/>
      <c r="N14" s="87"/>
      <c r="O14" s="68"/>
      <c r="P14" s="268"/>
    </row>
    <row r="15" spans="1:16" ht="130.05000000000001" hidden="1" customHeight="1" x14ac:dyDescent="0.3">
      <c r="A15" s="268"/>
      <c r="B15" s="68"/>
      <c r="C15" s="68" t="str">
        <f t="shared" si="0"/>
        <v>4</v>
      </c>
      <c r="D15" s="68">
        <f t="shared" si="1"/>
        <v>1</v>
      </c>
      <c r="E15" s="84" t="str">
        <f t="shared" si="2"/>
        <v>414</v>
      </c>
      <c r="F15" s="64" t="s">
        <v>32</v>
      </c>
      <c r="G15" s="65" t="str">
        <f>IFERROR(IF(VLOOKUP($E15,BDD!$A$1:$S$567,MATCH(G$10,BDD!$A$1:$P$1,0),FALSE)=0,"",VLOOKUP($E15,BDD!$A$1:$S$567,MATCH(G$10,BDD!$A$1:$P$1,0),FALSE)),"")</f>
        <v/>
      </c>
      <c r="H15" s="88" t="str">
        <f>IF(VLOOKUP(E15,BDD!$A$1:$S$567,15,FALSE)=0,"Critère non évalué","")</f>
        <v>Critère non évalué</v>
      </c>
      <c r="I15" s="64" t="str">
        <f>IFERROR(IF(VLOOKUP($E15,BDD!$A$1:$S$567,MATCH(I$10,BDD!$A$1:$P$1,0),FALSE)=0,"",VLOOKUP($E15,BDD!$A$1:$S$567,MATCH(I$10,BDD!$A$1:$P$1,0),FALSE)),"")</f>
        <v/>
      </c>
      <c r="J15" s="91"/>
      <c r="K15" s="65" t="str">
        <f>IFERROR(IF(VLOOKUP($E15,BDD!$A$1:$S$567,MATCH(K$10,BDD!$A$1:$P$1,0),FALSE)=0,"",VLOOKUP($E15,BDD!$A$1:$S$567,MATCH(K$10,BDD!$A$1:$P$1,0),FALSE)),"")</f>
        <v/>
      </c>
      <c r="L15" s="68"/>
      <c r="M15" s="90"/>
      <c r="N15" s="90"/>
      <c r="O15" s="68"/>
      <c r="P15" s="268"/>
    </row>
    <row r="16" spans="1:16" ht="130.05000000000001" hidden="1" customHeight="1" x14ac:dyDescent="0.3">
      <c r="A16" s="268"/>
      <c r="B16" s="68"/>
      <c r="C16" s="68" t="str">
        <f t="shared" si="0"/>
        <v>4</v>
      </c>
      <c r="D16" s="68">
        <f t="shared" si="1"/>
        <v>1</v>
      </c>
      <c r="E16" s="84" t="str">
        <f t="shared" si="2"/>
        <v>415</v>
      </c>
      <c r="F16" s="66" t="s">
        <v>33</v>
      </c>
      <c r="G16" s="67" t="str">
        <f>IFERROR(IF(VLOOKUP($E16,BDD!$A$1:$S$567,MATCH(G$10,BDD!$A$1:$P$1,0),FALSE)=0,"",VLOOKUP($E16,BDD!$A$1:$S$567,MATCH(G$10,BDD!$A$1:$P$1,0),FALSE)),"")</f>
        <v/>
      </c>
      <c r="H16" s="85" t="str">
        <f>IF(VLOOKUP(E16,BDD!$A$1:$S$567,15,FALSE)=0,"Critère non évalué","")</f>
        <v>Critère non évalué</v>
      </c>
      <c r="I16" s="66" t="str">
        <f>IFERROR(IF(VLOOKUP($E16,BDD!$A$1:$S$567,MATCH(I$10,BDD!$A$1:$P$1,0),FALSE)=0,"",VLOOKUP($E16,BDD!$A$1:$S$567,MATCH(I$10,BDD!$A$1:$P$1,0),FALSE)),"")</f>
        <v/>
      </c>
      <c r="J16" s="86"/>
      <c r="K16" s="67" t="str">
        <f>IFERROR(IF(VLOOKUP($E16,BDD!$A$1:$S$567,MATCH(K$10,BDD!$A$1:$P$1,0),FALSE)=0,"",VLOOKUP($E16,BDD!$A$1:$S$567,MATCH(K$10,BDD!$A$1:$P$1,0),FALSE)),"")</f>
        <v/>
      </c>
      <c r="L16" s="68"/>
      <c r="M16" s="82"/>
      <c r="N16" s="82"/>
      <c r="O16" s="68"/>
      <c r="P16" s="268"/>
    </row>
    <row r="17" spans="1:16" ht="130.05000000000001" hidden="1" customHeight="1" x14ac:dyDescent="0.3">
      <c r="A17" s="268"/>
      <c r="B17" s="68"/>
      <c r="C17" s="68" t="str">
        <f t="shared" si="0"/>
        <v>4</v>
      </c>
      <c r="D17" s="68">
        <f t="shared" si="1"/>
        <v>1</v>
      </c>
      <c r="E17" s="84" t="str">
        <f t="shared" si="2"/>
        <v>416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c>
      <c r="J17" s="89"/>
      <c r="K17" s="65" t="str">
        <f>IFERROR(IF(VLOOKUP($E17,BDD!$A$1:$S$567,MATCH(K$10,BDD!$A$1:$P$1,0),FALSE)=0,"",VLOOKUP($E17,BDD!$A$1:$S$567,MATCH(K$10,BDD!$A$1:$P$1,0),FALSE)),"")</f>
        <v/>
      </c>
      <c r="L17" s="68"/>
      <c r="M17" s="90"/>
      <c r="N17" s="90"/>
      <c r="O17" s="68"/>
      <c r="P17" s="268"/>
    </row>
    <row r="18" spans="1:16" ht="130.05000000000001" hidden="1" customHeight="1" x14ac:dyDescent="0.3">
      <c r="A18" s="268"/>
      <c r="B18" s="68"/>
      <c r="C18" s="68" t="str">
        <f t="shared" si="0"/>
        <v>4</v>
      </c>
      <c r="D18" s="68">
        <f t="shared" si="1"/>
        <v>1</v>
      </c>
      <c r="E18" s="84" t="str">
        <f t="shared" si="2"/>
        <v>417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c>
      <c r="J18" s="86"/>
      <c r="K18" s="67" t="str">
        <f>IFERROR(IF(VLOOKUP($E18,BDD!$A$1:$S$567,MATCH(K$10,BDD!$A$1:$P$1,0),FALSE)=0,"",VLOOKUP($E18,BDD!$A$1:$S$567,MATCH(K$10,BDD!$A$1:$P$1,0),FALSE)),"")</f>
        <v/>
      </c>
      <c r="L18" s="68"/>
      <c r="M18" s="82"/>
      <c r="N18" s="82"/>
      <c r="O18" s="68"/>
      <c r="P18" s="268"/>
    </row>
    <row r="19" spans="1:16" ht="18" x14ac:dyDescent="0.35">
      <c r="A19" s="268"/>
      <c r="B19" s="68"/>
      <c r="C19" s="68" t="str">
        <f t="shared" si="0"/>
        <v>4</v>
      </c>
      <c r="D19" s="68">
        <f t="shared" si="1"/>
        <v>1</v>
      </c>
      <c r="E19" s="84" t="str">
        <f t="shared" si="2"/>
        <v>41</v>
      </c>
      <c r="F19" s="68"/>
      <c r="G19" s="69" t="str">
        <f>IF(Suppl!B80=2,"Le vecteur n'est pas utilisé","")</f>
        <v/>
      </c>
      <c r="H19" s="69"/>
      <c r="I19" s="69"/>
      <c r="J19" s="69"/>
      <c r="K19" s="69"/>
      <c r="L19" s="70"/>
      <c r="M19" s="68"/>
      <c r="N19" s="68"/>
      <c r="O19" s="68"/>
      <c r="P19" s="268"/>
    </row>
    <row r="20" spans="1:16" x14ac:dyDescent="0.3">
      <c r="A20" s="268"/>
      <c r="B20" s="68"/>
      <c r="C20" s="68" t="str">
        <f t="shared" si="0"/>
        <v>4</v>
      </c>
      <c r="D20" s="68">
        <f>IF(LEFT(F20,14)="Bonne pratique",D19+1,D19)</f>
        <v>1</v>
      </c>
      <c r="E20" s="84" t="str">
        <f t="shared" si="2"/>
        <v>41</v>
      </c>
      <c r="F20" s="68"/>
      <c r="G20" s="68"/>
      <c r="H20" s="68"/>
      <c r="I20" s="68"/>
      <c r="J20" s="68"/>
      <c r="K20" s="68"/>
      <c r="L20" s="68"/>
      <c r="M20" s="68"/>
      <c r="N20" s="68"/>
      <c r="O20" s="68"/>
      <c r="P20" s="268"/>
    </row>
    <row r="21" spans="1:16" ht="25.8" x14ac:dyDescent="0.5">
      <c r="A21" s="296"/>
      <c r="B21" s="74"/>
      <c r="C21" s="68" t="str">
        <f t="shared" si="0"/>
        <v>4</v>
      </c>
      <c r="D21" s="68">
        <f t="shared" si="1"/>
        <v>2</v>
      </c>
      <c r="E21" s="84" t="str">
        <f t="shared" si="2"/>
        <v>422</v>
      </c>
      <c r="F21" s="208" t="s">
        <v>500</v>
      </c>
      <c r="G21" s="75"/>
      <c r="H21" s="205"/>
      <c r="I21" s="73"/>
      <c r="J21" s="73" t="str">
        <f>VLOOKUP(E28,BDD!$A$2:$N$567,6,FALSE)</f>
        <v>Sensibilisation</v>
      </c>
      <c r="K21" s="72"/>
      <c r="L21" s="75"/>
      <c r="M21" s="75"/>
      <c r="N21" s="75"/>
      <c r="O21" s="74"/>
      <c r="P21" s="296"/>
    </row>
    <row r="22" spans="1:16" x14ac:dyDescent="0.3">
      <c r="A22" s="268"/>
      <c r="B22" s="68"/>
      <c r="C22" s="68" t="str">
        <f t="shared" si="0"/>
        <v>4</v>
      </c>
      <c r="D22" s="68">
        <f t="shared" si="1"/>
        <v>2</v>
      </c>
      <c r="E22" s="84" t="str">
        <f t="shared" si="2"/>
        <v>42</v>
      </c>
      <c r="F22" s="68"/>
      <c r="G22" s="68"/>
      <c r="H22" s="68"/>
      <c r="I22" s="68"/>
      <c r="J22" s="68"/>
      <c r="K22" s="68"/>
      <c r="L22" s="68"/>
      <c r="M22" s="68"/>
      <c r="N22" s="68"/>
      <c r="O22" s="68"/>
      <c r="P22" s="268"/>
    </row>
    <row r="23" spans="1:16" ht="18" x14ac:dyDescent="0.35">
      <c r="A23" s="297"/>
      <c r="B23" s="76"/>
      <c r="C23" s="68" t="str">
        <f t="shared" si="0"/>
        <v>4</v>
      </c>
      <c r="D23" s="68">
        <f t="shared" si="1"/>
        <v>2</v>
      </c>
      <c r="E23" s="84" t="str">
        <f t="shared" si="2"/>
        <v>42</v>
      </c>
      <c r="F23" s="76"/>
      <c r="G23" s="76"/>
      <c r="H23" s="76"/>
      <c r="I23" s="77"/>
      <c r="J23" s="207" t="str">
        <f>IFERROR(_xlfn.TEXTBEFORE(VLOOKUP(E28,BDD!$A$2:$N$567,7,FALSE)," ",30),VLOOKUP(E28,BDD!$A$2:$N$567,7,FALSE))</f>
        <v>L’organisation  met en œuvre un programme structuré de sensibilisation et de formation à la RSE et au numérique responsable, soutenu par des référents identifiés. Elle en mesure l’impact par</v>
      </c>
      <c r="K23" s="77"/>
      <c r="L23" s="76"/>
      <c r="M23" s="76"/>
      <c r="N23" s="76"/>
      <c r="O23" s="76"/>
      <c r="P23" s="297"/>
    </row>
    <row r="24" spans="1:16" ht="18" x14ac:dyDescent="0.35">
      <c r="A24" s="268"/>
      <c r="B24" s="68"/>
      <c r="C24" s="68" t="str">
        <f t="shared" si="0"/>
        <v>4</v>
      </c>
      <c r="D24" s="68">
        <f t="shared" si="1"/>
        <v>2</v>
      </c>
      <c r="E24" s="84" t="str">
        <f t="shared" si="2"/>
        <v>42</v>
      </c>
      <c r="F24" s="68"/>
      <c r="G24" s="68"/>
      <c r="H24" s="68"/>
      <c r="I24" s="68"/>
      <c r="J24" s="207" t="str">
        <f>IFERROR(_xlfn.TEXTAFTER(VLOOKUP(E28,BDD!$A$2:$N$567,7,FALSE)," ",30),"")</f>
        <v>des actions régulières.</v>
      </c>
      <c r="K24" s="68"/>
      <c r="L24" s="68"/>
      <c r="M24" s="68"/>
      <c r="N24" s="68"/>
      <c r="O24" s="68"/>
      <c r="P24" s="268"/>
    </row>
    <row r="25" spans="1:16" x14ac:dyDescent="0.3">
      <c r="A25" s="268"/>
      <c r="B25" s="68"/>
      <c r="C25" s="68" t="str">
        <f t="shared" si="0"/>
        <v>4</v>
      </c>
      <c r="D25" s="68">
        <f t="shared" si="1"/>
        <v>2</v>
      </c>
      <c r="E25" s="84" t="str">
        <f t="shared" si="2"/>
        <v>42</v>
      </c>
      <c r="F25" s="68"/>
      <c r="G25" s="68"/>
      <c r="H25" s="68"/>
      <c r="I25" s="68"/>
      <c r="J25" s="78"/>
      <c r="K25" s="68"/>
      <c r="L25" s="68"/>
      <c r="M25" s="619" t="s">
        <v>92</v>
      </c>
      <c r="N25" s="619"/>
      <c r="O25" s="68"/>
      <c r="P25" s="268"/>
    </row>
    <row r="26" spans="1:16" ht="33" x14ac:dyDescent="0.3">
      <c r="A26" s="268"/>
      <c r="B26" s="68"/>
      <c r="C26" s="68" t="str">
        <f t="shared" si="0"/>
        <v>4</v>
      </c>
      <c r="D26" s="68">
        <f t="shared" si="1"/>
        <v>2</v>
      </c>
      <c r="E26" s="84" t="str">
        <f t="shared" si="2"/>
        <v>42</v>
      </c>
      <c r="F26" s="93"/>
      <c r="G26" s="80" t="s">
        <v>561</v>
      </c>
      <c r="H26" s="80" t="s">
        <v>82</v>
      </c>
      <c r="I26" s="80" t="s">
        <v>83</v>
      </c>
      <c r="J26" s="80" t="s">
        <v>84</v>
      </c>
      <c r="K26" s="80" t="s">
        <v>85</v>
      </c>
      <c r="L26" s="78"/>
      <c r="M26" s="81" t="s">
        <v>86</v>
      </c>
      <c r="N26" s="82" t="s">
        <v>87</v>
      </c>
      <c r="O26" s="68"/>
      <c r="P26" s="268"/>
    </row>
    <row r="27" spans="1:16" x14ac:dyDescent="0.3">
      <c r="A27" s="268"/>
      <c r="B27" s="68"/>
      <c r="C27" s="68" t="str">
        <f t="shared" si="0"/>
        <v>4</v>
      </c>
      <c r="D27" s="68">
        <f t="shared" si="1"/>
        <v>2</v>
      </c>
      <c r="E27" s="84" t="str">
        <f t="shared" si="2"/>
        <v>42</v>
      </c>
      <c r="F27" s="68"/>
      <c r="G27" s="83"/>
      <c r="H27" s="83"/>
      <c r="I27" s="83"/>
      <c r="J27" s="68"/>
      <c r="K27" s="83"/>
      <c r="L27" s="68"/>
      <c r="M27" s="68"/>
      <c r="N27" s="68"/>
      <c r="O27" s="68"/>
      <c r="P27" s="268"/>
    </row>
    <row r="28" spans="1:16" ht="193.2" customHeight="1" x14ac:dyDescent="0.3">
      <c r="A28" s="268"/>
      <c r="B28" s="68"/>
      <c r="C28" s="68" t="str">
        <f t="shared" si="0"/>
        <v>4</v>
      </c>
      <c r="D28" s="68">
        <f t="shared" si="1"/>
        <v>2</v>
      </c>
      <c r="E28" s="84" t="str">
        <f t="shared" si="2"/>
        <v>421</v>
      </c>
      <c r="F28" s="66" t="s">
        <v>27</v>
      </c>
      <c r="G28" s="67" t="str">
        <f>IFERROR(IF(VLOOKUP($E28,BDD!$A$1:$S$567,MATCH(G$10,BDD!$A$1:$P$1,0),FALSE)=0,"",VLOOKUP($E28,BDD!$A$1:$S$567,MATCH(G$10,BDD!$A$1:$P$1,0),FALSE)),"")</f>
        <v>Les décideurs et les métiers sont sensibilisés au numérique responsable.</v>
      </c>
      <c r="H28" s="85" t="str">
        <f>IF(VLOOKUP(E28,BDD!$A$1:$S$567,15,FALSE)=0,"Critère non évalué","")</f>
        <v>Critère non évalué</v>
      </c>
      <c r="I28" s="66" t="str">
        <f>IFERROR(IF(VLOOKUP($E28,BDD!$A$1:$S$567,MATCH(I$10,BDD!$A$1:$P$1,0),FALSE)=0,"",VLOOKUP($E28,BDD!$A$1:$S$567,MATCH(I$10,BDD!$A$1:$P$1,0),FALSE)),"")</f>
        <v>N2</v>
      </c>
      <c r="J28" s="86"/>
      <c r="K28" s="67" t="str">
        <f>IFERROR(IF(VLOOKUP($E28,BDD!$A$1:$S$567,MATCH(K$10,BDD!$A$1:$P$1,0),FALSE)=0,"",VLOOKUP($E28,BDD!$A$1:$S$567,MATCH(K$10,BDD!$A$1:$P$1,0),FALSE)),"")</f>
        <v>• Une démarche de promotion de la sobriété des usages numériques est en œuvre au sein de l'organisation. 
• Des « référents numérique responsable » ont été identifiés dans chaque business unit. Ils jouent le rôle d'ambassadeurs en permettant une sensibilisation sur les sujets RSE au quotidien.
• Des campagnes de sensibilisation régulières sont organisées pour les métiers et les utilisateurs.
• Le travail de sensibilisation mené par les «référents numérique responsable » peut être effectué notamment par le biais d'ateliers dédiés. 
• L'impact de ces ateliers, ou celui des autres types d'actions de sensibilisation et de formations menées, est régulièrement mesuré.
• Au niveau RH, les compétences en matière de numérique responsable sont ajoutées à la liste des skills recherchés dans les candidatures IT.</v>
      </c>
      <c r="L28" s="68"/>
      <c r="M28" s="87"/>
      <c r="N28" s="87"/>
      <c r="O28" s="68"/>
      <c r="P28" s="268"/>
    </row>
    <row r="29" spans="1:16" ht="130.05000000000001" customHeight="1" x14ac:dyDescent="0.3">
      <c r="A29" s="268"/>
      <c r="B29" s="68"/>
      <c r="C29" s="68" t="str">
        <f t="shared" si="0"/>
        <v>4</v>
      </c>
      <c r="D29" s="68">
        <f t="shared" si="1"/>
        <v>2</v>
      </c>
      <c r="E29" s="84" t="str">
        <f t="shared" si="2"/>
        <v>422</v>
      </c>
      <c r="F29" s="94" t="s">
        <v>28</v>
      </c>
      <c r="G29" s="65" t="str">
        <f>IFERROR(IF(VLOOKUP($E29,BDD!$A$1:$S$567,MATCH(G$10,BDD!$A$1:$P$1,0),FALSE)=0,"",VLOOKUP($E29,BDD!$A$1:$S$567,MATCH(G$10,BDD!$A$1:$P$1,0),FALSE)),"")</f>
        <v>Une communication sur l'accessibilité numérique et sur les sujets de conformité aux réglementations RSE est mise en place au sein de l'organisation.</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c>
      <c r="L29" s="68"/>
      <c r="M29" s="90"/>
      <c r="N29" s="90"/>
      <c r="O29" s="68"/>
      <c r="P29" s="268"/>
    </row>
    <row r="30" spans="1:16" ht="130.05000000000001" customHeight="1" x14ac:dyDescent="0.3">
      <c r="A30" s="268"/>
      <c r="B30" s="68"/>
      <c r="C30" s="68" t="str">
        <f t="shared" si="0"/>
        <v>4</v>
      </c>
      <c r="D30" s="68">
        <f t="shared" si="1"/>
        <v>2</v>
      </c>
      <c r="E30" s="84" t="str">
        <f t="shared" si="2"/>
        <v>423</v>
      </c>
      <c r="F30" s="66" t="s">
        <v>30</v>
      </c>
      <c r="G30" s="67" t="str">
        <f>IFERROR(IF(VLOOKUP($E30,BDD!$A$1:$S$567,MATCH(G$10,BDD!$A$1:$P$1,0),FALSE)=0,"",VLOOKUP($E30,BDD!$A$1:$S$567,MATCH(G$10,BDD!$A$1:$P$1,0),FALSE)),"")</f>
        <v>Les personnes clés au sein de la filière numérique sont formées.</v>
      </c>
      <c r="H30" s="85" t="str">
        <f>IF(VLOOKUP(E30,BDD!$A$1:$S$567,15,FALSE)=0,"Critère non évalué","")</f>
        <v>Critère non évalué</v>
      </c>
      <c r="I30" s="66" t="str">
        <f>IFERROR(IF(VLOOKUP($E30,BDD!$A$1:$S$567,MATCH(I$10,BDD!$A$1:$P$1,0),FALSE)=0,"",VLOOKUP($E30,BDD!$A$1:$S$567,MATCH(I$10,BDD!$A$1:$P$1,0),FALSE)),"")</f>
        <v>N3</v>
      </c>
      <c r="J30" s="86"/>
      <c r="K30" s="67" t="str">
        <f>IFERROR(IF(VLOOKUP($E30,BDD!$A$1:$S$567,MATCH(K$10,BDD!$A$1:$P$1,0),FALSE)=0,"",VLOOKUP($E30,BDD!$A$1:$S$567,MATCH(K$10,BDD!$A$1:$P$1,0),FALSE)),"")</f>
        <v>• Les collaborateurs de la filière numérique sont formés au numérique responsable (empreinte environnementale, enjeux d’inclusion et d’accessibilité, enjeux éthiques et d’équité, conformité et écoconception…). 
• Les contributeurs à la conception et au choix des solutions sont formés au numérique responsable.</v>
      </c>
      <c r="L30" s="68"/>
      <c r="M30" s="87"/>
      <c r="N30" s="87"/>
      <c r="O30" s="68"/>
      <c r="P30" s="268"/>
    </row>
    <row r="31" spans="1:16" ht="130.05000000000001" hidden="1" customHeight="1" x14ac:dyDescent="0.3">
      <c r="A31" s="268"/>
      <c r="B31" s="68"/>
      <c r="C31" s="68" t="str">
        <f t="shared" si="0"/>
        <v>4</v>
      </c>
      <c r="D31" s="68">
        <f t="shared" si="1"/>
        <v>2</v>
      </c>
      <c r="E31" s="84" t="str">
        <f t="shared" si="2"/>
        <v>424</v>
      </c>
      <c r="F31" s="64" t="s">
        <v>32</v>
      </c>
      <c r="G31" s="65" t="str">
        <f>IFERROR(IF(VLOOKUP($E31,BDD!$A$1:$S$567,MATCH(G$10,BDD!$A$1:$P$1,0),FALSE)=0,"",VLOOKUP($E31,BDD!$A$1:$S$567,MATCH(G$10,BDD!$A$1:$P$1,0),FALSE)),"")</f>
        <v/>
      </c>
      <c r="H31" s="88" t="str">
        <f>IF(VLOOKUP(E31,BDD!$A$1:$S$567,15,FALSE)=0,"Critère non évalué","")</f>
        <v>Critère non évalué</v>
      </c>
      <c r="I31" s="64" t="str">
        <f>IFERROR(IF(VLOOKUP($E31,BDD!$A$1:$S$567,MATCH(I$10,BDD!$A$1:$P$1,0),FALSE)=0,"",VLOOKUP($E31,BDD!$A$1:$S$567,MATCH(I$10,BDD!$A$1:$P$1,0),FALSE)),"")</f>
        <v/>
      </c>
      <c r="J31" s="91"/>
      <c r="K31" s="65" t="str">
        <f>IFERROR(IF(VLOOKUP($E31,BDD!$A$1:$S$567,MATCH(K$10,BDD!$A$1:$P$1,0),FALSE)=0,"",VLOOKUP($E31,BDD!$A$1:$S$567,MATCH(K$10,BDD!$A$1:$P$1,0),FALSE)),"")</f>
        <v/>
      </c>
      <c r="L31" s="68"/>
      <c r="M31" s="90"/>
      <c r="N31" s="90"/>
      <c r="O31" s="68"/>
      <c r="P31" s="268"/>
    </row>
    <row r="32" spans="1:16" ht="130.05000000000001" hidden="1" customHeight="1" x14ac:dyDescent="0.3">
      <c r="A32" s="268"/>
      <c r="B32" s="68"/>
      <c r="C32" s="68" t="str">
        <f t="shared" si="0"/>
        <v>4</v>
      </c>
      <c r="D32" s="68">
        <f t="shared" si="1"/>
        <v>2</v>
      </c>
      <c r="E32" s="84" t="str">
        <f t="shared" si="2"/>
        <v>425</v>
      </c>
      <c r="F32" s="66" t="s">
        <v>33</v>
      </c>
      <c r="G32" s="67" t="str">
        <f>IFERROR(IF(VLOOKUP($E32,BDD!$A$1:$S$567,MATCH(G$10,BDD!$A$1:$P$1,0),FALSE)=0,"",VLOOKUP($E32,BDD!$A$1:$S$567,MATCH(G$10,BDD!$A$1:$P$1,0),FALSE)),"")</f>
        <v/>
      </c>
      <c r="H32" s="85" t="str">
        <f>IF(VLOOKUP(E32,BDD!$A$1:$S$567,15,FALSE)=0,"Critère non évalué","")</f>
        <v>Critère non évalué</v>
      </c>
      <c r="I32" s="66" t="str">
        <f>IFERROR(IF(VLOOKUP($E32,BDD!$A$1:$S$567,MATCH(I$10,BDD!$A$1:$P$1,0),FALSE)=0,"",VLOOKUP($E32,BDD!$A$1:$S$567,MATCH(I$10,BDD!$A$1:$P$1,0),FALSE)),"")</f>
        <v/>
      </c>
      <c r="J32" s="86"/>
      <c r="K32" s="67" t="str">
        <f>IFERROR(IF(VLOOKUP($E32,BDD!$A$1:$S$567,MATCH(K$10,BDD!$A$1:$P$1,0),FALSE)=0,"",VLOOKUP($E32,BDD!$A$1:$S$567,MATCH(K$10,BDD!$A$1:$P$1,0),FALSE)),"")</f>
        <v/>
      </c>
      <c r="L32" s="68"/>
      <c r="M32" s="82"/>
      <c r="N32" s="82"/>
      <c r="O32" s="68"/>
      <c r="P32" s="268"/>
    </row>
    <row r="33" spans="1:16" ht="130.05000000000001" hidden="1" customHeight="1" x14ac:dyDescent="0.3">
      <c r="A33" s="268"/>
      <c r="B33" s="68"/>
      <c r="C33" s="68" t="str">
        <f t="shared" si="0"/>
        <v>4</v>
      </c>
      <c r="D33" s="68">
        <f t="shared" si="1"/>
        <v>2</v>
      </c>
      <c r="E33" s="84" t="str">
        <f t="shared" si="2"/>
        <v>426</v>
      </c>
      <c r="F33" s="64" t="s">
        <v>34</v>
      </c>
      <c r="G33" s="65" t="str">
        <f>IFERROR(IF(VLOOKUP($E33,BDD!$A$1:$S$567,MATCH(G$10,BDD!$A$1:$P$1,0),FALSE)=0,"",VLOOKUP($E33,BDD!$A$1:$S$567,MATCH(G$10,BDD!$A$1:$P$1,0),FALSE)),"")</f>
        <v/>
      </c>
      <c r="H33" s="92" t="str">
        <f>IF(VLOOKUP(E33,BDD!$A$1:$S$567,15,FALSE)=0,"Critère non évalué","")</f>
        <v>Critère non évalué</v>
      </c>
      <c r="I33" s="64" t="str">
        <f>IFERROR(IF(VLOOKUP($E33,BDD!$A$1:$S$567,MATCH(I$10,BDD!$A$1:$P$1,0),FALSE)=0,"",VLOOKUP($E33,BDD!$A$1:$S$567,MATCH(I$10,BDD!$A$1:$P$1,0),FALSE)),"")</f>
        <v/>
      </c>
      <c r="J33" s="89"/>
      <c r="K33" s="65" t="str">
        <f>IFERROR(IF(VLOOKUP($E33,BDD!$A$1:$S$567,MATCH(K$10,BDD!$A$1:$P$1,0),FALSE)=0,"",VLOOKUP($E33,BDD!$A$1:$S$567,MATCH(K$10,BDD!$A$1:$P$1,0),FALSE)),"")</f>
        <v/>
      </c>
      <c r="L33" s="68"/>
      <c r="M33" s="90"/>
      <c r="N33" s="90"/>
      <c r="O33" s="68"/>
      <c r="P33" s="268"/>
    </row>
    <row r="34" spans="1:16" ht="130.05000000000001" hidden="1" customHeight="1" x14ac:dyDescent="0.3">
      <c r="A34" s="268"/>
      <c r="B34" s="68"/>
      <c r="C34" s="68" t="str">
        <f t="shared" si="0"/>
        <v>4</v>
      </c>
      <c r="D34" s="68">
        <f t="shared" si="1"/>
        <v>2</v>
      </c>
      <c r="E34" s="84" t="str">
        <f t="shared" si="2"/>
        <v>427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c>
      <c r="J34" s="86"/>
      <c r="K34" s="67" t="str">
        <f>IFERROR(IF(VLOOKUP($E34,BDD!$A$1:$S$567,MATCH(K$10,BDD!$A$1:$P$1,0),FALSE)=0,"",VLOOKUP($E34,BDD!$A$1:$S$567,MATCH(K$10,BDD!$A$1:$P$1,0),FALSE)),"")</f>
        <v/>
      </c>
      <c r="L34" s="68"/>
      <c r="M34" s="82"/>
      <c r="N34" s="82"/>
      <c r="O34" s="68"/>
      <c r="P34" s="268"/>
    </row>
    <row r="35" spans="1:16" ht="18" x14ac:dyDescent="0.35">
      <c r="A35" s="268"/>
      <c r="B35" s="68"/>
      <c r="C35" s="68" t="str">
        <f t="shared" si="0"/>
        <v>4</v>
      </c>
      <c r="D35" s="68">
        <f t="shared" si="1"/>
        <v>2</v>
      </c>
      <c r="E35" s="84" t="str">
        <f t="shared" si="2"/>
        <v>42</v>
      </c>
      <c r="F35" s="68"/>
      <c r="G35" s="69" t="str">
        <f>IF(Suppl!B96=2,"Le vecteur n'est pas utilisé","")</f>
        <v/>
      </c>
      <c r="H35" s="69"/>
      <c r="I35" s="68"/>
      <c r="J35" s="69"/>
      <c r="K35" s="69"/>
      <c r="L35" s="70"/>
      <c r="M35" s="68"/>
      <c r="N35" s="68"/>
      <c r="O35" s="68"/>
      <c r="P35" s="268"/>
    </row>
    <row r="36" spans="1:16" x14ac:dyDescent="0.3">
      <c r="A36" s="268"/>
      <c r="B36" s="68"/>
      <c r="C36" s="68" t="str">
        <f t="shared" si="0"/>
        <v>4</v>
      </c>
      <c r="D36" s="68">
        <f>IF(LEFT(F36,14)="Bonne pratique",D35+1,D35)</f>
        <v>2</v>
      </c>
      <c r="E36" s="84" t="str">
        <f t="shared" si="2"/>
        <v>42</v>
      </c>
      <c r="F36" s="68"/>
      <c r="G36" s="68"/>
      <c r="H36" s="68"/>
      <c r="I36" s="68"/>
      <c r="J36" s="68"/>
      <c r="K36" s="68"/>
      <c r="L36" s="68"/>
      <c r="M36" s="68"/>
      <c r="N36" s="68"/>
      <c r="O36" s="68"/>
      <c r="P36" s="268"/>
    </row>
    <row r="37" spans="1:16" ht="25.8" x14ac:dyDescent="0.5">
      <c r="A37" s="296"/>
      <c r="B37" s="74"/>
      <c r="C37" s="68" t="str">
        <f t="shared" si="0"/>
        <v>4</v>
      </c>
      <c r="D37" s="68">
        <f t="shared" si="1"/>
        <v>3</v>
      </c>
      <c r="E37" s="84" t="str">
        <f t="shared" si="2"/>
        <v>433</v>
      </c>
      <c r="F37" s="208" t="s">
        <v>501</v>
      </c>
      <c r="G37" s="75"/>
      <c r="H37" s="205"/>
      <c r="I37" s="73"/>
      <c r="J37" s="73" t="str">
        <f>VLOOKUP(E44,BDD!$A$2:$N$567,6,FALSE)</f>
        <v>Eco conception et cycle de vie</v>
      </c>
      <c r="K37" s="72"/>
      <c r="L37" s="75"/>
      <c r="M37" s="75"/>
      <c r="N37" s="75"/>
      <c r="O37" s="74"/>
      <c r="P37" s="296"/>
    </row>
    <row r="38" spans="1:16" x14ac:dyDescent="0.3">
      <c r="A38" s="268"/>
      <c r="B38" s="68"/>
      <c r="C38" s="68" t="str">
        <f t="shared" si="0"/>
        <v>4</v>
      </c>
      <c r="D38" s="68">
        <f t="shared" si="1"/>
        <v>3</v>
      </c>
      <c r="E38" s="84" t="str">
        <f t="shared" si="2"/>
        <v>43</v>
      </c>
      <c r="F38" s="68"/>
      <c r="G38" s="68"/>
      <c r="H38" s="68"/>
      <c r="I38" s="68"/>
      <c r="J38" s="68"/>
      <c r="K38" s="68"/>
      <c r="L38" s="68"/>
      <c r="M38" s="68"/>
      <c r="N38" s="68"/>
      <c r="O38" s="68"/>
      <c r="P38" s="268"/>
    </row>
    <row r="39" spans="1:16" ht="18" x14ac:dyDescent="0.35">
      <c r="A39" s="297"/>
      <c r="B39" s="76"/>
      <c r="C39" s="68" t="str">
        <f t="shared" si="0"/>
        <v>4</v>
      </c>
      <c r="D39" s="68">
        <f t="shared" si="1"/>
        <v>3</v>
      </c>
      <c r="E39" s="84" t="str">
        <f t="shared" si="2"/>
        <v>43</v>
      </c>
      <c r="F39" s="76"/>
      <c r="H39" s="76"/>
      <c r="I39" s="77"/>
      <c r="J39" s="207" t="str">
        <f>IFERROR(_xlfn.TEXTBEFORE(VLOOKUP(E44,BDD!$A$2:$N$567,7,FALSE)," ",30),VLOOKUP(E44,BDD!$A$2:$N$567,7,FALSE))</f>
        <v>Les enjeux RSE sont intégrés dès la conception des services et des produits numériques et tout au long de leur cycle de vie.</v>
      </c>
      <c r="K39" s="77"/>
      <c r="L39" s="76"/>
      <c r="M39" s="76"/>
      <c r="N39" s="76"/>
      <c r="O39" s="76"/>
      <c r="P39" s="297"/>
    </row>
    <row r="40" spans="1:16" ht="18" x14ac:dyDescent="0.35">
      <c r="A40" s="268"/>
      <c r="B40" s="68"/>
      <c r="C40" s="68" t="str">
        <f t="shared" si="0"/>
        <v>4</v>
      </c>
      <c r="D40" s="68">
        <f t="shared" si="1"/>
        <v>3</v>
      </c>
      <c r="E40" s="84" t="str">
        <f t="shared" si="2"/>
        <v>43</v>
      </c>
      <c r="F40" s="68"/>
      <c r="G40" s="68"/>
      <c r="H40" s="68"/>
      <c r="I40" s="68"/>
      <c r="J40" s="207" t="str">
        <f>IFERROR(_xlfn.TEXTAFTER(VLOOKUP(E44,BDD!$A$2:$N$567,7,FALSE)," ",30),"")</f>
        <v/>
      </c>
      <c r="K40" s="68"/>
      <c r="L40" s="68"/>
      <c r="M40" s="68"/>
      <c r="N40" s="68"/>
      <c r="O40" s="68"/>
      <c r="P40" s="268"/>
    </row>
    <row r="41" spans="1:16" x14ac:dyDescent="0.3">
      <c r="A41" s="268"/>
      <c r="B41" s="68"/>
      <c r="C41" s="68" t="str">
        <f t="shared" si="0"/>
        <v>4</v>
      </c>
      <c r="D41" s="68">
        <f t="shared" si="1"/>
        <v>3</v>
      </c>
      <c r="E41" s="84" t="str">
        <f t="shared" si="2"/>
        <v>43</v>
      </c>
      <c r="F41" s="68"/>
      <c r="G41" s="68"/>
      <c r="H41" s="68"/>
      <c r="I41" s="68"/>
      <c r="J41" s="78"/>
      <c r="K41" s="68"/>
      <c r="L41" s="68"/>
      <c r="M41" s="619" t="s">
        <v>92</v>
      </c>
      <c r="N41" s="619"/>
      <c r="O41" s="68"/>
      <c r="P41" s="268"/>
    </row>
    <row r="42" spans="1:16" ht="33" x14ac:dyDescent="0.3">
      <c r="A42" s="268"/>
      <c r="B42" s="68"/>
      <c r="C42" s="68" t="str">
        <f t="shared" si="0"/>
        <v>4</v>
      </c>
      <c r="D42" s="68">
        <f t="shared" si="1"/>
        <v>3</v>
      </c>
      <c r="E42" s="84" t="str">
        <f t="shared" si="2"/>
        <v>43</v>
      </c>
      <c r="F42" s="79"/>
      <c r="G42" s="80" t="s">
        <v>561</v>
      </c>
      <c r="H42" s="80" t="s">
        <v>82</v>
      </c>
      <c r="I42" s="80" t="s">
        <v>83</v>
      </c>
      <c r="J42" s="80" t="s">
        <v>84</v>
      </c>
      <c r="K42" s="80" t="s">
        <v>85</v>
      </c>
      <c r="L42" s="78"/>
      <c r="M42" s="81" t="s">
        <v>86</v>
      </c>
      <c r="N42" s="82" t="s">
        <v>87</v>
      </c>
      <c r="O42" s="68"/>
      <c r="P42" s="268"/>
    </row>
    <row r="43" spans="1:16" x14ac:dyDescent="0.3">
      <c r="A43" s="268"/>
      <c r="B43" s="68"/>
      <c r="C43" s="68" t="str">
        <f t="shared" si="0"/>
        <v>4</v>
      </c>
      <c r="D43" s="68">
        <f t="shared" si="1"/>
        <v>3</v>
      </c>
      <c r="E43" s="84" t="str">
        <f t="shared" si="2"/>
        <v>43</v>
      </c>
      <c r="F43" s="68"/>
      <c r="G43" s="83"/>
      <c r="H43" s="83"/>
      <c r="I43" s="83"/>
      <c r="J43" s="68"/>
      <c r="K43" s="83"/>
      <c r="L43" s="68"/>
      <c r="M43" s="68"/>
      <c r="N43" s="68"/>
      <c r="O43" s="68"/>
      <c r="P43" s="268"/>
    </row>
    <row r="44" spans="1:16" ht="201" customHeight="1" x14ac:dyDescent="0.3">
      <c r="A44" s="268"/>
      <c r="B44" s="68"/>
      <c r="C44" s="68" t="str">
        <f t="shared" si="0"/>
        <v>4</v>
      </c>
      <c r="D44" s="68">
        <f t="shared" si="1"/>
        <v>3</v>
      </c>
      <c r="E44" s="84" t="str">
        <f t="shared" si="2"/>
        <v>431</v>
      </c>
      <c r="F44" s="66" t="s">
        <v>27</v>
      </c>
      <c r="G44" s="67" t="str">
        <f>IFERROR(IF(VLOOKUP($E44,BDD!$A$1:$S$567,MATCH(G$10,BDD!$A$1:$P$1,0),FALSE)=0,"",VLOOKUP($E44,BDD!$A$1:$S$567,MATCH(G$10,BDD!$A$1:$P$1,0),FALSE)),"")</f>
        <v>La contribution RSE est maîtrisée de bout en bout, tout au long du cycle de vie du produit ou du service.</v>
      </c>
      <c r="H44" s="85" t="str">
        <f>IF(VLOOKUP(E44,BDD!$A$1:$S$567,15,FALSE)=0,"Critère non évalué","")</f>
        <v>Critère non évalué</v>
      </c>
      <c r="I44" s="66" t="str">
        <f>IFERROR(IF(VLOOKUP($E44,BDD!$A$1:$S$567,MATCH(I$10,BDD!$A$1:$P$1,0),FALSE)=0,"",VLOOKUP($E44,BDD!$A$1:$S$567,MATCH(I$10,BDD!$A$1:$P$1,0),FALSE)),"")</f>
        <v>N4</v>
      </c>
      <c r="J44" s="86"/>
      <c r="K44" s="67" t="str">
        <f>IFERROR(IF(VLOOKUP($E44,BDD!$A$1:$S$567,MATCH(K$10,BDD!$A$1:$P$1,0),FALSE)=0,"",VLOOKUP($E44,BDD!$A$1:$S$567,MATCH(K$10,BDD!$A$1:$P$1,0),FALSE)),"")</f>
        <v>• La performance écologique du SI fait l'objet d'un pilotage dédié, cf. Modèle de pilotage économique et écologique IT, Cigref, 2022
• L'empreinte environnementale des projets et produits, basée sur l'analyse du cycle de vie, est mesurée.
• Les critères RSE sont intégrés dans les décisions d'investissement numérique et  évaluent notamment : 
- les émissions de gaz à effet de serre,
- les consommations de ressources abiotiques (terres rares),
- la consommation d'eau,
- l'énergie primaire mobilisée (rayonnement solaire, vent, charbon, uranium, etc.).
• L’évaluation des critères RSE repose sur une approche multi-étapes et multi-composants : elle se fait sur tout le cycle de vie des équipements numériques (phases de fabrication, distribution, utilisation et fin de vie), et concerne aussi bien les terminaux, les réseaux, que les centres de données, etc.</v>
      </c>
      <c r="L44" s="68"/>
      <c r="M44" s="87"/>
      <c r="N44" s="87"/>
      <c r="O44" s="68"/>
      <c r="P44" s="268"/>
    </row>
    <row r="45" spans="1:16" ht="150" customHeight="1" x14ac:dyDescent="0.3">
      <c r="A45" s="268"/>
      <c r="B45" s="68"/>
      <c r="C45" s="68" t="str">
        <f t="shared" si="0"/>
        <v>4</v>
      </c>
      <c r="D45" s="68">
        <f t="shared" si="1"/>
        <v>3</v>
      </c>
      <c r="E45" s="84" t="str">
        <f t="shared" si="2"/>
        <v>432</v>
      </c>
      <c r="F45" s="94" t="s">
        <v>28</v>
      </c>
      <c r="G45" s="65" t="str">
        <f>IFERROR(IF(VLOOKUP($E45,BDD!$A$1:$S$567,MATCH(G$10,BDD!$A$1:$P$1,0),FALSE)=0,"",VLOOKUP($E45,BDD!$A$1:$S$567,MATCH(G$10,BDD!$A$1:$P$1,0),FALSE)),"")</f>
        <v>Les critères de conception des produits et services numériques sont définis en alignement avec les enjeux RSE de l'organisation.</v>
      </c>
      <c r="H45" s="88" t="str">
        <f>IF(VLOOKUP(E45,BDD!$A$1:$S$567,15,FALSE)=0,"Critère non évalué","")</f>
        <v>Critère non évalué</v>
      </c>
      <c r="I45" s="64" t="str">
        <f>IFERROR(IF(VLOOKUP($E45,BDD!$A$1:$S$567,MATCH(I$10,BDD!$A$1:$P$1,0),FALSE)=0,"",VLOOKUP($E45,BDD!$A$1:$S$567,MATCH(I$10,BDD!$A$1:$P$1,0),FALSE)),"")</f>
        <v>N3</v>
      </c>
      <c r="J45" s="89"/>
      <c r="K45" s="65" t="str">
        <f>IFERROR(IF(VLOOKUP($E45,BDD!$A$1:$S$567,MATCH(K$10,BDD!$A$1:$P$1,0),FALSE)=0,"",VLOOKUP($E45,BDD!$A$1:$S$567,MATCH(K$10,BDD!$A$1:$P$1,0),FALSE)),"")</f>
        <v/>
      </c>
      <c r="L45" s="68"/>
      <c r="M45" s="90"/>
      <c r="N45" s="90"/>
      <c r="O45" s="68"/>
      <c r="P45" s="268"/>
    </row>
    <row r="46" spans="1:16" ht="130.05000000000001" customHeight="1" x14ac:dyDescent="0.3">
      <c r="A46" s="268"/>
      <c r="B46" s="68"/>
      <c r="C46" s="68" t="str">
        <f t="shared" si="0"/>
        <v>4</v>
      </c>
      <c r="D46" s="68">
        <f t="shared" si="1"/>
        <v>3</v>
      </c>
      <c r="E46" s="84" t="str">
        <f t="shared" si="2"/>
        <v>433</v>
      </c>
      <c r="F46" s="66" t="s">
        <v>30</v>
      </c>
      <c r="G46" s="67" t="str">
        <f>IFERROR(IF(VLOOKUP($E46,BDD!$A$1:$S$567,MATCH(G$10,BDD!$A$1:$P$1,0),FALSE)=0,"",VLOOKUP($E46,BDD!$A$1:$S$567,MATCH(G$10,BDD!$A$1:$P$1,0),FALSE)),"")</f>
        <v>La dimension de responsabilité est incluse dans la conception des solutions.</v>
      </c>
      <c r="H46" s="85" t="str">
        <f>IF(VLOOKUP(E46,BDD!$A$1:$S$567,15,FALSE)=0,"Critère non évalué","")</f>
        <v>Critère non évalué</v>
      </c>
      <c r="I46" s="66" t="s">
        <v>22</v>
      </c>
      <c r="J46" s="86"/>
      <c r="K46" s="67" t="str">
        <f>IFERROR(IF(VLOOKUP($E46,BDD!$A$1:$S$567,MATCH(K$10,BDD!$A$1:$P$1,0),FALSE)=0,"",VLOOKUP($E46,BDD!$A$1:$S$567,MATCH(K$10,BDD!$A$1:$P$1,0),FALSE)),"")</f>
        <v>• Les principaux KPI associés à la durabilité ou à l'accessibilité font l'objet d'un pilotage.</v>
      </c>
      <c r="L46" s="68"/>
      <c r="M46" s="87"/>
      <c r="N46" s="87"/>
      <c r="O46" s="68"/>
      <c r="P46" s="268"/>
    </row>
    <row r="47" spans="1:16" ht="120" customHeight="1" x14ac:dyDescent="0.3">
      <c r="A47" s="268"/>
      <c r="B47" s="68"/>
      <c r="C47" s="68" t="str">
        <f t="shared" si="0"/>
        <v>4</v>
      </c>
      <c r="D47" s="68">
        <f t="shared" si="1"/>
        <v>3</v>
      </c>
      <c r="E47" s="84" t="str">
        <f t="shared" si="2"/>
        <v>434</v>
      </c>
      <c r="F47" s="64" t="s">
        <v>32</v>
      </c>
      <c r="G47" s="96" t="str">
        <f>IFERROR(IF(VLOOKUP($E47,BDD!$A$1:$S$567,MATCH(G$10,BDD!$A$1:$P$1,0),FALSE)=0,"",VLOOKUP($E47,BDD!$A$1:$S$567,MATCH(G$10,BDD!$A$1:$P$1,0),FALSE)),"")</f>
        <v>La DSI met en place des actions dédiées à l'accessibilité numérique en lien avec la stratégie RSE globale de l'organisation.</v>
      </c>
      <c r="H47" s="210" t="str">
        <f>IF(VLOOKUP(E47,BDD!$A$1:$S$567,15,FALSE)=0,"Critère non évalué","")</f>
        <v>Critère non évalué</v>
      </c>
      <c r="I47" s="64" t="s">
        <v>26</v>
      </c>
      <c r="J47" s="95"/>
      <c r="K47" s="96" t="str">
        <f>IFERROR(IF(VLOOKUP($E47,BDD!$A$1:$S$567,MATCH(K$10,BDD!$A$1:$P$1,0),FALSE)=0,"",VLOOKUP($E47,BDD!$A$1:$S$567,MATCH(K$10,BDD!$A$1:$P$1,0),FALSE)),"")</f>
        <v/>
      </c>
      <c r="L47" s="68"/>
      <c r="M47" s="90"/>
      <c r="N47" s="90"/>
      <c r="O47" s="68"/>
      <c r="P47" s="268"/>
    </row>
    <row r="48" spans="1:16" ht="130.05000000000001" customHeight="1" x14ac:dyDescent="0.3">
      <c r="A48" s="268"/>
      <c r="B48" s="68"/>
      <c r="C48" s="68" t="str">
        <f t="shared" si="0"/>
        <v>4</v>
      </c>
      <c r="D48" s="68">
        <f t="shared" si="1"/>
        <v>3</v>
      </c>
      <c r="E48" s="84" t="str">
        <f t="shared" si="2"/>
        <v>435</v>
      </c>
      <c r="F48" s="66" t="s">
        <v>33</v>
      </c>
      <c r="G48" s="67" t="str">
        <f>IFERROR(IF(VLOOKUP($E48,BDD!$A$1:$S$567,MATCH(G$10,BDD!$A$1:$P$1,0),FALSE)=0,"",VLOOKUP($E48,BDD!$A$1:$S$567,MATCH(G$10,BDD!$A$1:$P$1,0),FALSE)),"")</f>
        <v>La DSI accompagne les métiers dans l'élaboration de solutions IT for green.</v>
      </c>
      <c r="H48" s="85" t="str">
        <f>IF(VLOOKUP(E48,BDD!$A$1:$S$567,15,FALSE)=0,"Critère non évalué","")</f>
        <v>Critère non évalué</v>
      </c>
      <c r="I48" s="66" t="s">
        <v>22</v>
      </c>
      <c r="J48" s="86"/>
      <c r="K48" s="67" t="str">
        <f>IFERROR(IF(VLOOKUP($E48,BDD!$A$1:$S$567,MATCH(K$10,BDD!$A$1:$P$1,0),FALSE)=0,"",VLOOKUP($E48,BDD!$A$1:$S$567,MATCH(K$10,BDD!$A$1:$P$1,0),FALSE)),"")</f>
        <v>• La DSI organise auprès des métiers une veille sur l'IT for Green et est impliquée dans l'outillage des solutions de reporting.
• Des initiatives sont développées pour favoriser le recyclage, le réemploi et la réparabilité des équipements.</v>
      </c>
      <c r="L48" s="68"/>
      <c r="M48" s="87"/>
      <c r="N48" s="87"/>
      <c r="O48" s="68"/>
      <c r="P48" s="268"/>
    </row>
    <row r="49" spans="1:16" ht="120" customHeight="1" x14ac:dyDescent="0.3">
      <c r="A49" s="268"/>
      <c r="B49" s="68"/>
      <c r="C49" s="68" t="str">
        <f t="shared" si="0"/>
        <v>4</v>
      </c>
      <c r="D49" s="68">
        <f t="shared" si="1"/>
        <v>3</v>
      </c>
      <c r="E49" s="84" t="str">
        <f t="shared" si="2"/>
        <v>436</v>
      </c>
      <c r="F49" s="64" t="s">
        <v>34</v>
      </c>
      <c r="G49" s="96" t="str">
        <f>IFERROR(IF(VLOOKUP($E49,BDD!$A$1:$S$567,MATCH(G$10,BDD!$A$1:$P$1,0),FALSE)=0,"",VLOOKUP($E49,BDD!$A$1:$S$567,MATCH(G$10,BDD!$A$1:$P$1,0),FALSE)),"")</f>
        <v>Des outils sont mis en place pour implémenter le reporting extra-financier (CSRD) et pour mener les actions de transition environnementale et de réduction de l’empreinte environnementale. </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268"/>
    </row>
    <row r="50" spans="1:16" ht="130.05000000000001" customHeight="1" x14ac:dyDescent="0.3">
      <c r="A50" s="268"/>
      <c r="B50" s="68"/>
      <c r="C50" s="68" t="str">
        <f t="shared" si="0"/>
        <v>4</v>
      </c>
      <c r="D50" s="68">
        <f t="shared" si="1"/>
        <v>3</v>
      </c>
      <c r="E50" s="84" t="str">
        <f t="shared" si="2"/>
        <v>437</v>
      </c>
      <c r="F50" s="66" t="s">
        <v>36</v>
      </c>
      <c r="G50" s="67" t="str">
        <f>IFERROR(IF(VLOOKUP($E50,BDD!$A$1:$S$567,MATCH(G$10,BDD!$A$1:$P$1,0),FALSE)=0,"",VLOOKUP($E50,BDD!$A$1:$S$567,MATCH(G$10,BDD!$A$1:$P$1,0),FALSE)),"")</f>
        <v>Un contrôle de la conception responsable (écoconception, accessibilité) et des actions d'amélioration continue est mis en œuvre.</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268"/>
    </row>
    <row r="51" spans="1:16" ht="18" x14ac:dyDescent="0.35">
      <c r="A51" s="268"/>
      <c r="B51" s="68"/>
      <c r="C51" s="68" t="str">
        <f t="shared" si="0"/>
        <v>4</v>
      </c>
      <c r="D51" s="68"/>
      <c r="E51" s="84"/>
      <c r="F51" s="68"/>
      <c r="G51" s="69"/>
      <c r="H51" s="69"/>
      <c r="I51" s="69"/>
      <c r="J51" s="69"/>
      <c r="K51" s="69"/>
      <c r="L51" s="70"/>
      <c r="M51" s="68"/>
      <c r="N51" s="68"/>
      <c r="O51" s="68"/>
      <c r="P51" s="268"/>
    </row>
    <row r="52" spans="1:16" x14ac:dyDescent="0.3">
      <c r="A52" s="268"/>
      <c r="B52" s="68"/>
      <c r="C52" s="68" t="str">
        <f t="shared" si="0"/>
        <v>4</v>
      </c>
      <c r="D52" s="68">
        <f>IF(LEFT(F52,14)="Bonne pratique",D48+1,D48)</f>
        <v>3</v>
      </c>
      <c r="E52" s="84" t="str">
        <f t="shared" si="2"/>
        <v>43</v>
      </c>
      <c r="F52" s="68"/>
      <c r="G52" s="68"/>
      <c r="H52" s="68"/>
      <c r="I52" s="68"/>
      <c r="J52" s="68"/>
      <c r="K52" s="68"/>
      <c r="L52" s="68"/>
      <c r="M52" s="68"/>
      <c r="N52" s="68"/>
      <c r="O52" s="68"/>
      <c r="P52" s="268"/>
    </row>
    <row r="53" spans="1:16" ht="25.8" x14ac:dyDescent="0.5">
      <c r="A53" s="296"/>
      <c r="B53" s="74"/>
      <c r="C53" s="68" t="str">
        <f t="shared" si="0"/>
        <v>4</v>
      </c>
      <c r="D53" s="68">
        <f t="shared" si="1"/>
        <v>4</v>
      </c>
      <c r="E53" s="84" t="str">
        <f t="shared" si="2"/>
        <v>444</v>
      </c>
      <c r="F53" s="208" t="s">
        <v>502</v>
      </c>
      <c r="G53" s="75"/>
      <c r="H53" s="205"/>
      <c r="I53" s="73"/>
      <c r="J53" s="73" t="str">
        <f>VLOOKUP(E60,BDD!$A$2:$N$567,6,FALSE)</f>
        <v>Politique d'achats</v>
      </c>
      <c r="K53" s="72"/>
      <c r="L53" s="75"/>
      <c r="M53" s="75"/>
      <c r="N53" s="75"/>
      <c r="O53" s="74"/>
      <c r="P53" s="296"/>
    </row>
    <row r="54" spans="1:16" x14ac:dyDescent="0.3">
      <c r="A54" s="268"/>
      <c r="B54" s="68"/>
      <c r="C54" s="68" t="str">
        <f t="shared" si="0"/>
        <v>4</v>
      </c>
      <c r="D54" s="68">
        <f t="shared" si="1"/>
        <v>4</v>
      </c>
      <c r="E54" s="84" t="str">
        <f t="shared" si="2"/>
        <v>44</v>
      </c>
      <c r="F54" s="68"/>
      <c r="G54" s="68"/>
      <c r="H54" s="68"/>
      <c r="I54" s="68"/>
      <c r="J54" s="68"/>
      <c r="K54" s="68"/>
      <c r="L54" s="68"/>
      <c r="M54" s="68"/>
      <c r="N54" s="68"/>
      <c r="O54" s="68"/>
      <c r="P54" s="268"/>
    </row>
    <row r="55" spans="1:16" ht="18" x14ac:dyDescent="0.35">
      <c r="A55" s="297"/>
      <c r="B55" s="76"/>
      <c r="C55" s="68" t="str">
        <f t="shared" si="0"/>
        <v>4</v>
      </c>
      <c r="D55" s="68">
        <f t="shared" si="1"/>
        <v>4</v>
      </c>
      <c r="E55" s="84" t="str">
        <f t="shared" si="2"/>
        <v>44</v>
      </c>
      <c r="F55" s="76"/>
      <c r="G55" s="76"/>
      <c r="H55" s="76"/>
      <c r="I55" s="77"/>
      <c r="J55" s="207" t="str">
        <f>IFERROR(_xlfn.TEXTBEFORE(VLOOKUP(E60,BDD!$A$2:$N$567,7,FALSE)," ",30),VLOOKUP(E60,BDD!$A$2:$N$567,7,FALSE))</f>
        <v>La DSI mène une politique d'achats responsables.</v>
      </c>
      <c r="K55" s="77"/>
      <c r="L55" s="76"/>
      <c r="M55" s="76"/>
      <c r="N55" s="76"/>
      <c r="O55" s="76"/>
      <c r="P55" s="297"/>
    </row>
    <row r="56" spans="1:16" ht="18" x14ac:dyDescent="0.35">
      <c r="A56" s="268"/>
      <c r="B56" s="68"/>
      <c r="C56" s="68" t="str">
        <f t="shared" si="0"/>
        <v>4</v>
      </c>
      <c r="D56" s="68">
        <f t="shared" si="1"/>
        <v>4</v>
      </c>
      <c r="E56" s="84" t="str">
        <f t="shared" si="2"/>
        <v>44</v>
      </c>
      <c r="F56" s="68"/>
      <c r="G56" s="68"/>
      <c r="H56" s="68"/>
      <c r="I56" s="68"/>
      <c r="J56" s="207" t="str">
        <f>IFERROR(_xlfn.TEXTAFTER(VLOOKUP(E60,BDD!$A$2:$N$567,7,FALSE)," ",30),"")</f>
        <v/>
      </c>
      <c r="K56" s="68"/>
      <c r="L56" s="68"/>
      <c r="M56" s="68"/>
      <c r="N56" s="68"/>
      <c r="O56" s="68"/>
      <c r="P56" s="268"/>
    </row>
    <row r="57" spans="1:16" x14ac:dyDescent="0.3">
      <c r="A57" s="268"/>
      <c r="B57" s="68"/>
      <c r="C57" s="68" t="str">
        <f t="shared" si="0"/>
        <v>4</v>
      </c>
      <c r="D57" s="68">
        <f t="shared" si="1"/>
        <v>4</v>
      </c>
      <c r="E57" s="84" t="str">
        <f t="shared" si="2"/>
        <v>44</v>
      </c>
      <c r="F57" s="68"/>
      <c r="G57" s="68"/>
      <c r="H57" s="68"/>
      <c r="I57" s="68"/>
      <c r="J57" s="78"/>
      <c r="K57" s="68"/>
      <c r="L57" s="68"/>
      <c r="M57" s="619" t="s">
        <v>92</v>
      </c>
      <c r="N57" s="619"/>
      <c r="O57" s="68"/>
      <c r="P57" s="268"/>
    </row>
    <row r="58" spans="1:16" ht="33" x14ac:dyDescent="0.3">
      <c r="A58" s="268"/>
      <c r="B58" s="68"/>
      <c r="C58" s="68" t="str">
        <f t="shared" si="0"/>
        <v>4</v>
      </c>
      <c r="D58" s="68">
        <f t="shared" si="1"/>
        <v>4</v>
      </c>
      <c r="E58" s="84" t="str">
        <f t="shared" si="2"/>
        <v>44</v>
      </c>
      <c r="F58" s="79"/>
      <c r="G58" s="80" t="s">
        <v>561</v>
      </c>
      <c r="H58" s="80" t="s">
        <v>82</v>
      </c>
      <c r="I58" s="80" t="s">
        <v>83</v>
      </c>
      <c r="J58" s="80" t="s">
        <v>84</v>
      </c>
      <c r="K58" s="80" t="s">
        <v>85</v>
      </c>
      <c r="L58" s="78"/>
      <c r="M58" s="81" t="s">
        <v>86</v>
      </c>
      <c r="N58" s="82" t="s">
        <v>87</v>
      </c>
      <c r="O58" s="68"/>
      <c r="P58" s="268"/>
    </row>
    <row r="59" spans="1:16" x14ac:dyDescent="0.3">
      <c r="A59" s="268"/>
      <c r="B59" s="68"/>
      <c r="C59" s="68" t="str">
        <f t="shared" si="0"/>
        <v>4</v>
      </c>
      <c r="D59" s="68">
        <f t="shared" si="1"/>
        <v>4</v>
      </c>
      <c r="E59" s="84" t="str">
        <f t="shared" si="2"/>
        <v>44</v>
      </c>
      <c r="F59" s="68"/>
      <c r="G59" s="83"/>
      <c r="H59" s="83"/>
      <c r="I59" s="83"/>
      <c r="J59" s="68"/>
      <c r="K59" s="83"/>
      <c r="L59" s="68"/>
      <c r="M59" s="68"/>
      <c r="N59" s="68"/>
      <c r="O59" s="68"/>
      <c r="P59" s="268"/>
    </row>
    <row r="60" spans="1:16" ht="130.05000000000001" customHeight="1" x14ac:dyDescent="0.3">
      <c r="A60" s="268"/>
      <c r="B60" s="68"/>
      <c r="C60" s="68" t="str">
        <f t="shared" si="0"/>
        <v>4</v>
      </c>
      <c r="D60" s="68">
        <f t="shared" si="1"/>
        <v>4</v>
      </c>
      <c r="E60" s="84" t="str">
        <f t="shared" si="2"/>
        <v>441</v>
      </c>
      <c r="F60" s="66" t="s">
        <v>27</v>
      </c>
      <c r="G60" s="67" t="str">
        <f>IFERROR(IF(VLOOKUP($E60,BDD!$A$1:$S$567,MATCH(G$10,BDD!$A$1:$P$1,0),FALSE)=0,"",VLOOKUP($E60,BDD!$A$1:$S$567,MATCH(G$10,BDD!$A$1:$P$1,0),FALSE)),"")</f>
        <v>Une démarche d’achats responsables est mise en œuvre.</v>
      </c>
      <c r="H60" s="85" t="str">
        <f>IF(VLOOKUP(E60,BDD!$A$1:$S$567,15,FALSE)=0,"Critère non évalué","")</f>
        <v>Critère non évalué</v>
      </c>
      <c r="I60" s="66" t="str">
        <f>IFERROR(IF(VLOOKUP($E60,BDD!$A$1:$S$567,MATCH(I$10,BDD!$A$1:$P$1,0),FALSE)=0,"",VLOOKUP($E60,BDD!$A$1:$S$567,MATCH(I$10,BDD!$A$1:$P$1,0),FALSE)),"")</f>
        <v>N1</v>
      </c>
      <c r="J60" s="86"/>
      <c r="K60" s="67" t="str">
        <f>IFERROR(IF(VLOOKUP($E60,BDD!$A$1:$S$567,MATCH(K$10,BDD!$A$1:$P$1,0),FALSE)=0,"",VLOOKUP($E60,BDD!$A$1:$S$567,MATCH(K$10,BDD!$A$1:$P$1,0),FALSE)),"")</f>
        <v>• Les critères RSE constituent un volet à part entière de la sélection des solutions, produits et équipements.
• Les critères RSE figurent explicitement dans les cahiers des charges des appels d'offres.
• Les politiques d'achats privilégient le matériel labellisé ou certifié RSE.</v>
      </c>
      <c r="L60" s="68"/>
      <c r="M60" s="87"/>
      <c r="N60" s="87"/>
      <c r="O60" s="68"/>
      <c r="P60" s="268"/>
    </row>
    <row r="61" spans="1:16" ht="130.05000000000001" customHeight="1" x14ac:dyDescent="0.3">
      <c r="A61" s="268"/>
      <c r="B61" s="68"/>
      <c r="C61" s="68" t="str">
        <f t="shared" si="0"/>
        <v>4</v>
      </c>
      <c r="D61" s="68">
        <f t="shared" si="1"/>
        <v>4</v>
      </c>
      <c r="E61" s="84" t="str">
        <f t="shared" si="2"/>
        <v>442</v>
      </c>
      <c r="F61" s="249" t="s">
        <v>28</v>
      </c>
      <c r="G61" s="96" t="str">
        <f>IFERROR(IF(VLOOKUP($E61,BDD!$A$1:$S$567,MATCH(G$10,BDD!$A$1:$P$1,0),FALSE)=0,"",VLOOKUP($E61,BDD!$A$1:$S$567,MATCH(G$10,BDD!$A$1:$P$1,0),FALSE)),"")</f>
        <v>Les fournisseurs sont challengés sur la dimension RSE de leurs produits, services ou solutions.</v>
      </c>
      <c r="H61" s="210" t="str">
        <f>IF(VLOOKUP(E61,BDD!$A$1:$S$567,15,FALSE)=0,"Critère non évalué","")</f>
        <v>Critère non évalué</v>
      </c>
      <c r="I61" s="64" t="str">
        <f>IFERROR(IF(VLOOKUP($E61,BDD!$A$1:$S$567,MATCH(I$10,BDD!$A$1:$P$1,0),FALSE)=0,"",VLOOKUP($E61,BDD!$A$1:$S$567,MATCH(I$10,BDD!$A$1:$P$1,0),FALSE)),"")</f>
        <v>N3</v>
      </c>
      <c r="J61" s="206"/>
      <c r="K61" s="96" t="str">
        <f>IFERROR(IF(VLOOKUP($E61,BDD!$A$1:$S$567,MATCH(K$10,BDD!$A$1:$P$1,0),FALSE)=0,"",VLOOKUP($E61,BDD!$A$1:$S$567,MATCH(K$10,BDD!$A$1:$P$1,0),FALSE)),"")</f>
        <v>• Les audits fournisseurs intègrent la dimension RSE.
• Les fournisseurs sont sélectionnés et challengés sur leur gestion de la fin de vie des équipements, la réparation, le recyclage, et le réemploi de leurs produits. 
• Ils transmettent des données d’impact environnemental précises, notamment sur les services cloud ou les usages de l’IA.</v>
      </c>
      <c r="L61" s="68"/>
      <c r="M61" s="90"/>
      <c r="N61" s="90"/>
      <c r="O61" s="68"/>
      <c r="P61" s="268"/>
    </row>
    <row r="62" spans="1:16" ht="130.05000000000001" hidden="1" customHeight="1" x14ac:dyDescent="0.3">
      <c r="A62" s="268"/>
      <c r="B62" s="68"/>
      <c r="C62" s="68" t="str">
        <f t="shared" si="0"/>
        <v>4</v>
      </c>
      <c r="D62" s="68">
        <f>IF(LEFT(F62,14)="Bonne pratique",D61+1,D61)</f>
        <v>4</v>
      </c>
      <c r="E62" s="84" t="str">
        <f t="shared" si="2"/>
        <v>443</v>
      </c>
      <c r="F62" s="66" t="s">
        <v>30</v>
      </c>
      <c r="G62" s="67" t="str">
        <f>IFERROR(IF(VLOOKUP($E62,BDD!$A$1:$S$567,MATCH(G$10,BDD!$A$1:$P$1,0),FALSE)=0,"",VLOOKUP($E62,BDD!$A$1:$S$567,MATCH(G$10,BDD!$A$1:$P$1,0),FALSE)),"")</f>
        <v/>
      </c>
      <c r="H62" s="85" t="str">
        <f>IF(VLOOKUP(E62,BDD!$A$1:$S$567,15,FALSE)=0,"Critère non évalué","")</f>
        <v>Critère non évalué</v>
      </c>
      <c r="I62" s="66" t="str">
        <f>IFERROR(IF(VLOOKUP($E62,BDD!$A$1:$S$567,MATCH(I$10,BDD!$A$1:$P$1,0),FALSE)=0,"",VLOOKUP($E62,BDD!$A$1:$S$567,MATCH(I$10,BDD!$A$1:$P$1,0),FALSE)),"")</f>
        <v/>
      </c>
      <c r="J62" s="86"/>
      <c r="K62" s="67" t="str">
        <f>IFERROR(IF(VLOOKUP($E62,BDD!$A$1:$S$567,MATCH(K$10,BDD!$A$1:$P$1,0),FALSE)=0,"",VLOOKUP($E62,BDD!$A$1:$S$567,MATCH(K$10,BDD!$A$1:$P$1,0),FALSE)),"")</f>
        <v/>
      </c>
      <c r="L62" s="68"/>
      <c r="M62" s="87"/>
      <c r="N62" s="87"/>
      <c r="O62" s="68"/>
      <c r="P62" s="268"/>
    </row>
    <row r="63" spans="1:16" ht="130.05000000000001" hidden="1" customHeight="1" x14ac:dyDescent="0.3">
      <c r="A63" s="268"/>
      <c r="B63" s="68"/>
      <c r="C63" s="68" t="str">
        <f t="shared" si="0"/>
        <v>4</v>
      </c>
      <c r="D63" s="68">
        <f t="shared" si="1"/>
        <v>4</v>
      </c>
      <c r="E63" s="84" t="str">
        <f t="shared" si="2"/>
        <v>444</v>
      </c>
      <c r="F63" s="64" t="s">
        <v>32</v>
      </c>
      <c r="G63" s="65" t="str">
        <f>IFERROR(IF(VLOOKUP($E63,BDD!$A$1:$S$567,MATCH(G$10,BDD!$A$1:$P$1,0),FALSE)=0,"",VLOOKUP($E63,BDD!$A$1:$S$567,MATCH(G$10,BDD!$A$1:$P$1,0),FALSE)),"")</f>
        <v/>
      </c>
      <c r="H63" s="88" t="str">
        <f>IF(VLOOKUP(E63,BDD!$A$1:$S$567,15,FALSE)=0,"Critère non évalué","")</f>
        <v>Critère non évalué</v>
      </c>
      <c r="I63" s="64" t="str">
        <f>IFERROR(IF(VLOOKUP($E63,BDD!$A$1:$S$567,MATCH(I$10,BDD!$A$1:$P$1,0),FALSE)=0,"",VLOOKUP($E63,BDD!$A$1:$S$567,MATCH(I$10,BDD!$A$1:$P$1,0),FALSE)),"")</f>
        <v/>
      </c>
      <c r="J63" s="91"/>
      <c r="K63" s="65" t="str">
        <f>IFERROR(IF(VLOOKUP($E63,BDD!$A$1:$S$567,MATCH(K$10,BDD!$A$1:$P$1,0),FALSE)=0,"",VLOOKUP($E63,BDD!$A$1:$S$567,MATCH(K$10,BDD!$A$1:$P$1,0),FALSE)),"")</f>
        <v/>
      </c>
      <c r="L63" s="68"/>
      <c r="M63" s="90"/>
      <c r="N63" s="90"/>
      <c r="O63" s="68"/>
      <c r="P63" s="268"/>
    </row>
    <row r="64" spans="1:16" ht="130.05000000000001" hidden="1" customHeight="1" x14ac:dyDescent="0.3">
      <c r="A64" s="268"/>
      <c r="B64" s="68"/>
      <c r="C64" s="68" t="str">
        <f t="shared" si="0"/>
        <v>4</v>
      </c>
      <c r="D64" s="68">
        <f t="shared" si="1"/>
        <v>4</v>
      </c>
      <c r="E64" s="84" t="str">
        <f t="shared" si="2"/>
        <v>445</v>
      </c>
      <c r="F64" s="66" t="s">
        <v>33</v>
      </c>
      <c r="G64" s="67" t="str">
        <f>IFERROR(IF(VLOOKUP($E64,BDD!$A$1:$S$567,MATCH(G$10,BDD!$A$1:$P$1,0),FALSE)=0,"",VLOOKUP($E64,BDD!$A$1:$S$567,MATCH(G$10,BDD!$A$1:$P$1,0),FALSE)),"")</f>
        <v/>
      </c>
      <c r="H64" s="85" t="str">
        <f>IF(VLOOKUP(E64,BDD!$A$1:$S$567,15,FALSE)=0,"Critère non évalué","")</f>
        <v>Critère non évalué</v>
      </c>
      <c r="I64" s="66" t="str">
        <f>IFERROR(IF(VLOOKUP($E64,BDD!$A$1:$S$567,MATCH(I$10,BDD!$A$1:$P$1,0),FALSE)=0,"",VLOOKUP($E64,BDD!$A$1:$S$567,MATCH(I$10,BDD!$A$1:$P$1,0),FALSE)),"")</f>
        <v/>
      </c>
      <c r="J64" s="86"/>
      <c r="K64" s="67" t="str">
        <f>IFERROR(IF(VLOOKUP($E64,BDD!$A$1:$S$567,MATCH(K$10,BDD!$A$1:$P$1,0),FALSE)=0,"",VLOOKUP($E64,BDD!$A$1:$S$567,MATCH(K$10,BDD!$A$1:$P$1,0),FALSE)),"")</f>
        <v/>
      </c>
      <c r="L64" s="68"/>
      <c r="M64" s="82"/>
      <c r="N64" s="82"/>
      <c r="O64" s="68"/>
      <c r="P64" s="268"/>
    </row>
    <row r="65" spans="1:16" ht="130.05000000000001" hidden="1" customHeight="1" x14ac:dyDescent="0.3">
      <c r="A65" s="268"/>
      <c r="B65" s="68"/>
      <c r="C65" s="68" t="str">
        <f t="shared" si="0"/>
        <v>4</v>
      </c>
      <c r="D65" s="68">
        <f t="shared" si="1"/>
        <v>4</v>
      </c>
      <c r="E65" s="84" t="str">
        <f t="shared" si="2"/>
        <v>446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c>
      <c r="J65" s="206"/>
      <c r="K65" s="96" t="str">
        <f>IFERROR(IF(VLOOKUP($E65,BDD!$A$1:$S$567,MATCH(K$10,BDD!$A$1:$P$1,0),FALSE)=0,"",VLOOKUP($E65,BDD!$A$1:$S$567,MATCH(K$10,BDD!$A$1:$P$1,0),FALSE)),"")</f>
        <v/>
      </c>
      <c r="L65" s="68"/>
      <c r="M65" s="90"/>
      <c r="N65" s="90"/>
      <c r="O65" s="68"/>
      <c r="P65" s="268"/>
    </row>
    <row r="66" spans="1:16" ht="130.05000000000001" hidden="1" customHeight="1" x14ac:dyDescent="0.3">
      <c r="A66" s="268"/>
      <c r="B66" s="68"/>
      <c r="C66" s="68" t="str">
        <f t="shared" si="0"/>
        <v>4</v>
      </c>
      <c r="D66" s="68">
        <f t="shared" si="1"/>
        <v>4</v>
      </c>
      <c r="E66" s="84" t="str">
        <f t="shared" si="2"/>
        <v>447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c>
      <c r="J66" s="86"/>
      <c r="K66" s="67" t="str">
        <f>IFERROR(IF(VLOOKUP($E66,BDD!$A$1:$S$567,MATCH(K$10,BDD!$A$1:$P$1,0),FALSE)=0,"",VLOOKUP($E66,BDD!$A$1:$S$567,MATCH(K$10,BDD!$A$1:$P$1,0),FALSE)),"")</f>
        <v/>
      </c>
      <c r="L66" s="68"/>
      <c r="M66" s="82"/>
      <c r="N66" s="82"/>
      <c r="O66" s="68"/>
      <c r="P66" s="268"/>
    </row>
    <row r="67" spans="1:16" x14ac:dyDescent="0.3">
      <c r="A67" s="268"/>
      <c r="B67" s="68"/>
      <c r="C67" s="68" t="str">
        <f t="shared" si="0"/>
        <v>4</v>
      </c>
      <c r="D67" s="68">
        <f t="shared" si="1"/>
        <v>4</v>
      </c>
      <c r="E67" s="84" t="str">
        <f t="shared" si="2"/>
        <v>44</v>
      </c>
      <c r="F67" s="68"/>
      <c r="G67" s="68"/>
      <c r="H67" s="68"/>
      <c r="I67" s="68"/>
      <c r="J67" s="68"/>
      <c r="K67" s="68"/>
      <c r="L67" s="68"/>
      <c r="M67" s="68"/>
      <c r="N67" s="68"/>
      <c r="O67" s="68"/>
      <c r="P67" s="268"/>
    </row>
    <row r="68" spans="1:16" x14ac:dyDescent="0.3">
      <c r="A68" s="268"/>
      <c r="B68" s="68"/>
      <c r="C68" s="68" t="str">
        <f t="shared" si="0"/>
        <v>4</v>
      </c>
      <c r="D68" s="68"/>
      <c r="E68" s="84"/>
      <c r="F68" s="68"/>
      <c r="G68" s="68"/>
      <c r="H68" s="68"/>
      <c r="I68" s="68"/>
      <c r="J68" s="68"/>
      <c r="K68" s="68"/>
      <c r="L68" s="68"/>
      <c r="M68" s="68"/>
      <c r="N68" s="68"/>
      <c r="O68" s="68"/>
      <c r="P68" s="268"/>
    </row>
    <row r="69" spans="1:16" x14ac:dyDescent="0.3">
      <c r="A69" s="268"/>
      <c r="B69" s="68"/>
      <c r="C69" s="68" t="str">
        <f t="shared" si="0"/>
        <v>4</v>
      </c>
      <c r="D69" s="68"/>
      <c r="E69" s="84"/>
      <c r="F69" s="68"/>
      <c r="G69" s="68"/>
      <c r="H69" s="68"/>
      <c r="I69" s="68"/>
      <c r="J69" s="68"/>
      <c r="K69" s="68"/>
      <c r="L69" s="68"/>
      <c r="M69" s="68"/>
      <c r="N69" s="68"/>
      <c r="O69" s="68"/>
      <c r="P69" s="268"/>
    </row>
    <row r="70" spans="1:16" x14ac:dyDescent="0.3">
      <c r="A70" s="268"/>
      <c r="B70" s="68"/>
      <c r="C70" s="68" t="str">
        <f t="shared" ref="C70:C115" si="3">IF(LEFT(RIGHT($B$1,2),1)=" ",RIGHT($B$1,1),RIGHT($B$1,2))</f>
        <v>4</v>
      </c>
      <c r="D70" s="68"/>
      <c r="E70" s="84"/>
      <c r="F70" s="68"/>
      <c r="G70" s="68"/>
      <c r="H70" s="68"/>
      <c r="I70" s="68"/>
      <c r="J70" s="68"/>
      <c r="K70" s="68"/>
      <c r="L70" s="68"/>
      <c r="M70" s="68"/>
      <c r="N70" s="68"/>
      <c r="O70" s="68"/>
      <c r="P70" s="268"/>
    </row>
    <row r="71" spans="1:16" ht="25.8" x14ac:dyDescent="0.5">
      <c r="A71" s="296"/>
      <c r="B71" s="74"/>
      <c r="C71" s="68" t="str">
        <f t="shared" si="3"/>
        <v>4</v>
      </c>
      <c r="D71" s="68">
        <f>IF(LEFT(F71,14)="Bonne pratique",D67+1,D67)</f>
        <v>5</v>
      </c>
      <c r="E71" s="84" t="str">
        <f t="shared" si="2"/>
        <v>455</v>
      </c>
      <c r="F71" s="208" t="s">
        <v>503</v>
      </c>
      <c r="G71" s="75"/>
      <c r="H71" s="205"/>
      <c r="I71" s="73"/>
      <c r="J71" s="73" t="str">
        <f>VLOOKUP(E78,BDD!$A$2:$N$567,6,FALSE)</f>
        <v>Contribution à la RSE globale</v>
      </c>
      <c r="K71" s="72"/>
      <c r="L71" s="75"/>
      <c r="M71" s="75"/>
      <c r="N71" s="75"/>
      <c r="O71" s="74"/>
      <c r="P71" s="296"/>
    </row>
    <row r="72" spans="1:16" x14ac:dyDescent="0.3">
      <c r="A72" s="268"/>
      <c r="B72" s="68"/>
      <c r="C72" s="68" t="str">
        <f t="shared" si="3"/>
        <v>4</v>
      </c>
      <c r="D72" s="68">
        <f t="shared" ref="D72:D84" si="4">IF(LEFT(F72,14)="Bonne pratique",D71+1,D71)</f>
        <v>5</v>
      </c>
      <c r="E72" s="84" t="str">
        <f t="shared" si="2"/>
        <v>45</v>
      </c>
      <c r="F72" s="68"/>
      <c r="G72" s="68"/>
      <c r="H72" s="68"/>
      <c r="I72" s="68"/>
      <c r="J72" s="68"/>
      <c r="K72" s="68"/>
      <c r="L72" s="68"/>
      <c r="M72" s="68"/>
      <c r="N72" s="68"/>
      <c r="O72" s="68"/>
      <c r="P72" s="268"/>
    </row>
    <row r="73" spans="1:16" ht="18" x14ac:dyDescent="0.35">
      <c r="A73" s="297"/>
      <c r="B73" s="76"/>
      <c r="C73" s="68" t="str">
        <f t="shared" si="3"/>
        <v>4</v>
      </c>
      <c r="D73" s="68">
        <f t="shared" si="4"/>
        <v>5</v>
      </c>
      <c r="E73" s="84" t="str">
        <f t="shared" si="2"/>
        <v>45</v>
      </c>
      <c r="F73" s="76"/>
      <c r="G73" s="76"/>
      <c r="H73" s="76"/>
      <c r="I73" s="77"/>
      <c r="J73" s="207" t="str">
        <f>IFERROR(_xlfn.TEXTBEFORE(VLOOKUP(E78,BDD!$A$2:$N$567,7,FALSE)," ",30),VLOOKUP(E78,BDD!$A$2:$N$567,7,FALSE))</f>
        <v>La filière numérique mesure et pilote sa contribution à la RSE de l'organisation.</v>
      </c>
      <c r="K73" s="77"/>
      <c r="L73" s="76"/>
      <c r="M73" s="76"/>
      <c r="N73" s="76"/>
      <c r="O73" s="76"/>
      <c r="P73" s="297"/>
    </row>
    <row r="74" spans="1:16" ht="18" x14ac:dyDescent="0.35">
      <c r="A74" s="268"/>
      <c r="B74" s="68"/>
      <c r="C74" s="68" t="str">
        <f t="shared" si="3"/>
        <v>4</v>
      </c>
      <c r="D74" s="68">
        <f t="shared" si="4"/>
        <v>5</v>
      </c>
      <c r="E74" s="84" t="str">
        <f t="shared" si="2"/>
        <v>45</v>
      </c>
      <c r="F74" s="68"/>
      <c r="G74" s="68"/>
      <c r="H74" s="68"/>
      <c r="I74" s="68"/>
      <c r="J74" s="207" t="str">
        <f>IFERROR(_xlfn.TEXTAFTER(VLOOKUP(E78,BDD!$A$2:$N$567,7,FALSE)," ",30),"")</f>
        <v/>
      </c>
      <c r="K74" s="68"/>
      <c r="L74" s="68"/>
      <c r="M74" s="68"/>
      <c r="N74" s="68"/>
      <c r="O74" s="68"/>
      <c r="P74" s="268"/>
    </row>
    <row r="75" spans="1:16" x14ac:dyDescent="0.3">
      <c r="A75" s="268"/>
      <c r="B75" s="68"/>
      <c r="C75" s="68" t="str">
        <f t="shared" si="3"/>
        <v>4</v>
      </c>
      <c r="D75" s="68">
        <f t="shared" si="4"/>
        <v>5</v>
      </c>
      <c r="E75" s="84" t="str">
        <f t="shared" si="2"/>
        <v>45</v>
      </c>
      <c r="F75" s="68"/>
      <c r="G75" s="68"/>
      <c r="H75" s="68"/>
      <c r="I75" s="68"/>
      <c r="J75" s="78"/>
      <c r="K75" s="68"/>
      <c r="L75" s="68"/>
      <c r="M75" s="619" t="s">
        <v>92</v>
      </c>
      <c r="N75" s="619"/>
      <c r="O75" s="68"/>
      <c r="P75" s="268"/>
    </row>
    <row r="76" spans="1:16" ht="33" x14ac:dyDescent="0.3">
      <c r="A76" s="268"/>
      <c r="B76" s="68"/>
      <c r="C76" s="68" t="str">
        <f t="shared" si="3"/>
        <v>4</v>
      </c>
      <c r="D76" s="68">
        <f t="shared" si="4"/>
        <v>5</v>
      </c>
      <c r="E76" s="84" t="str">
        <f t="shared" si="2"/>
        <v>45</v>
      </c>
      <c r="F76" s="93"/>
      <c r="G76" s="80" t="s">
        <v>561</v>
      </c>
      <c r="H76" s="80" t="s">
        <v>82</v>
      </c>
      <c r="I76" s="80" t="s">
        <v>83</v>
      </c>
      <c r="J76" s="80" t="s">
        <v>84</v>
      </c>
      <c r="K76" s="80" t="s">
        <v>85</v>
      </c>
      <c r="L76" s="78"/>
      <c r="M76" s="81" t="s">
        <v>86</v>
      </c>
      <c r="N76" s="82" t="s">
        <v>87</v>
      </c>
      <c r="O76" s="68"/>
      <c r="P76" s="268"/>
    </row>
    <row r="77" spans="1:16" x14ac:dyDescent="0.3">
      <c r="A77" s="268"/>
      <c r="B77" s="68"/>
      <c r="C77" s="68" t="str">
        <f t="shared" si="3"/>
        <v>4</v>
      </c>
      <c r="D77" s="68">
        <f t="shared" si="4"/>
        <v>5</v>
      </c>
      <c r="E77" s="84" t="str">
        <f t="shared" si="2"/>
        <v>45</v>
      </c>
      <c r="F77" s="68"/>
      <c r="G77" s="83"/>
      <c r="H77" s="83"/>
      <c r="I77" s="83"/>
      <c r="J77" s="68"/>
      <c r="K77" s="83"/>
      <c r="L77" s="68"/>
      <c r="M77" s="68"/>
      <c r="N77" s="68"/>
      <c r="O77" s="68"/>
      <c r="P77" s="268"/>
    </row>
    <row r="78" spans="1:16" ht="130.05000000000001" customHeight="1" x14ac:dyDescent="0.3">
      <c r="A78" s="268"/>
      <c r="B78" s="68"/>
      <c r="C78" s="68" t="str">
        <f t="shared" si="3"/>
        <v>4</v>
      </c>
      <c r="D78" s="68">
        <f t="shared" si="4"/>
        <v>5</v>
      </c>
      <c r="E78" s="84" t="str">
        <f t="shared" si="2"/>
        <v>451</v>
      </c>
      <c r="F78" s="66" t="s">
        <v>27</v>
      </c>
      <c r="G78" s="67" t="str">
        <f>IFERROR(IF(VLOOKUP($E78,BDD!$A$1:$S$567,MATCH(G$10,BDD!$A$1:$P$1,0),FALSE)=0,"",VLOOKUP($E78,BDD!$A$1:$S$567,MATCH(G$10,BDD!$A$1:$P$1,0),FALSE)),"")</f>
        <v>La contribution de l'IT aux enjeux RSE de l'entreprise est mesurée, pilotée et communiquée.</v>
      </c>
      <c r="H78" s="85" t="str">
        <f>IF(VLOOKUP(E78,BDD!$A$1:$S$567,15,FALSE)=0,"Critère non évalué","")</f>
        <v>Critère non évalué</v>
      </c>
      <c r="I78" s="66" t="str">
        <f>IFERROR(IF(VLOOKUP($E78,BDD!$A$1:$S$567,MATCH(I$10,BDD!$A$1:$P$1,0),FALSE)=0,"",VLOOKUP($E78,BDD!$A$1:$S$567,MATCH(I$10,BDD!$A$1:$P$1,0),FALSE)),"")</f>
        <v>N3</v>
      </c>
      <c r="J78" s="86"/>
      <c r="K78" s="67" t="str">
        <f>IFERROR(IF(VLOOKUP($E78,BDD!$A$1:$S$567,MATCH(K$10,BDD!$A$1:$P$1,0),FALSE)=0,"",VLOOKUP($E78,BDD!$A$1:$S$567,MATCH(K$10,BDD!$A$1:$P$1,0),FALSE)),"")</f>
        <v>• La contribution de l’IT à la réduction de l’impact RSE est évaluée et communiquée.
• L’impact des services est piloté de manière détaillée.
• La performance écologique du SI est pilotée en suivant un modèle préétabli, par exemple le Modèle du pilotage économique et écologique de l'IT, Cigref, 2022. 
• L’empreinte environnementale est calculée sur la base de l’analyse du cycle de vie (ACV).
• Un éco-score est mis en place sur les projets.</v>
      </c>
      <c r="L78" s="68"/>
      <c r="M78" s="87"/>
      <c r="N78" s="87"/>
      <c r="O78" s="68"/>
      <c r="P78" s="268"/>
    </row>
    <row r="79" spans="1:16" ht="130.05000000000001" customHeight="1" x14ac:dyDescent="0.3">
      <c r="A79" s="268"/>
      <c r="B79" s="68"/>
      <c r="C79" s="68" t="str">
        <f t="shared" si="3"/>
        <v>4</v>
      </c>
      <c r="D79" s="68">
        <f t="shared" si="4"/>
        <v>5</v>
      </c>
      <c r="E79" s="84" t="str">
        <f t="shared" si="2"/>
        <v>452</v>
      </c>
      <c r="F79" s="94" t="s">
        <v>28</v>
      </c>
      <c r="G79" s="65" t="str">
        <f>IFERROR(IF(VLOOKUP($E79,BDD!$A$1:$S$567,MATCH(G$10,BDD!$A$1:$P$1,0),FALSE)=0,"",VLOOKUP($E79,BDD!$A$1:$S$567,MATCH(G$10,BDD!$A$1:$P$1,0),FALSE)),"")</f>
        <v>La DSI utilise une méthode partagée et reconnue pour mesurer les gains de l'IT for Green.</v>
      </c>
      <c r="H79" s="88" t="str">
        <f>IF(VLOOKUP(E79,BDD!$A$1:$S$567,15,FALSE)=0,"Critère non évalué","")</f>
        <v>Critère non évalué</v>
      </c>
      <c r="I79" s="64" t="str">
        <f>IFERROR(IF(VLOOKUP($E79,BDD!$A$1:$S$567,MATCH(I$10,BDD!$A$1:$P$1,0),FALSE)=0,"",VLOOKUP($E79,BDD!$A$1:$S$567,MATCH(I$10,BDD!$A$1:$P$1,0),FALSE)),"")</f>
        <v>N2</v>
      </c>
      <c r="J79" s="89"/>
      <c r="K79" s="65" t="str">
        <f>IFERROR(IF(VLOOKUP($E79,BDD!$A$1:$S$567,MATCH(K$10,BDD!$A$1:$P$1,0),FALSE)=0,"",VLOOKUP($E79,BDD!$A$1:$S$567,MATCH(K$10,BDD!$A$1:$P$1,0),FALSE)),"")</f>
        <v>• Une méthode comme celle proposée dans le rapport Critères de décisions RSE à intégrer dans les projets IT, Cigref 2023 est utilisée.</v>
      </c>
      <c r="L79" s="68"/>
      <c r="M79" s="90"/>
      <c r="N79" s="90"/>
      <c r="O79" s="68"/>
      <c r="P79" s="268"/>
    </row>
    <row r="80" spans="1:16" ht="130.05000000000001" customHeight="1" x14ac:dyDescent="0.3">
      <c r="A80" s="268"/>
      <c r="B80" s="68"/>
      <c r="C80" s="68" t="str">
        <f t="shared" si="3"/>
        <v>4</v>
      </c>
      <c r="D80" s="68">
        <f t="shared" si="4"/>
        <v>5</v>
      </c>
      <c r="E80" s="84" t="str">
        <f t="shared" si="2"/>
        <v>453</v>
      </c>
      <c r="F80" s="66" t="s">
        <v>30</v>
      </c>
      <c r="G80" s="67" t="str">
        <f>IFERROR(IF(VLOOKUP($E80,BDD!$A$1:$S$567,MATCH(G$10,BDD!$A$1:$P$1,0),FALSE)=0,"",VLOOKUP($E80,BDD!$A$1:$S$567,MATCH(G$10,BDD!$A$1:$P$1,0),FALSE)),"")</f>
        <v>Une démarche de labellisation est mise en œuvre par l'organisation.</v>
      </c>
      <c r="H80" s="85" t="str">
        <f>IF(VLOOKUP(E80,BDD!$A$1:$S$567,15,FALSE)=0,"Critère non évalué","")</f>
        <v>Critère non évalué</v>
      </c>
      <c r="I80" s="66" t="str">
        <f>IFERROR(IF(VLOOKUP($E80,BDD!$A$1:$S$567,MATCH(I$10,BDD!$A$1:$P$1,0),FALSE)=0,"",VLOOKUP($E80,BDD!$A$1:$S$567,MATCH(I$10,BDD!$A$1:$P$1,0),FALSE)),"")</f>
        <v>N4</v>
      </c>
      <c r="J80" s="86"/>
      <c r="K80" s="67" t="str">
        <f>IFERROR(IF(VLOOKUP($E80,BDD!$A$1:$S$567,MATCH(K$10,BDD!$A$1:$P$1,0),FALSE)=0,"",VLOOKUP($E80,BDD!$A$1:$S$567,MATCH(K$10,BDD!$A$1:$P$1,0),FALSE)),"")</f>
        <v>• L’organisation et/ou les collaborateurs obtiennent des labels reconnus  tels que le label de l’INR.</v>
      </c>
      <c r="L80" s="68"/>
      <c r="M80" s="87"/>
      <c r="N80" s="87"/>
      <c r="O80" s="68"/>
      <c r="P80" s="268"/>
    </row>
    <row r="81" spans="1:16" ht="130.05000000000001" hidden="1" customHeight="1" x14ac:dyDescent="0.3">
      <c r="A81" s="268"/>
      <c r="B81" s="68"/>
      <c r="C81" s="68" t="str">
        <f t="shared" si="3"/>
        <v>4</v>
      </c>
      <c r="D81" s="68">
        <f t="shared" si="4"/>
        <v>5</v>
      </c>
      <c r="E81" s="84" t="str">
        <f t="shared" si="2"/>
        <v>454</v>
      </c>
      <c r="F81" s="64" t="s">
        <v>32</v>
      </c>
      <c r="G81" s="65" t="str">
        <f>IFERROR(IF(VLOOKUP($E81,BDD!$A$1:$S$567,MATCH(G$10,BDD!$A$1:$P$1,0),FALSE)=0,"",VLOOKUP($E81,BDD!$A$1:$S$567,MATCH(G$10,BDD!$A$1:$P$1,0),FALSE)),"")</f>
        <v/>
      </c>
      <c r="H81" s="88" t="str">
        <f>IF(VLOOKUP(E81,BDD!$A$1:$S$567,15,FALSE)=0,"Critère non évalué","")</f>
        <v>Critère non évalué</v>
      </c>
      <c r="I81" s="64" t="str">
        <f>IFERROR(IF(VLOOKUP($E81,BDD!$A$1:$S$567,MATCH(I$10,BDD!$A$1:$P$1,0),FALSE)=0,"",VLOOKUP($E81,BDD!$A$1:$S$567,MATCH(I$10,BDD!$A$1:$P$1,0),FALSE)),"")</f>
        <v xml:space="preserve"> </v>
      </c>
      <c r="J81" s="91"/>
      <c r="K81" s="65" t="str">
        <f>IFERROR(IF(VLOOKUP($E81,BDD!$A$1:$S$567,MATCH(K$10,BDD!$A$1:$P$1,0),FALSE)=0,"",VLOOKUP($E81,BDD!$A$1:$S$567,MATCH(K$10,BDD!$A$1:$P$1,0),FALSE)),"")</f>
        <v/>
      </c>
      <c r="L81" s="68"/>
      <c r="M81" s="90"/>
      <c r="N81" s="90"/>
      <c r="O81" s="68"/>
      <c r="P81" s="268"/>
    </row>
    <row r="82" spans="1:16" ht="130.05000000000001" hidden="1" customHeight="1" x14ac:dyDescent="0.3">
      <c r="A82" s="268"/>
      <c r="B82" s="68"/>
      <c r="C82" s="68" t="str">
        <f t="shared" si="3"/>
        <v>4</v>
      </c>
      <c r="D82" s="68">
        <f t="shared" si="4"/>
        <v>5</v>
      </c>
      <c r="E82" s="84" t="str">
        <f t="shared" si="2"/>
        <v>455</v>
      </c>
      <c r="F82" s="66" t="s">
        <v>33</v>
      </c>
      <c r="G82" s="67" t="str">
        <f>IFERROR(IF(VLOOKUP($E82,BDD!$A$1:$S$567,MATCH(G$10,BDD!$A$1:$P$1,0),FALSE)=0,"",VLOOKUP($E82,BDD!$A$1:$S$567,MATCH(G$10,BDD!$A$1:$P$1,0),FALSE)),"")</f>
        <v/>
      </c>
      <c r="H82" s="85" t="str">
        <f>IF(VLOOKUP(E82,BDD!$A$1:$S$567,15,FALSE)=0,"Critère non évalué","")</f>
        <v>Critère non évalué</v>
      </c>
      <c r="I82" s="66" t="str">
        <f>IFERROR(IF(VLOOKUP($E82,BDD!$A$1:$S$567,MATCH(I$10,BDD!$A$1:$P$1,0),FALSE)=0,"",VLOOKUP($E82,BDD!$A$1:$S$567,MATCH(I$10,BDD!$A$1:$P$1,0),FALSE)),"")</f>
        <v xml:space="preserve"> </v>
      </c>
      <c r="J82" s="86"/>
      <c r="K82" s="67" t="str">
        <f>IFERROR(IF(VLOOKUP($E82,BDD!$A$1:$S$567,MATCH(K$10,BDD!$A$1:$P$1,0),FALSE)=0,"",VLOOKUP($E82,BDD!$A$1:$S$567,MATCH(K$10,BDD!$A$1:$P$1,0),FALSE)),"")</f>
        <v/>
      </c>
      <c r="L82" s="68"/>
      <c r="M82" s="82"/>
      <c r="N82" s="82"/>
      <c r="O82" s="68"/>
      <c r="P82" s="268"/>
    </row>
    <row r="83" spans="1:16" ht="130.05000000000001" hidden="1" customHeight="1" x14ac:dyDescent="0.3">
      <c r="A83" s="268"/>
      <c r="B83" s="68"/>
      <c r="C83" s="68" t="str">
        <f t="shared" si="3"/>
        <v>4</v>
      </c>
      <c r="D83" s="68">
        <f t="shared" si="4"/>
        <v>5</v>
      </c>
      <c r="E83" s="84" t="str">
        <f>C83&amp;D83&amp;RIGHT(F83,1)</f>
        <v>456</v>
      </c>
      <c r="F83" s="64" t="s">
        <v>34</v>
      </c>
      <c r="G83" s="65" t="str">
        <f>IFERROR(IF(VLOOKUP($E83,BDD!$A$1:$S$567,MATCH(G$10,BDD!$A$1:$P$1,0),FALSE)=0,"",VLOOKUP($E83,BDD!$A$1:$S$567,MATCH(G$10,BDD!$A$1:$P$1,0),FALSE)),"")</f>
        <v/>
      </c>
      <c r="H83" s="88" t="str">
        <f>IF(VLOOKUP(E83,BDD!$A$1:$S$567,15,FALSE)=0,"Critère non évalué","")</f>
        <v>Critère non évalué</v>
      </c>
      <c r="I83" s="64" t="str">
        <f>IFERROR(IF(VLOOKUP($E83,BDD!$A$1:$S$567,MATCH(I$10,BDD!$A$1:$P$1,0),FALSE)=0,"",VLOOKUP($E83,BDD!$A$1:$S$567,MATCH(I$10,BDD!$A$1:$P$1,0),FALSE)),"")</f>
        <v xml:space="preserve"> </v>
      </c>
      <c r="J83" s="91"/>
      <c r="K83" s="65" t="str">
        <f>IFERROR(IF(VLOOKUP($E83,BDD!$A$1:$S$567,MATCH(K$10,BDD!$A$1:$P$1,0),FALSE)=0,"",VLOOKUP($E83,BDD!$A$1:$S$567,MATCH(K$10,BDD!$A$1:$P$1,0),FALSE)),"")</f>
        <v/>
      </c>
      <c r="L83" s="68"/>
      <c r="M83" s="90"/>
      <c r="N83" s="90"/>
      <c r="O83" s="68"/>
      <c r="P83" s="268"/>
    </row>
    <row r="84" spans="1:16" ht="130.05000000000001" hidden="1" customHeight="1" x14ac:dyDescent="0.3">
      <c r="A84" s="268"/>
      <c r="B84" s="68"/>
      <c r="C84" s="68" t="str">
        <f t="shared" si="3"/>
        <v>4</v>
      </c>
      <c r="D84" s="68">
        <f t="shared" si="4"/>
        <v>5</v>
      </c>
      <c r="E84" s="84" t="str">
        <f>C84&amp;D84&amp;RIGHT(F84,1)</f>
        <v>457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268"/>
    </row>
    <row r="85" spans="1:16" hidden="1" x14ac:dyDescent="0.3">
      <c r="A85" s="268"/>
      <c r="B85" s="68"/>
      <c r="C85" s="68" t="str">
        <f t="shared" si="3"/>
        <v>4</v>
      </c>
      <c r="D85" s="68"/>
      <c r="E85" s="68"/>
      <c r="F85" s="68"/>
      <c r="G85" s="68"/>
      <c r="H85" s="68"/>
      <c r="I85" s="68"/>
      <c r="J85" s="68"/>
      <c r="K85" s="68"/>
      <c r="L85" s="68"/>
      <c r="M85" s="68"/>
      <c r="N85" s="68"/>
      <c r="O85" s="68"/>
      <c r="P85" s="268"/>
    </row>
    <row r="86" spans="1:16" hidden="1" x14ac:dyDescent="0.3">
      <c r="A86" s="268"/>
      <c r="B86" s="68"/>
      <c r="C86" s="68" t="str">
        <f t="shared" si="3"/>
        <v>4</v>
      </c>
      <c r="D86" s="68"/>
      <c r="E86" s="68"/>
      <c r="F86" s="68"/>
      <c r="G86" s="68"/>
      <c r="H86" s="68"/>
      <c r="I86" s="68"/>
      <c r="J86" s="68"/>
      <c r="K86" s="68"/>
      <c r="L86" s="68"/>
      <c r="M86" s="68"/>
      <c r="N86" s="68"/>
      <c r="O86" s="68"/>
      <c r="P86" s="268"/>
    </row>
    <row r="87" spans="1:16" ht="30" hidden="1" x14ac:dyDescent="0.5">
      <c r="A87" s="296"/>
      <c r="B87" s="74"/>
      <c r="C87" s="68" t="str">
        <f t="shared" si="3"/>
        <v>4</v>
      </c>
      <c r="D87" s="68">
        <f>IF(LEFT(F87,14)="Bonne pratique",D83+1,D83)</f>
        <v>6</v>
      </c>
      <c r="E87" s="84" t="str">
        <f t="shared" ref="E87:E100" si="5">C87&amp;D87&amp;RIGHT(F87,1)</f>
        <v>466</v>
      </c>
      <c r="F87" s="208" t="s">
        <v>556</v>
      </c>
      <c r="G87" s="75"/>
      <c r="H87" s="205"/>
      <c r="I87" s="73"/>
      <c r="J87" s="73" t="e">
        <f>VLOOKUP(E94,BDD!$A$2:$N$567,6,FALSE)</f>
        <v>#N/A</v>
      </c>
      <c r="K87" s="72"/>
      <c r="L87" s="75"/>
      <c r="M87" s="75"/>
      <c r="N87" s="75"/>
      <c r="O87" s="74"/>
      <c r="P87" s="296"/>
    </row>
    <row r="88" spans="1:16" hidden="1" x14ac:dyDescent="0.3">
      <c r="A88" s="268"/>
      <c r="B88" s="68"/>
      <c r="C88" s="68" t="str">
        <f t="shared" si="3"/>
        <v>4</v>
      </c>
      <c r="D88" s="68">
        <f t="shared" ref="D88:D100" si="6">IF(LEFT(F88,14)="Bonne pratique",D87+1,D87)</f>
        <v>6</v>
      </c>
      <c r="E88" s="84" t="str">
        <f t="shared" si="5"/>
        <v>46</v>
      </c>
      <c r="F88" s="68"/>
      <c r="G88" s="68"/>
      <c r="H88" s="68"/>
      <c r="I88" s="68"/>
      <c r="J88" s="68"/>
      <c r="K88" s="68"/>
      <c r="L88" s="68"/>
      <c r="M88" s="68"/>
      <c r="N88" s="68"/>
      <c r="O88" s="68"/>
      <c r="P88" s="268"/>
    </row>
    <row r="89" spans="1:16" ht="18" hidden="1" x14ac:dyDescent="0.35">
      <c r="A89" s="297"/>
      <c r="B89" s="76"/>
      <c r="C89" s="68" t="str">
        <f t="shared" si="3"/>
        <v>4</v>
      </c>
      <c r="D89" s="68">
        <f t="shared" si="6"/>
        <v>6</v>
      </c>
      <c r="E89" s="84" t="str">
        <f t="shared" si="5"/>
        <v>46</v>
      </c>
      <c r="F89" s="76"/>
      <c r="G89" s="76"/>
      <c r="H89" s="76"/>
      <c r="I89" s="77"/>
      <c r="J89" s="207" t="e">
        <f>IFERROR(_xlfn.TEXTBEFORE(VLOOKUP(E94,BDD!$A$2:$N$567,7,FALSE)," ",30),VLOOKUP(E94,BDD!$A$2:$N$567,7,FALSE))</f>
        <v>#N/A</v>
      </c>
      <c r="K89" s="77"/>
      <c r="L89" s="76"/>
      <c r="M89" s="76"/>
      <c r="N89" s="76"/>
      <c r="O89" s="76"/>
      <c r="P89" s="297"/>
    </row>
    <row r="90" spans="1:16" ht="18" hidden="1" x14ac:dyDescent="0.35">
      <c r="A90" s="268"/>
      <c r="B90" s="68"/>
      <c r="C90" s="68" t="str">
        <f t="shared" si="3"/>
        <v>4</v>
      </c>
      <c r="D90" s="68">
        <f t="shared" si="6"/>
        <v>6</v>
      </c>
      <c r="E90" s="84" t="str">
        <f t="shared" si="5"/>
        <v>46</v>
      </c>
      <c r="F90" s="68"/>
      <c r="G90" s="68"/>
      <c r="H90" s="68"/>
      <c r="I90" s="68"/>
      <c r="J90" s="207" t="str">
        <f>IFERROR(_xlfn.TEXTAFTER(VLOOKUP(E94,BDD!$A$2:$N$567,7,FALSE)," ",30),"")</f>
        <v/>
      </c>
      <c r="K90" s="68"/>
      <c r="L90" s="68"/>
      <c r="M90" s="68"/>
      <c r="N90" s="68"/>
      <c r="O90" s="68"/>
      <c r="P90" s="268"/>
    </row>
    <row r="91" spans="1:16" hidden="1" x14ac:dyDescent="0.3">
      <c r="A91" s="268"/>
      <c r="B91" s="68"/>
      <c r="C91" s="68" t="str">
        <f t="shared" si="3"/>
        <v>4</v>
      </c>
      <c r="D91" s="68">
        <f t="shared" si="6"/>
        <v>6</v>
      </c>
      <c r="E91" s="84" t="str">
        <f t="shared" si="5"/>
        <v>46</v>
      </c>
      <c r="F91" s="68"/>
      <c r="G91" s="68"/>
      <c r="H91" s="68"/>
      <c r="I91" s="68"/>
      <c r="J91" s="78"/>
      <c r="K91" s="68"/>
      <c r="L91" s="68"/>
      <c r="M91" s="619" t="s">
        <v>92</v>
      </c>
      <c r="N91" s="619"/>
      <c r="O91" s="68"/>
      <c r="P91" s="268"/>
    </row>
    <row r="92" spans="1:16" ht="33" hidden="1" x14ac:dyDescent="0.3">
      <c r="A92" s="268"/>
      <c r="B92" s="68"/>
      <c r="C92" s="68" t="str">
        <f t="shared" si="3"/>
        <v>4</v>
      </c>
      <c r="D92" s="68">
        <f t="shared" si="6"/>
        <v>6</v>
      </c>
      <c r="E92" s="84" t="str">
        <f t="shared" si="5"/>
        <v>46</v>
      </c>
      <c r="F92" s="93"/>
      <c r="G92" s="80" t="s">
        <v>561</v>
      </c>
      <c r="H92" s="80" t="s">
        <v>82</v>
      </c>
      <c r="I92" s="80" t="s">
        <v>83</v>
      </c>
      <c r="J92" s="80" t="s">
        <v>84</v>
      </c>
      <c r="K92" s="80" t="s">
        <v>85</v>
      </c>
      <c r="L92" s="78"/>
      <c r="M92" s="81" t="s">
        <v>86</v>
      </c>
      <c r="N92" s="82" t="s">
        <v>87</v>
      </c>
      <c r="O92" s="68"/>
      <c r="P92" s="268"/>
    </row>
    <row r="93" spans="1:16" hidden="1" x14ac:dyDescent="0.3">
      <c r="A93" s="268"/>
      <c r="B93" s="68"/>
      <c r="C93" s="68" t="str">
        <f t="shared" si="3"/>
        <v>4</v>
      </c>
      <c r="D93" s="68">
        <f t="shared" si="6"/>
        <v>6</v>
      </c>
      <c r="E93" s="84" t="str">
        <f t="shared" si="5"/>
        <v>46</v>
      </c>
      <c r="F93" s="68"/>
      <c r="G93" s="83"/>
      <c r="H93" s="83"/>
      <c r="I93" s="83"/>
      <c r="J93" s="68"/>
      <c r="K93" s="83"/>
      <c r="L93" s="68"/>
      <c r="M93" s="68"/>
      <c r="N93" s="68"/>
      <c r="O93" s="68"/>
      <c r="P93" s="268"/>
    </row>
    <row r="94" spans="1:16" ht="130.05000000000001" hidden="1" customHeight="1" x14ac:dyDescent="0.3">
      <c r="A94" s="268"/>
      <c r="B94" s="68"/>
      <c r="C94" s="68" t="str">
        <f t="shared" si="3"/>
        <v>4</v>
      </c>
      <c r="D94" s="68">
        <f t="shared" si="6"/>
        <v>6</v>
      </c>
      <c r="E94" s="84" t="str">
        <f t="shared" si="5"/>
        <v>461</v>
      </c>
      <c r="F94" s="66" t="s">
        <v>27</v>
      </c>
      <c r="G94" s="67" t="str">
        <f>IFERROR(IF(VLOOKUP($E94,BDD!$A$1:$S$567,MATCH(G$10,BDD!$A$1:$P$1,0),FALSE)=0,"",VLOOKUP($E94,BDD!$A$1:$S$567,MATCH(G$10,BDD!$A$1:$P$1,0),FALSE)),"")</f>
        <v/>
      </c>
      <c r="H94" s="85" t="e">
        <f>IF(VLOOKUP(E94,BDD!$A$1:$S$567,15,FALSE)=0,"Critère non évalué","")</f>
        <v>#N/A</v>
      </c>
      <c r="I94" s="66" t="str">
        <f>IFERROR(IF(VLOOKUP($E94,BDD!$A$1:$S$567,MATCH(I$10,BDD!$A$1:$P$1,0),FALSE)=0,"",VLOOKUP($E94,BDD!$A$1:$S$567,MATCH(I$10,BDD!$A$1:$P$1,0),FALSE)),"")</f>
        <v/>
      </c>
      <c r="J94" s="86"/>
      <c r="K94" s="67" t="str">
        <f>IFERROR(IF(VLOOKUP($E94,BDD!$A$1:$S$567,MATCH(K$10,BDD!$A$1:$P$1,0),FALSE)=0,"",VLOOKUP($E94,BDD!$A$1:$S$567,MATCH(K$10,BDD!$A$1:$P$1,0),FALSE)),"")</f>
        <v/>
      </c>
      <c r="L94" s="68"/>
      <c r="M94" s="87"/>
      <c r="N94" s="87"/>
      <c r="O94" s="68"/>
      <c r="P94" s="268"/>
    </row>
    <row r="95" spans="1:16" ht="130.05000000000001" hidden="1" customHeight="1" x14ac:dyDescent="0.3">
      <c r="A95" s="268"/>
      <c r="B95" s="68"/>
      <c r="C95" s="68" t="str">
        <f t="shared" si="3"/>
        <v>4</v>
      </c>
      <c r="D95" s="68">
        <f t="shared" si="6"/>
        <v>6</v>
      </c>
      <c r="E95" s="84" t="str">
        <f t="shared" si="5"/>
        <v>462</v>
      </c>
      <c r="F95" s="94" t="s">
        <v>28</v>
      </c>
      <c r="G95" s="65" t="str">
        <f>IFERROR(IF(VLOOKUP($E95,BDD!$A$1:$S$567,MATCH(G$10,BDD!$A$1:$P$1,0),FALSE)=0,"",VLOOKUP($E95,BDD!$A$1:$S$567,MATCH(G$10,BDD!$A$1:$P$1,0),FALSE)),"")</f>
        <v/>
      </c>
      <c r="H95" s="88" t="e">
        <f>IF(VLOOKUP(E95,BDD!$A$1:$S$567,15,FALSE)=0,"Critère non évalué","")</f>
        <v>#N/A</v>
      </c>
      <c r="I95" s="64" t="str">
        <f>IFERROR(IF(VLOOKUP($E95,BDD!$A$1:$S$567,MATCH(I$10,BDD!$A$1:$P$1,0),FALSE)=0,"",VLOOKUP($E95,BDD!$A$1:$S$567,MATCH(I$10,BDD!$A$1:$P$1,0),FALSE)),"")</f>
        <v/>
      </c>
      <c r="J95" s="89"/>
      <c r="K95" s="65" t="str">
        <f>IFERROR(IF(VLOOKUP($E95,BDD!$A$1:$S$567,MATCH(K$10,BDD!$A$1:$P$1,0),FALSE)=0,"",VLOOKUP($E95,BDD!$A$1:$S$567,MATCH(K$10,BDD!$A$1:$P$1,0),FALSE)),"")</f>
        <v/>
      </c>
      <c r="L95" s="68"/>
      <c r="M95" s="90"/>
      <c r="N95" s="90"/>
      <c r="O95" s="68"/>
      <c r="P95" s="268"/>
    </row>
    <row r="96" spans="1:16" ht="130.05000000000001" hidden="1" customHeight="1" x14ac:dyDescent="0.3">
      <c r="A96" s="268"/>
      <c r="B96" s="68"/>
      <c r="C96" s="68" t="str">
        <f t="shared" si="3"/>
        <v>4</v>
      </c>
      <c r="D96" s="68">
        <f t="shared" si="6"/>
        <v>6</v>
      </c>
      <c r="E96" s="84" t="str">
        <f t="shared" si="5"/>
        <v>463</v>
      </c>
      <c r="F96" s="66" t="s">
        <v>30</v>
      </c>
      <c r="G96" s="67" t="str">
        <f>IFERROR(IF(VLOOKUP($E96,BDD!$A$1:$S$567,MATCH(G$10,BDD!$A$1:$P$1,0),FALSE)=0,"",VLOOKUP($E96,BDD!$A$1:$S$567,MATCH(G$10,BDD!$A$1:$P$1,0),FALSE)),"")</f>
        <v/>
      </c>
      <c r="H96" s="85" t="e">
        <f>IF(VLOOKUP(E96,BDD!$A$1:$S$567,15,FALSE)=0,"Critère non évalué","")</f>
        <v>#N/A</v>
      </c>
      <c r="I96" s="66" t="str">
        <f>IFERROR(IF(VLOOKUP($E96,BDD!$A$1:$S$567,MATCH(I$10,BDD!$A$1:$P$1,0),FALSE)=0,"",VLOOKUP($E96,BDD!$A$1:$S$567,MATCH(I$10,BDD!$A$1:$P$1,0),FALSE)),"")</f>
        <v/>
      </c>
      <c r="J96" s="86"/>
      <c r="K96" s="67" t="str">
        <f>IFERROR(IF(VLOOKUP($E96,BDD!$A$1:$S$567,MATCH(K$10,BDD!$A$1:$P$1,0),FALSE)=0,"",VLOOKUP($E96,BDD!$A$1:$S$567,MATCH(K$10,BDD!$A$1:$P$1,0),FALSE)),"")</f>
        <v/>
      </c>
      <c r="L96" s="68"/>
      <c r="M96" s="87"/>
      <c r="N96" s="87"/>
      <c r="O96" s="68"/>
      <c r="P96" s="268"/>
    </row>
    <row r="97" spans="1:16" ht="130.05000000000001" hidden="1" customHeight="1" x14ac:dyDescent="0.3">
      <c r="A97" s="268"/>
      <c r="B97" s="68"/>
      <c r="C97" s="68" t="str">
        <f t="shared" si="3"/>
        <v>4</v>
      </c>
      <c r="D97" s="68">
        <f t="shared" si="6"/>
        <v>6</v>
      </c>
      <c r="E97" s="84" t="str">
        <f t="shared" si="5"/>
        <v>464</v>
      </c>
      <c r="F97" s="64" t="s">
        <v>32</v>
      </c>
      <c r="G97" s="65" t="str">
        <f>IFERROR(IF(VLOOKUP($E97,BDD!$A$1:$S$567,MATCH(G$10,BDD!$A$1:$P$1,0),FALSE)=0,"",VLOOKUP($E97,BDD!$A$1:$S$567,MATCH(G$10,BDD!$A$1:$P$1,0),FALSE)),"")</f>
        <v/>
      </c>
      <c r="H97" s="88" t="e">
        <f>IF(VLOOKUP(E97,BDD!$A$1:$S$567,15,FALSE)=0,"Critère non évalué","")</f>
        <v>#N/A</v>
      </c>
      <c r="I97" s="64" t="str">
        <f>IFERROR(IF(VLOOKUP($E97,BDD!$A$1:$S$567,MATCH(I$10,BDD!$A$1:$P$1,0),FALSE)=0,"",VLOOKUP($E97,BDD!$A$1:$S$567,MATCH(I$10,BDD!$A$1:$P$1,0),FALSE)),"")</f>
        <v/>
      </c>
      <c r="J97" s="91"/>
      <c r="K97" s="65" t="str">
        <f>IFERROR(IF(VLOOKUP($E97,BDD!$A$1:$S$567,MATCH(K$10,BDD!$A$1:$P$1,0),FALSE)=0,"",VLOOKUP($E97,BDD!$A$1:$S$567,MATCH(K$10,BDD!$A$1:$P$1,0),FALSE)),"")</f>
        <v/>
      </c>
      <c r="L97" s="68"/>
      <c r="M97" s="90"/>
      <c r="N97" s="90"/>
      <c r="O97" s="68"/>
      <c r="P97" s="268"/>
    </row>
    <row r="98" spans="1:16" ht="130.05000000000001" hidden="1" customHeight="1" x14ac:dyDescent="0.3">
      <c r="A98" s="268"/>
      <c r="B98" s="68"/>
      <c r="C98" s="68" t="str">
        <f t="shared" si="3"/>
        <v>4</v>
      </c>
      <c r="D98" s="68">
        <f t="shared" si="6"/>
        <v>6</v>
      </c>
      <c r="E98" s="84" t="str">
        <f t="shared" si="5"/>
        <v>465</v>
      </c>
      <c r="F98" s="66" t="s">
        <v>33</v>
      </c>
      <c r="G98" s="67" t="str">
        <f>IFERROR(IF(VLOOKUP($E98,BDD!$A$1:$S$567,MATCH(G$10,BDD!$A$1:$P$1,0),FALSE)=0,"",VLOOKUP($E98,BDD!$A$1:$S$567,MATCH(G$10,BDD!$A$1:$P$1,0),FALSE)),"")</f>
        <v/>
      </c>
      <c r="H98" s="85" t="e">
        <f>IF(VLOOKUP(E98,BDD!$A$1:$S$567,15,FALSE)=0,"Critère non évalué","")</f>
        <v>#N/A</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268"/>
    </row>
    <row r="99" spans="1:16" ht="130.05000000000001" hidden="1" customHeight="1" x14ac:dyDescent="0.3">
      <c r="A99" s="268"/>
      <c r="B99" s="68"/>
      <c r="C99" s="68" t="str">
        <f t="shared" si="3"/>
        <v>4</v>
      </c>
      <c r="D99" s="68">
        <f t="shared" si="6"/>
        <v>6</v>
      </c>
      <c r="E99" s="84" t="str">
        <f t="shared" si="5"/>
        <v>466</v>
      </c>
      <c r="F99" s="64" t="s">
        <v>34</v>
      </c>
      <c r="G99" s="65" t="str">
        <f>IFERROR(IF(VLOOKUP($E99,BDD!$A$1:$S$567,MATCH(G$10,BDD!$A$1:$P$1,0),FALSE)=0,"",VLOOKUP($E99,BDD!$A$1:$S$567,MATCH(G$10,BDD!$A$1:$P$1,0),FALSE)),"")</f>
        <v/>
      </c>
      <c r="H99" s="88" t="e">
        <f>IF(VLOOKUP(E99,BDD!$A$1:$S$567,15,FALSE)=0,"Critère non évalué","")</f>
        <v>#N/A</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268"/>
    </row>
    <row r="100" spans="1:16" ht="130.05000000000001" hidden="1" customHeight="1" x14ac:dyDescent="0.3">
      <c r="A100" s="268"/>
      <c r="B100" s="68"/>
      <c r="C100" s="68" t="str">
        <f t="shared" si="3"/>
        <v>4</v>
      </c>
      <c r="D100" s="68">
        <f t="shared" si="6"/>
        <v>6</v>
      </c>
      <c r="E100" s="84" t="str">
        <f t="shared" si="5"/>
        <v>467</v>
      </c>
      <c r="F100" s="66" t="s">
        <v>36</v>
      </c>
      <c r="G100" s="67" t="str">
        <f>IFERROR(IF(VLOOKUP($E100,BDD!$A$1:$S$567,MATCH(G$10,BDD!$A$1:$P$1,0),FALSE)=0,"",VLOOKUP($E100,BDD!$A$1:$S$567,MATCH(G$10,BDD!$A$1:$P$1,0),FALSE)),"")</f>
        <v/>
      </c>
      <c r="H100" s="85" t="e">
        <f>IF(VLOOKUP(E100,BDD!$A$1:$S$567,15,FALSE)=0,"Critère non évalué","")</f>
        <v>#N/A</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268"/>
    </row>
    <row r="101" spans="1:16" hidden="1" x14ac:dyDescent="0.3">
      <c r="A101" s="268"/>
      <c r="B101" s="68"/>
      <c r="C101" s="68" t="str">
        <f t="shared" si="3"/>
        <v>4</v>
      </c>
      <c r="D101" s="68"/>
      <c r="E101" s="68"/>
      <c r="F101" s="68"/>
      <c r="G101" s="68"/>
      <c r="H101" s="68"/>
      <c r="I101" s="68"/>
      <c r="J101" s="68"/>
      <c r="K101" s="68"/>
      <c r="L101" s="68"/>
      <c r="M101" s="68"/>
      <c r="N101" s="68"/>
      <c r="O101" s="68"/>
      <c r="P101" s="268"/>
    </row>
    <row r="102" spans="1:16" hidden="1" x14ac:dyDescent="0.3">
      <c r="A102" s="268"/>
      <c r="B102" s="68"/>
      <c r="C102" s="68" t="str">
        <f t="shared" si="3"/>
        <v>4</v>
      </c>
      <c r="D102" s="68"/>
      <c r="E102" s="68"/>
      <c r="F102" s="68"/>
      <c r="G102" s="68"/>
      <c r="H102" s="68"/>
      <c r="I102" s="68"/>
      <c r="J102" s="68"/>
      <c r="K102" s="68"/>
      <c r="L102" s="68"/>
      <c r="M102" s="68"/>
      <c r="N102" s="68"/>
      <c r="O102" s="68"/>
      <c r="P102" s="268"/>
    </row>
    <row r="103" spans="1:16" ht="30" hidden="1" x14ac:dyDescent="0.5">
      <c r="A103" s="296"/>
      <c r="B103" s="74"/>
      <c r="C103" s="68" t="str">
        <f t="shared" si="3"/>
        <v>4</v>
      </c>
      <c r="D103" s="68">
        <f>IF(LEFT(F103,14)="Bonne pratique",D99+1,D99)</f>
        <v>7</v>
      </c>
      <c r="E103" s="84" t="str">
        <f t="shared" ref="E103:E116" si="7">C103&amp;D103&amp;RIGHT(F103,1)</f>
        <v>477</v>
      </c>
      <c r="F103" s="208" t="s">
        <v>557</v>
      </c>
      <c r="G103" s="75"/>
      <c r="H103" s="205"/>
      <c r="I103" s="73"/>
      <c r="J103" s="73" t="e">
        <f>VLOOKUP(E110,BDD!$A$2:$N$567,6,FALSE)</f>
        <v>#N/A</v>
      </c>
      <c r="K103" s="72"/>
      <c r="L103" s="75"/>
      <c r="M103" s="75"/>
      <c r="N103" s="75"/>
      <c r="O103" s="74"/>
      <c r="P103" s="296"/>
    </row>
    <row r="104" spans="1:16" hidden="1" x14ac:dyDescent="0.3">
      <c r="A104" s="268"/>
      <c r="B104" s="68"/>
      <c r="C104" s="68" t="str">
        <f t="shared" si="3"/>
        <v>4</v>
      </c>
      <c r="D104" s="68">
        <f t="shared" ref="D104:D116" si="8">IF(LEFT(F104,14)="Bonne pratique",D103+1,D103)</f>
        <v>7</v>
      </c>
      <c r="E104" s="84" t="str">
        <f t="shared" si="7"/>
        <v>47</v>
      </c>
      <c r="F104" s="68"/>
      <c r="G104" s="68"/>
      <c r="H104" s="68"/>
      <c r="I104" s="68"/>
      <c r="J104" s="68"/>
      <c r="K104" s="68"/>
      <c r="L104" s="68"/>
      <c r="M104" s="68"/>
      <c r="N104" s="68"/>
      <c r="O104" s="68"/>
      <c r="P104" s="268"/>
    </row>
    <row r="105" spans="1:16" ht="18" hidden="1" x14ac:dyDescent="0.35">
      <c r="A105" s="297"/>
      <c r="B105" s="76"/>
      <c r="C105" s="68" t="str">
        <f t="shared" si="3"/>
        <v>4</v>
      </c>
      <c r="D105" s="68">
        <f t="shared" si="8"/>
        <v>7</v>
      </c>
      <c r="E105" s="84" t="str">
        <f t="shared" si="7"/>
        <v>47</v>
      </c>
      <c r="F105" s="76"/>
      <c r="G105" s="76"/>
      <c r="H105" s="76"/>
      <c r="I105" s="77"/>
      <c r="J105" s="207" t="e">
        <f>IFERROR(_xlfn.TEXTBEFORE(VLOOKUP(E110,BDD!$A$2:$N$567,7,FALSE)," ",30),VLOOKUP(E110,BDD!$A$2:$N$567,7,FALSE))</f>
        <v>#N/A</v>
      </c>
      <c r="K105" s="77"/>
      <c r="L105" s="76"/>
      <c r="M105" s="76"/>
      <c r="N105" s="76"/>
      <c r="O105" s="76"/>
      <c r="P105" s="297"/>
    </row>
    <row r="106" spans="1:16" ht="18" hidden="1" x14ac:dyDescent="0.35">
      <c r="A106" s="268"/>
      <c r="B106" s="68"/>
      <c r="C106" s="68" t="str">
        <f t="shared" si="3"/>
        <v>4</v>
      </c>
      <c r="D106" s="68">
        <f t="shared" si="8"/>
        <v>7</v>
      </c>
      <c r="E106" s="84" t="str">
        <f t="shared" si="7"/>
        <v>47</v>
      </c>
      <c r="F106" s="68"/>
      <c r="G106" s="68"/>
      <c r="H106" s="68"/>
      <c r="I106" s="68"/>
      <c r="J106" s="207" t="str">
        <f>IFERROR(_xlfn.TEXTAFTER(VLOOKUP(E110,BDD!$A$2:$N$567,7,FALSE)," ",30),"")</f>
        <v/>
      </c>
      <c r="K106" s="68"/>
      <c r="L106" s="68"/>
      <c r="M106" s="68"/>
      <c r="N106" s="68"/>
      <c r="O106" s="68"/>
      <c r="P106" s="268"/>
    </row>
    <row r="107" spans="1:16" hidden="1" x14ac:dyDescent="0.3">
      <c r="A107" s="268"/>
      <c r="B107" s="68"/>
      <c r="C107" s="68" t="str">
        <f t="shared" si="3"/>
        <v>4</v>
      </c>
      <c r="D107" s="68">
        <f t="shared" si="8"/>
        <v>7</v>
      </c>
      <c r="E107" s="84" t="str">
        <f t="shared" si="7"/>
        <v>47</v>
      </c>
      <c r="F107" s="68"/>
      <c r="G107" s="68"/>
      <c r="H107" s="68"/>
      <c r="I107" s="68"/>
      <c r="J107" s="78"/>
      <c r="K107" s="68"/>
      <c r="L107" s="68"/>
      <c r="M107" s="619" t="s">
        <v>92</v>
      </c>
      <c r="N107" s="619"/>
      <c r="O107" s="68"/>
      <c r="P107" s="268"/>
    </row>
    <row r="108" spans="1:16" ht="33" hidden="1" x14ac:dyDescent="0.3">
      <c r="A108" s="268"/>
      <c r="B108" s="68"/>
      <c r="C108" s="68" t="str">
        <f t="shared" si="3"/>
        <v>4</v>
      </c>
      <c r="D108" s="68">
        <f t="shared" si="8"/>
        <v>7</v>
      </c>
      <c r="E108" s="84" t="str">
        <f t="shared" si="7"/>
        <v>47</v>
      </c>
      <c r="F108" s="93"/>
      <c r="G108" s="80" t="s">
        <v>561</v>
      </c>
      <c r="H108" s="80" t="s">
        <v>82</v>
      </c>
      <c r="I108" s="80" t="s">
        <v>83</v>
      </c>
      <c r="J108" s="80" t="s">
        <v>84</v>
      </c>
      <c r="K108" s="80" t="s">
        <v>85</v>
      </c>
      <c r="L108" s="78"/>
      <c r="M108" s="81" t="s">
        <v>86</v>
      </c>
      <c r="N108" s="82" t="s">
        <v>87</v>
      </c>
      <c r="O108" s="68"/>
      <c r="P108" s="268"/>
    </row>
    <row r="109" spans="1:16" hidden="1" x14ac:dyDescent="0.3">
      <c r="A109" s="268"/>
      <c r="B109" s="68"/>
      <c r="C109" s="68" t="str">
        <f t="shared" si="3"/>
        <v>4</v>
      </c>
      <c r="D109" s="68">
        <f t="shared" si="8"/>
        <v>7</v>
      </c>
      <c r="E109" s="84" t="str">
        <f t="shared" si="7"/>
        <v>47</v>
      </c>
      <c r="F109" s="68"/>
      <c r="G109" s="83"/>
      <c r="H109" s="83"/>
      <c r="I109" s="83"/>
      <c r="J109" s="68"/>
      <c r="K109" s="83"/>
      <c r="L109" s="68"/>
      <c r="M109" s="68"/>
      <c r="N109" s="68"/>
      <c r="O109" s="68"/>
      <c r="P109" s="268"/>
    </row>
    <row r="110" spans="1:16" ht="130.05000000000001" hidden="1" customHeight="1" x14ac:dyDescent="0.3">
      <c r="A110" s="268"/>
      <c r="B110" s="68"/>
      <c r="C110" s="68" t="str">
        <f t="shared" si="3"/>
        <v>4</v>
      </c>
      <c r="D110" s="68">
        <f t="shared" si="8"/>
        <v>7</v>
      </c>
      <c r="E110" s="84" t="str">
        <f t="shared" si="7"/>
        <v>471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268"/>
    </row>
    <row r="111" spans="1:16" ht="130.05000000000001" hidden="1" customHeight="1" x14ac:dyDescent="0.3">
      <c r="A111" s="268"/>
      <c r="B111" s="68"/>
      <c r="C111" s="68" t="str">
        <f t="shared" si="3"/>
        <v>4</v>
      </c>
      <c r="D111" s="68">
        <f t="shared" si="8"/>
        <v>7</v>
      </c>
      <c r="E111" s="84" t="str">
        <f t="shared" si="7"/>
        <v>472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268"/>
    </row>
    <row r="112" spans="1:16" ht="130.05000000000001" hidden="1" customHeight="1" x14ac:dyDescent="0.3">
      <c r="A112" s="268"/>
      <c r="B112" s="68"/>
      <c r="C112" s="68" t="str">
        <f t="shared" si="3"/>
        <v>4</v>
      </c>
      <c r="D112" s="68">
        <f t="shared" si="8"/>
        <v>7</v>
      </c>
      <c r="E112" s="84" t="str">
        <f t="shared" si="7"/>
        <v>473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268"/>
    </row>
    <row r="113" spans="1:16" ht="130.05000000000001" hidden="1" customHeight="1" x14ac:dyDescent="0.3">
      <c r="A113" s="268"/>
      <c r="B113" s="68"/>
      <c r="C113" s="68" t="str">
        <f t="shared" si="3"/>
        <v>4</v>
      </c>
      <c r="D113" s="68">
        <f t="shared" si="8"/>
        <v>7</v>
      </c>
      <c r="E113" s="84" t="str">
        <f t="shared" si="7"/>
        <v>474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268"/>
    </row>
    <row r="114" spans="1:16" ht="130.05000000000001" hidden="1" customHeight="1" x14ac:dyDescent="0.3">
      <c r="A114" s="268"/>
      <c r="B114" s="68"/>
      <c r="C114" s="68" t="str">
        <f t="shared" si="3"/>
        <v>4</v>
      </c>
      <c r="D114" s="68">
        <f t="shared" si="8"/>
        <v>7</v>
      </c>
      <c r="E114" s="84" t="str">
        <f t="shared" si="7"/>
        <v>475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268"/>
    </row>
    <row r="115" spans="1:16" ht="130.05000000000001" hidden="1" customHeight="1" x14ac:dyDescent="0.3">
      <c r="A115" s="268"/>
      <c r="B115" s="68"/>
      <c r="C115" s="68" t="str">
        <f t="shared" si="3"/>
        <v>4</v>
      </c>
      <c r="D115" s="68">
        <f t="shared" si="8"/>
        <v>7</v>
      </c>
      <c r="E115" s="84" t="str">
        <f t="shared" si="7"/>
        <v>476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268"/>
    </row>
    <row r="116" spans="1:16" ht="130.05000000000001" hidden="1" customHeight="1" x14ac:dyDescent="0.3">
      <c r="A116" s="268"/>
      <c r="B116" s="68"/>
      <c r="C116" s="68" t="str">
        <f t="shared" ref="C116" si="9">RIGHT($B$1,1)</f>
        <v>4</v>
      </c>
      <c r="D116" s="68">
        <f t="shared" si="8"/>
        <v>7</v>
      </c>
      <c r="E116" s="84" t="str">
        <f t="shared" si="7"/>
        <v>477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68"/>
    </row>
    <row r="117" spans="1:16" x14ac:dyDescent="0.3">
      <c r="A117" s="268"/>
      <c r="B117" s="68"/>
      <c r="C117" s="68"/>
      <c r="D117" s="68"/>
      <c r="E117" s="68"/>
      <c r="F117" s="68"/>
      <c r="G117" s="68"/>
      <c r="H117" s="68"/>
      <c r="I117" s="68"/>
      <c r="J117" s="68"/>
      <c r="K117" s="68"/>
      <c r="L117" s="68"/>
      <c r="M117" s="68"/>
      <c r="N117" s="68"/>
      <c r="O117" s="68"/>
      <c r="P117" s="268"/>
    </row>
    <row r="118" spans="1:16" x14ac:dyDescent="0.3">
      <c r="A118" s="268" t="s">
        <v>164</v>
      </c>
      <c r="B118" s="268"/>
      <c r="C118" s="268"/>
      <c r="D118" s="268"/>
      <c r="E118" s="268"/>
      <c r="F118" s="268"/>
      <c r="G118" s="268"/>
      <c r="H118" s="268"/>
      <c r="I118" s="268"/>
      <c r="J118" s="268"/>
      <c r="K118" s="268"/>
      <c r="L118" s="268"/>
      <c r="M118" s="268"/>
      <c r="N118" s="268"/>
      <c r="O118" s="268"/>
      <c r="P118" s="268" t="s">
        <v>164</v>
      </c>
    </row>
  </sheetData>
  <sheetProtection algorithmName="SHA-512" hashValue="eOpCLZp2BP0CHUi3QSPdeh0F/gRw7d7OegGq5Vikfc1Bb5468RJc/9w6pCsXjsridUgUILLPltLg1JnEWN+2VQ==" saltValue="ZELGOG9cjOhxSkS0CjNISQ==" spinCount="100000" sheet="1" objects="1" scenarios="1"/>
  <protectedRanges>
    <protectedRange algorithmName="SHA-512" hashValue="8ahxLFpE+K1lqBLWxGWpOhbDaiLZlJVsG+nmubgaP2+UbYmDqkTdmwYUqskX/3ppo+p34mc/yM7Dy40P0mQEeA==" saltValue="ohEm+wJL3UUnn/P7XqxB/g==" spinCount="100000" sqref="H1:H38 H40: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46703A93-FCEE-4629-9CCE-3F11F314BF92}"/>
    <hyperlink ref="F29" location="V2Quest!A1" display="(Cf. Vecteur 2 - Innovation)" xr:uid="{0920612F-332C-48B1-AE7A-9580BFB6A681}"/>
    <hyperlink ref="F45" location="V2Quest!A1" display="(Cf. Vecteur 2 - Innovation)" xr:uid="{D7430866-14E5-475F-B2D8-2E7C484F1F3B}"/>
    <hyperlink ref="F61" location="V2Quest!A1" display="(Cf. Vecteur 2 - Innovation)" xr:uid="{AB02A341-BD8C-4A57-B25E-988814C14E0C}"/>
    <hyperlink ref="F79" location="V2Quest!A1" display="(Cf. Vecteur 2 - Innovation)" xr:uid="{C6B18BC8-C957-4C7E-983E-4251253B3757}"/>
    <hyperlink ref="F95" location="V2Quest!A1" display="(Cf. Vecteur 2 - Innovation)" xr:uid="{EA6B40E4-236F-4A05-8749-448DD59E630D}"/>
    <hyperlink ref="F111" location="V2Quest!A1" display="(Cf. Vecteur 2 - Innovation)" xr:uid="{357D2055-869C-4566-81F3-854857005859}"/>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2689" r:id="rId3" name="Option Button 1">
              <controlPr defaultSize="0" autoFill="0" autoLine="0" autoPict="0">
                <anchor moveWithCells="1">
                  <from>
                    <xdr:col>7</xdr:col>
                    <xdr:colOff>114300</xdr:colOff>
                    <xdr:row>12</xdr:row>
                    <xdr:rowOff>144780</xdr:rowOff>
                  </from>
                  <to>
                    <xdr:col>7</xdr:col>
                    <xdr:colOff>1958340</xdr:colOff>
                    <xdr:row>12</xdr:row>
                    <xdr:rowOff>320040</xdr:rowOff>
                  </to>
                </anchor>
              </controlPr>
            </control>
          </mc:Choice>
        </mc:AlternateContent>
        <mc:AlternateContent xmlns:mc="http://schemas.openxmlformats.org/markup-compatibility/2006">
          <mc:Choice Requires="x14">
            <control shapeId="242690" r:id="rId4" name="Option Button 2">
              <controlPr defaultSize="0" autoFill="0" autoLine="0" autoPict="0">
                <anchor moveWithCells="1">
                  <from>
                    <xdr:col>7</xdr:col>
                    <xdr:colOff>114300</xdr:colOff>
                    <xdr:row>12</xdr:row>
                    <xdr:rowOff>396240</xdr:rowOff>
                  </from>
                  <to>
                    <xdr:col>7</xdr:col>
                    <xdr:colOff>1958340</xdr:colOff>
                    <xdr:row>12</xdr:row>
                    <xdr:rowOff>586740</xdr:rowOff>
                  </to>
                </anchor>
              </controlPr>
            </control>
          </mc:Choice>
        </mc:AlternateContent>
        <mc:AlternateContent xmlns:mc="http://schemas.openxmlformats.org/markup-compatibility/2006">
          <mc:Choice Requires="x14">
            <control shapeId="242691" r:id="rId5" name="Option Button 3">
              <controlPr defaultSize="0" autoFill="0" autoLine="0" autoPict="0">
                <anchor moveWithCells="1">
                  <from>
                    <xdr:col>7</xdr:col>
                    <xdr:colOff>114300</xdr:colOff>
                    <xdr:row>12</xdr:row>
                    <xdr:rowOff>640080</xdr:rowOff>
                  </from>
                  <to>
                    <xdr:col>7</xdr:col>
                    <xdr:colOff>1958340</xdr:colOff>
                    <xdr:row>12</xdr:row>
                    <xdr:rowOff>830580</xdr:rowOff>
                  </to>
                </anchor>
              </controlPr>
            </control>
          </mc:Choice>
        </mc:AlternateContent>
        <mc:AlternateContent xmlns:mc="http://schemas.openxmlformats.org/markup-compatibility/2006">
          <mc:Choice Requires="x14">
            <control shapeId="242692" r:id="rId6" name="Option Button 4">
              <controlPr defaultSize="0" autoFill="0" autoLine="0" autoPict="0">
                <anchor moveWithCells="1">
                  <from>
                    <xdr:col>7</xdr:col>
                    <xdr:colOff>114300</xdr:colOff>
                    <xdr:row>12</xdr:row>
                    <xdr:rowOff>922020</xdr:rowOff>
                  </from>
                  <to>
                    <xdr:col>7</xdr:col>
                    <xdr:colOff>1958340</xdr:colOff>
                    <xdr:row>12</xdr:row>
                    <xdr:rowOff>1120140</xdr:rowOff>
                  </to>
                </anchor>
              </controlPr>
            </control>
          </mc:Choice>
        </mc:AlternateContent>
        <mc:AlternateContent xmlns:mc="http://schemas.openxmlformats.org/markup-compatibility/2006">
          <mc:Choice Requires="x14">
            <control shapeId="242693"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242695"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242696"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242697" r:id="rId10" name="Option Button 9">
              <controlPr defaultSize="0" autoFill="0" autoLine="0" autoPict="0">
                <anchor moveWithCells="1">
                  <from>
                    <xdr:col>7</xdr:col>
                    <xdr:colOff>106680</xdr:colOff>
                    <xdr:row>11</xdr:row>
                    <xdr:rowOff>304800</xdr:rowOff>
                  </from>
                  <to>
                    <xdr:col>7</xdr:col>
                    <xdr:colOff>1965960</xdr:colOff>
                    <xdr:row>11</xdr:row>
                    <xdr:rowOff>502920</xdr:rowOff>
                  </to>
                </anchor>
              </controlPr>
            </control>
          </mc:Choice>
        </mc:AlternateContent>
        <mc:AlternateContent xmlns:mc="http://schemas.openxmlformats.org/markup-compatibility/2006">
          <mc:Choice Requires="x14">
            <control shapeId="242698"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242699"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242720" r:id="rId13"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242721" r:id="rId14" name="Option Button 33">
              <controlPr defaultSize="0" autoFill="0" autoLine="0" autoPict="0">
                <anchor moveWithCells="1">
                  <from>
                    <xdr:col>7</xdr:col>
                    <xdr:colOff>106680</xdr:colOff>
                    <xdr:row>13</xdr:row>
                    <xdr:rowOff>304800</xdr:rowOff>
                  </from>
                  <to>
                    <xdr:col>7</xdr:col>
                    <xdr:colOff>1958340</xdr:colOff>
                    <xdr:row>13</xdr:row>
                    <xdr:rowOff>502920</xdr:rowOff>
                  </to>
                </anchor>
              </controlPr>
            </control>
          </mc:Choice>
        </mc:AlternateContent>
        <mc:AlternateContent xmlns:mc="http://schemas.openxmlformats.org/markup-compatibility/2006">
          <mc:Choice Requires="x14">
            <control shapeId="242722" r:id="rId15" name="Option Button 34">
              <controlPr defaultSize="0" autoFill="0" autoLine="0" autoPict="0">
                <anchor moveWithCells="1">
                  <from>
                    <xdr:col>7</xdr:col>
                    <xdr:colOff>106680</xdr:colOff>
                    <xdr:row>13</xdr:row>
                    <xdr:rowOff>579120</xdr:rowOff>
                  </from>
                  <to>
                    <xdr:col>7</xdr:col>
                    <xdr:colOff>1965960</xdr:colOff>
                    <xdr:row>13</xdr:row>
                    <xdr:rowOff>754380</xdr:rowOff>
                  </to>
                </anchor>
              </controlPr>
            </control>
          </mc:Choice>
        </mc:AlternateContent>
        <mc:AlternateContent xmlns:mc="http://schemas.openxmlformats.org/markup-compatibility/2006">
          <mc:Choice Requires="x14">
            <control shapeId="242723" r:id="rId16"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242724" r:id="rId17"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242725" r:id="rId18" name="Option Button 37">
              <controlPr defaultSize="0" autoFill="0" autoLine="0" autoPict="0">
                <anchor moveWithCells="1">
                  <from>
                    <xdr:col>7</xdr:col>
                    <xdr:colOff>114300</xdr:colOff>
                    <xdr:row>28</xdr:row>
                    <xdr:rowOff>144780</xdr:rowOff>
                  </from>
                  <to>
                    <xdr:col>7</xdr:col>
                    <xdr:colOff>1958340</xdr:colOff>
                    <xdr:row>28</xdr:row>
                    <xdr:rowOff>320040</xdr:rowOff>
                  </to>
                </anchor>
              </controlPr>
            </control>
          </mc:Choice>
        </mc:AlternateContent>
        <mc:AlternateContent xmlns:mc="http://schemas.openxmlformats.org/markup-compatibility/2006">
          <mc:Choice Requires="x14">
            <control shapeId="242726" r:id="rId19" name="Option Button 38">
              <controlPr defaultSize="0" autoFill="0" autoLine="0" autoPict="0">
                <anchor moveWithCells="1">
                  <from>
                    <xdr:col>7</xdr:col>
                    <xdr:colOff>114300</xdr:colOff>
                    <xdr:row>28</xdr:row>
                    <xdr:rowOff>396240</xdr:rowOff>
                  </from>
                  <to>
                    <xdr:col>7</xdr:col>
                    <xdr:colOff>1958340</xdr:colOff>
                    <xdr:row>28</xdr:row>
                    <xdr:rowOff>586740</xdr:rowOff>
                  </to>
                </anchor>
              </controlPr>
            </control>
          </mc:Choice>
        </mc:AlternateContent>
        <mc:AlternateContent xmlns:mc="http://schemas.openxmlformats.org/markup-compatibility/2006">
          <mc:Choice Requires="x14">
            <control shapeId="242727" r:id="rId20" name="Option Button 39">
              <controlPr defaultSize="0" autoFill="0" autoLine="0" autoPict="0">
                <anchor moveWithCells="1">
                  <from>
                    <xdr:col>7</xdr:col>
                    <xdr:colOff>114300</xdr:colOff>
                    <xdr:row>28</xdr:row>
                    <xdr:rowOff>640080</xdr:rowOff>
                  </from>
                  <to>
                    <xdr:col>7</xdr:col>
                    <xdr:colOff>1958340</xdr:colOff>
                    <xdr:row>28</xdr:row>
                    <xdr:rowOff>830580</xdr:rowOff>
                  </to>
                </anchor>
              </controlPr>
            </control>
          </mc:Choice>
        </mc:AlternateContent>
        <mc:AlternateContent xmlns:mc="http://schemas.openxmlformats.org/markup-compatibility/2006">
          <mc:Choice Requires="x14">
            <control shapeId="242728" r:id="rId21" name="Option Button 40">
              <controlPr defaultSize="0" autoFill="0" autoLine="0" autoPict="0">
                <anchor moveWithCells="1">
                  <from>
                    <xdr:col>7</xdr:col>
                    <xdr:colOff>114300</xdr:colOff>
                    <xdr:row>28</xdr:row>
                    <xdr:rowOff>922020</xdr:rowOff>
                  </from>
                  <to>
                    <xdr:col>7</xdr:col>
                    <xdr:colOff>1958340</xdr:colOff>
                    <xdr:row>28</xdr:row>
                    <xdr:rowOff>1120140</xdr:rowOff>
                  </to>
                </anchor>
              </controlPr>
            </control>
          </mc:Choice>
        </mc:AlternateContent>
        <mc:AlternateContent xmlns:mc="http://schemas.openxmlformats.org/markup-compatibility/2006">
          <mc:Choice Requires="x14">
            <control shapeId="242729" r:id="rId22"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242751" r:id="rId23"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242752" r:id="rId24" name="Option Button 64">
              <controlPr defaultSize="0" autoFill="0" autoLine="0" autoPict="0">
                <anchor moveWithCells="1">
                  <from>
                    <xdr:col>7</xdr:col>
                    <xdr:colOff>106680</xdr:colOff>
                    <xdr:row>29</xdr:row>
                    <xdr:rowOff>304800</xdr:rowOff>
                  </from>
                  <to>
                    <xdr:col>7</xdr:col>
                    <xdr:colOff>1958340</xdr:colOff>
                    <xdr:row>29</xdr:row>
                    <xdr:rowOff>502920</xdr:rowOff>
                  </to>
                </anchor>
              </controlPr>
            </control>
          </mc:Choice>
        </mc:AlternateContent>
        <mc:AlternateContent xmlns:mc="http://schemas.openxmlformats.org/markup-compatibility/2006">
          <mc:Choice Requires="x14">
            <control shapeId="242753" r:id="rId25" name="Option Button 65">
              <controlPr defaultSize="0" autoFill="0" autoLine="0" autoPict="0">
                <anchor moveWithCells="1">
                  <from>
                    <xdr:col>7</xdr:col>
                    <xdr:colOff>106680</xdr:colOff>
                    <xdr:row>29</xdr:row>
                    <xdr:rowOff>579120</xdr:rowOff>
                  </from>
                  <to>
                    <xdr:col>7</xdr:col>
                    <xdr:colOff>1965960</xdr:colOff>
                    <xdr:row>29</xdr:row>
                    <xdr:rowOff>754380</xdr:rowOff>
                  </to>
                </anchor>
              </controlPr>
            </control>
          </mc:Choice>
        </mc:AlternateContent>
        <mc:AlternateContent xmlns:mc="http://schemas.openxmlformats.org/markup-compatibility/2006">
          <mc:Choice Requires="x14">
            <control shapeId="242754" r:id="rId26"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242755" r:id="rId27"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242756" r:id="rId28" name="Option Button 68">
              <controlPr defaultSize="0" autoFill="0" autoLine="0" autoPict="0" altText="Case d'option 47">
                <anchor moveWithCells="1">
                  <from>
                    <xdr:col>7</xdr:col>
                    <xdr:colOff>106680</xdr:colOff>
                    <xdr:row>43</xdr:row>
                    <xdr:rowOff>106680</xdr:rowOff>
                  </from>
                  <to>
                    <xdr:col>7</xdr:col>
                    <xdr:colOff>1501140</xdr:colOff>
                    <xdr:row>43</xdr:row>
                    <xdr:rowOff>403860</xdr:rowOff>
                  </to>
                </anchor>
              </controlPr>
            </control>
          </mc:Choice>
        </mc:AlternateContent>
        <mc:AlternateContent xmlns:mc="http://schemas.openxmlformats.org/markup-compatibility/2006">
          <mc:Choice Requires="x14">
            <control shapeId="242757" r:id="rId29" name="Option Button 69">
              <controlPr defaultSize="0" autoFill="0" autoLine="0" autoPict="0">
                <anchor moveWithCells="1">
                  <from>
                    <xdr:col>7</xdr:col>
                    <xdr:colOff>106680</xdr:colOff>
                    <xdr:row>43</xdr:row>
                    <xdr:rowOff>472440</xdr:rowOff>
                  </from>
                  <to>
                    <xdr:col>7</xdr:col>
                    <xdr:colOff>1958340</xdr:colOff>
                    <xdr:row>43</xdr:row>
                    <xdr:rowOff>777240</xdr:rowOff>
                  </to>
                </anchor>
              </controlPr>
            </control>
          </mc:Choice>
        </mc:AlternateContent>
        <mc:AlternateContent xmlns:mc="http://schemas.openxmlformats.org/markup-compatibility/2006">
          <mc:Choice Requires="x14">
            <control shapeId="242758" r:id="rId30" name="Option Button 70">
              <controlPr defaultSize="0" autoFill="0" autoLine="0" autoPict="0">
                <anchor moveWithCells="1">
                  <from>
                    <xdr:col>7</xdr:col>
                    <xdr:colOff>106680</xdr:colOff>
                    <xdr:row>43</xdr:row>
                    <xdr:rowOff>899160</xdr:rowOff>
                  </from>
                  <to>
                    <xdr:col>7</xdr:col>
                    <xdr:colOff>1965960</xdr:colOff>
                    <xdr:row>43</xdr:row>
                    <xdr:rowOff>1173480</xdr:rowOff>
                  </to>
                </anchor>
              </controlPr>
            </control>
          </mc:Choice>
        </mc:AlternateContent>
        <mc:AlternateContent xmlns:mc="http://schemas.openxmlformats.org/markup-compatibility/2006">
          <mc:Choice Requires="x14">
            <control shapeId="242759" r:id="rId31" name="Option Button 71">
              <controlPr defaultSize="0" autoFill="0" autoLine="0" autoPict="0">
                <anchor moveWithCells="1">
                  <from>
                    <xdr:col>7</xdr:col>
                    <xdr:colOff>106680</xdr:colOff>
                    <xdr:row>43</xdr:row>
                    <xdr:rowOff>1272540</xdr:rowOff>
                  </from>
                  <to>
                    <xdr:col>7</xdr:col>
                    <xdr:colOff>937260</xdr:colOff>
                    <xdr:row>43</xdr:row>
                    <xdr:rowOff>1562100</xdr:rowOff>
                  </to>
                </anchor>
              </controlPr>
            </control>
          </mc:Choice>
        </mc:AlternateContent>
        <mc:AlternateContent xmlns:mc="http://schemas.openxmlformats.org/markup-compatibility/2006">
          <mc:Choice Requires="x14">
            <control shapeId="242760" r:id="rId32"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242761" r:id="rId33" name="Option Button 73">
              <controlPr defaultSize="0" autoFill="0" autoLine="0" autoPict="0">
                <anchor moveWithCells="1">
                  <from>
                    <xdr:col>7</xdr:col>
                    <xdr:colOff>114300</xdr:colOff>
                    <xdr:row>44</xdr:row>
                    <xdr:rowOff>167640</xdr:rowOff>
                  </from>
                  <to>
                    <xdr:col>7</xdr:col>
                    <xdr:colOff>1958340</xdr:colOff>
                    <xdr:row>44</xdr:row>
                    <xdr:rowOff>373380</xdr:rowOff>
                  </to>
                </anchor>
              </controlPr>
            </control>
          </mc:Choice>
        </mc:AlternateContent>
        <mc:AlternateContent xmlns:mc="http://schemas.openxmlformats.org/markup-compatibility/2006">
          <mc:Choice Requires="x14">
            <control shapeId="242762" r:id="rId34" name="Option Button 74">
              <controlPr defaultSize="0" autoFill="0" autoLine="0" autoPict="0">
                <anchor moveWithCells="1">
                  <from>
                    <xdr:col>7</xdr:col>
                    <xdr:colOff>114300</xdr:colOff>
                    <xdr:row>44</xdr:row>
                    <xdr:rowOff>457200</xdr:rowOff>
                  </from>
                  <to>
                    <xdr:col>7</xdr:col>
                    <xdr:colOff>1958340</xdr:colOff>
                    <xdr:row>44</xdr:row>
                    <xdr:rowOff>678180</xdr:rowOff>
                  </to>
                </anchor>
              </controlPr>
            </control>
          </mc:Choice>
        </mc:AlternateContent>
        <mc:AlternateContent xmlns:mc="http://schemas.openxmlformats.org/markup-compatibility/2006">
          <mc:Choice Requires="x14">
            <control shapeId="242763" r:id="rId35" name="Option Button 75">
              <controlPr defaultSize="0" autoFill="0" autoLine="0" autoPict="0">
                <anchor moveWithCells="1">
                  <from>
                    <xdr:col>7</xdr:col>
                    <xdr:colOff>114300</xdr:colOff>
                    <xdr:row>44</xdr:row>
                    <xdr:rowOff>739140</xdr:rowOff>
                  </from>
                  <to>
                    <xdr:col>7</xdr:col>
                    <xdr:colOff>1958340</xdr:colOff>
                    <xdr:row>44</xdr:row>
                    <xdr:rowOff>960120</xdr:rowOff>
                  </to>
                </anchor>
              </controlPr>
            </control>
          </mc:Choice>
        </mc:AlternateContent>
        <mc:AlternateContent xmlns:mc="http://schemas.openxmlformats.org/markup-compatibility/2006">
          <mc:Choice Requires="x14">
            <control shapeId="242764" r:id="rId36" name="Option Button 76">
              <controlPr defaultSize="0" autoFill="0" autoLine="0" autoPict="0">
                <anchor moveWithCells="1">
                  <from>
                    <xdr:col>7</xdr:col>
                    <xdr:colOff>114300</xdr:colOff>
                    <xdr:row>44</xdr:row>
                    <xdr:rowOff>1066800</xdr:rowOff>
                  </from>
                  <to>
                    <xdr:col>7</xdr:col>
                    <xdr:colOff>1958340</xdr:colOff>
                    <xdr:row>44</xdr:row>
                    <xdr:rowOff>1287780</xdr:rowOff>
                  </to>
                </anchor>
              </controlPr>
            </control>
          </mc:Choice>
        </mc:AlternateContent>
        <mc:AlternateContent xmlns:mc="http://schemas.openxmlformats.org/markup-compatibility/2006">
          <mc:Choice Requires="x14">
            <control shapeId="242765" r:id="rId37"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242766" r:id="rId38"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242767" r:id="rId39" name="Option Button 79">
              <controlPr defaultSize="0" autoFill="0" autoLine="0" autoPict="0">
                <anchor moveWithCells="1">
                  <from>
                    <xdr:col>7</xdr:col>
                    <xdr:colOff>106680</xdr:colOff>
                    <xdr:row>46</xdr:row>
                    <xdr:rowOff>281940</xdr:rowOff>
                  </from>
                  <to>
                    <xdr:col>7</xdr:col>
                    <xdr:colOff>1958340</xdr:colOff>
                    <xdr:row>46</xdr:row>
                    <xdr:rowOff>464820</xdr:rowOff>
                  </to>
                </anchor>
              </controlPr>
            </control>
          </mc:Choice>
        </mc:AlternateContent>
        <mc:AlternateContent xmlns:mc="http://schemas.openxmlformats.org/markup-compatibility/2006">
          <mc:Choice Requires="x14">
            <control shapeId="242768" r:id="rId40" name="Option Button 80">
              <controlPr defaultSize="0" autoFill="0" autoLine="0" autoPict="0">
                <anchor moveWithCells="1">
                  <from>
                    <xdr:col>7</xdr:col>
                    <xdr:colOff>106680</xdr:colOff>
                    <xdr:row>46</xdr:row>
                    <xdr:rowOff>533400</xdr:rowOff>
                  </from>
                  <to>
                    <xdr:col>7</xdr:col>
                    <xdr:colOff>1965960</xdr:colOff>
                    <xdr:row>46</xdr:row>
                    <xdr:rowOff>693420</xdr:rowOff>
                  </to>
                </anchor>
              </controlPr>
            </control>
          </mc:Choice>
        </mc:AlternateContent>
        <mc:AlternateContent xmlns:mc="http://schemas.openxmlformats.org/markup-compatibility/2006">
          <mc:Choice Requires="x14">
            <control shapeId="242769" r:id="rId41"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242770" r:id="rId42"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242771" r:id="rId43"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242772" r:id="rId44" name="Option Button 84">
              <controlPr defaultSize="0" autoFill="0" autoLine="0" autoPict="0">
                <anchor moveWithCells="1">
                  <from>
                    <xdr:col>7</xdr:col>
                    <xdr:colOff>106680</xdr:colOff>
                    <xdr:row>45</xdr:row>
                    <xdr:rowOff>304800</xdr:rowOff>
                  </from>
                  <to>
                    <xdr:col>7</xdr:col>
                    <xdr:colOff>1958340</xdr:colOff>
                    <xdr:row>45</xdr:row>
                    <xdr:rowOff>502920</xdr:rowOff>
                  </to>
                </anchor>
              </controlPr>
            </control>
          </mc:Choice>
        </mc:AlternateContent>
        <mc:AlternateContent xmlns:mc="http://schemas.openxmlformats.org/markup-compatibility/2006">
          <mc:Choice Requires="x14">
            <control shapeId="242773" r:id="rId45" name="Option Button 85">
              <controlPr defaultSize="0" autoFill="0" autoLine="0" autoPict="0">
                <anchor moveWithCells="1">
                  <from>
                    <xdr:col>7</xdr:col>
                    <xdr:colOff>106680</xdr:colOff>
                    <xdr:row>45</xdr:row>
                    <xdr:rowOff>579120</xdr:rowOff>
                  </from>
                  <to>
                    <xdr:col>7</xdr:col>
                    <xdr:colOff>1965960</xdr:colOff>
                    <xdr:row>45</xdr:row>
                    <xdr:rowOff>754380</xdr:rowOff>
                  </to>
                </anchor>
              </controlPr>
            </control>
          </mc:Choice>
        </mc:AlternateContent>
        <mc:AlternateContent xmlns:mc="http://schemas.openxmlformats.org/markup-compatibility/2006">
          <mc:Choice Requires="x14">
            <control shapeId="242774" r:id="rId46"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242775" r:id="rId47"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242776" r:id="rId48" name="Option Button 88">
              <controlPr defaultSize="0" autoFill="0" autoLine="0" autoPict="0">
                <anchor moveWithCells="1">
                  <from>
                    <xdr:col>7</xdr:col>
                    <xdr:colOff>114300</xdr:colOff>
                    <xdr:row>60</xdr:row>
                    <xdr:rowOff>144780</xdr:rowOff>
                  </from>
                  <to>
                    <xdr:col>7</xdr:col>
                    <xdr:colOff>1958340</xdr:colOff>
                    <xdr:row>60</xdr:row>
                    <xdr:rowOff>320040</xdr:rowOff>
                  </to>
                </anchor>
              </controlPr>
            </control>
          </mc:Choice>
        </mc:AlternateContent>
        <mc:AlternateContent xmlns:mc="http://schemas.openxmlformats.org/markup-compatibility/2006">
          <mc:Choice Requires="x14">
            <control shapeId="242777" r:id="rId49" name="Option Button 89">
              <controlPr defaultSize="0" autoFill="0" autoLine="0" autoPict="0">
                <anchor moveWithCells="1">
                  <from>
                    <xdr:col>7</xdr:col>
                    <xdr:colOff>114300</xdr:colOff>
                    <xdr:row>60</xdr:row>
                    <xdr:rowOff>396240</xdr:rowOff>
                  </from>
                  <to>
                    <xdr:col>7</xdr:col>
                    <xdr:colOff>1958340</xdr:colOff>
                    <xdr:row>60</xdr:row>
                    <xdr:rowOff>586740</xdr:rowOff>
                  </to>
                </anchor>
              </controlPr>
            </control>
          </mc:Choice>
        </mc:AlternateContent>
        <mc:AlternateContent xmlns:mc="http://schemas.openxmlformats.org/markup-compatibility/2006">
          <mc:Choice Requires="x14">
            <control shapeId="242778" r:id="rId50" name="Option Button 90">
              <controlPr defaultSize="0" autoFill="0" autoLine="0" autoPict="0">
                <anchor moveWithCells="1">
                  <from>
                    <xdr:col>7</xdr:col>
                    <xdr:colOff>114300</xdr:colOff>
                    <xdr:row>60</xdr:row>
                    <xdr:rowOff>640080</xdr:rowOff>
                  </from>
                  <to>
                    <xdr:col>7</xdr:col>
                    <xdr:colOff>1958340</xdr:colOff>
                    <xdr:row>60</xdr:row>
                    <xdr:rowOff>830580</xdr:rowOff>
                  </to>
                </anchor>
              </controlPr>
            </control>
          </mc:Choice>
        </mc:AlternateContent>
        <mc:AlternateContent xmlns:mc="http://schemas.openxmlformats.org/markup-compatibility/2006">
          <mc:Choice Requires="x14">
            <control shapeId="242779" r:id="rId51" name="Option Button 91">
              <controlPr defaultSize="0" autoFill="0" autoLine="0" autoPict="0">
                <anchor moveWithCells="1">
                  <from>
                    <xdr:col>7</xdr:col>
                    <xdr:colOff>114300</xdr:colOff>
                    <xdr:row>60</xdr:row>
                    <xdr:rowOff>922020</xdr:rowOff>
                  </from>
                  <to>
                    <xdr:col>7</xdr:col>
                    <xdr:colOff>1958340</xdr:colOff>
                    <xdr:row>60</xdr:row>
                    <xdr:rowOff>1120140</xdr:rowOff>
                  </to>
                </anchor>
              </controlPr>
            </control>
          </mc:Choice>
        </mc:AlternateContent>
        <mc:AlternateContent xmlns:mc="http://schemas.openxmlformats.org/markup-compatibility/2006">
          <mc:Choice Requires="x14">
            <control shapeId="242780" r:id="rId52"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242781" r:id="rId53"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242782" r:id="rId54" name="Option Button 94">
              <controlPr defaultSize="0" autoFill="0" autoLine="0" autoPict="0">
                <anchor moveWithCells="1">
                  <from>
                    <xdr:col>7</xdr:col>
                    <xdr:colOff>106680</xdr:colOff>
                    <xdr:row>59</xdr:row>
                    <xdr:rowOff>304800</xdr:rowOff>
                  </from>
                  <to>
                    <xdr:col>7</xdr:col>
                    <xdr:colOff>1958340</xdr:colOff>
                    <xdr:row>59</xdr:row>
                    <xdr:rowOff>502920</xdr:rowOff>
                  </to>
                </anchor>
              </controlPr>
            </control>
          </mc:Choice>
        </mc:AlternateContent>
        <mc:AlternateContent xmlns:mc="http://schemas.openxmlformats.org/markup-compatibility/2006">
          <mc:Choice Requires="x14">
            <control shapeId="242783" r:id="rId55" name="Option Button 95">
              <controlPr defaultSize="0" autoFill="0" autoLine="0" autoPict="0">
                <anchor moveWithCells="1">
                  <from>
                    <xdr:col>7</xdr:col>
                    <xdr:colOff>106680</xdr:colOff>
                    <xdr:row>59</xdr:row>
                    <xdr:rowOff>579120</xdr:rowOff>
                  </from>
                  <to>
                    <xdr:col>7</xdr:col>
                    <xdr:colOff>1965960</xdr:colOff>
                    <xdr:row>59</xdr:row>
                    <xdr:rowOff>754380</xdr:rowOff>
                  </to>
                </anchor>
              </controlPr>
            </control>
          </mc:Choice>
        </mc:AlternateContent>
        <mc:AlternateContent xmlns:mc="http://schemas.openxmlformats.org/markup-compatibility/2006">
          <mc:Choice Requires="x14">
            <control shapeId="242784" r:id="rId56"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242785" r:id="rId57"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242807" r:id="rId58" name="Option Button 119">
              <controlPr defaultSize="0" autoFill="0" autoLine="0" autoPict="0">
                <anchor moveWithCells="1">
                  <from>
                    <xdr:col>7</xdr:col>
                    <xdr:colOff>114300</xdr:colOff>
                    <xdr:row>78</xdr:row>
                    <xdr:rowOff>144780</xdr:rowOff>
                  </from>
                  <to>
                    <xdr:col>7</xdr:col>
                    <xdr:colOff>1958340</xdr:colOff>
                    <xdr:row>78</xdr:row>
                    <xdr:rowOff>320040</xdr:rowOff>
                  </to>
                </anchor>
              </controlPr>
            </control>
          </mc:Choice>
        </mc:AlternateContent>
        <mc:AlternateContent xmlns:mc="http://schemas.openxmlformats.org/markup-compatibility/2006">
          <mc:Choice Requires="x14">
            <control shapeId="242808" r:id="rId59" name="Option Button 120">
              <controlPr defaultSize="0" autoFill="0" autoLine="0" autoPict="0">
                <anchor moveWithCells="1">
                  <from>
                    <xdr:col>7</xdr:col>
                    <xdr:colOff>114300</xdr:colOff>
                    <xdr:row>78</xdr:row>
                    <xdr:rowOff>396240</xdr:rowOff>
                  </from>
                  <to>
                    <xdr:col>7</xdr:col>
                    <xdr:colOff>1958340</xdr:colOff>
                    <xdr:row>78</xdr:row>
                    <xdr:rowOff>586740</xdr:rowOff>
                  </to>
                </anchor>
              </controlPr>
            </control>
          </mc:Choice>
        </mc:AlternateContent>
        <mc:AlternateContent xmlns:mc="http://schemas.openxmlformats.org/markup-compatibility/2006">
          <mc:Choice Requires="x14">
            <control shapeId="242809" r:id="rId60" name="Option Button 121">
              <controlPr defaultSize="0" autoFill="0" autoLine="0" autoPict="0">
                <anchor moveWithCells="1">
                  <from>
                    <xdr:col>7</xdr:col>
                    <xdr:colOff>114300</xdr:colOff>
                    <xdr:row>78</xdr:row>
                    <xdr:rowOff>640080</xdr:rowOff>
                  </from>
                  <to>
                    <xdr:col>7</xdr:col>
                    <xdr:colOff>1958340</xdr:colOff>
                    <xdr:row>78</xdr:row>
                    <xdr:rowOff>830580</xdr:rowOff>
                  </to>
                </anchor>
              </controlPr>
            </control>
          </mc:Choice>
        </mc:AlternateContent>
        <mc:AlternateContent xmlns:mc="http://schemas.openxmlformats.org/markup-compatibility/2006">
          <mc:Choice Requires="x14">
            <control shapeId="242810" r:id="rId61" name="Option Button 122">
              <controlPr defaultSize="0" autoFill="0" autoLine="0" autoPict="0">
                <anchor moveWithCells="1">
                  <from>
                    <xdr:col>7</xdr:col>
                    <xdr:colOff>114300</xdr:colOff>
                    <xdr:row>78</xdr:row>
                    <xdr:rowOff>922020</xdr:rowOff>
                  </from>
                  <to>
                    <xdr:col>7</xdr:col>
                    <xdr:colOff>1958340</xdr:colOff>
                    <xdr:row>78</xdr:row>
                    <xdr:rowOff>1120140</xdr:rowOff>
                  </to>
                </anchor>
              </controlPr>
            </control>
          </mc:Choice>
        </mc:AlternateContent>
        <mc:AlternateContent xmlns:mc="http://schemas.openxmlformats.org/markup-compatibility/2006">
          <mc:Choice Requires="x14">
            <control shapeId="242811" r:id="rId62"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242812" r:id="rId63"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242813" r:id="rId64" name="Option Button 125">
              <controlPr defaultSize="0" autoFill="0" autoLine="0" autoPict="0">
                <anchor moveWithCells="1">
                  <from>
                    <xdr:col>7</xdr:col>
                    <xdr:colOff>106680</xdr:colOff>
                    <xdr:row>77</xdr:row>
                    <xdr:rowOff>304800</xdr:rowOff>
                  </from>
                  <to>
                    <xdr:col>7</xdr:col>
                    <xdr:colOff>1958340</xdr:colOff>
                    <xdr:row>77</xdr:row>
                    <xdr:rowOff>502920</xdr:rowOff>
                  </to>
                </anchor>
              </controlPr>
            </control>
          </mc:Choice>
        </mc:AlternateContent>
        <mc:AlternateContent xmlns:mc="http://schemas.openxmlformats.org/markup-compatibility/2006">
          <mc:Choice Requires="x14">
            <control shapeId="242814" r:id="rId65" name="Option Button 126">
              <controlPr defaultSize="0" autoFill="0" autoLine="0" autoPict="0">
                <anchor moveWithCells="1">
                  <from>
                    <xdr:col>7</xdr:col>
                    <xdr:colOff>106680</xdr:colOff>
                    <xdr:row>77</xdr:row>
                    <xdr:rowOff>579120</xdr:rowOff>
                  </from>
                  <to>
                    <xdr:col>7</xdr:col>
                    <xdr:colOff>1965960</xdr:colOff>
                    <xdr:row>77</xdr:row>
                    <xdr:rowOff>754380</xdr:rowOff>
                  </to>
                </anchor>
              </controlPr>
            </control>
          </mc:Choice>
        </mc:AlternateContent>
        <mc:AlternateContent xmlns:mc="http://schemas.openxmlformats.org/markup-compatibility/2006">
          <mc:Choice Requires="x14">
            <control shapeId="242815" r:id="rId66"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242816" r:id="rId67"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242827" r:id="rId68"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242828" r:id="rId69" name="Option Button 140">
              <controlPr defaultSize="0" autoFill="0" autoLine="0" autoPict="0">
                <anchor moveWithCells="1">
                  <from>
                    <xdr:col>7</xdr:col>
                    <xdr:colOff>106680</xdr:colOff>
                    <xdr:row>79</xdr:row>
                    <xdr:rowOff>304800</xdr:rowOff>
                  </from>
                  <to>
                    <xdr:col>7</xdr:col>
                    <xdr:colOff>1958340</xdr:colOff>
                    <xdr:row>79</xdr:row>
                    <xdr:rowOff>502920</xdr:rowOff>
                  </to>
                </anchor>
              </controlPr>
            </control>
          </mc:Choice>
        </mc:AlternateContent>
        <mc:AlternateContent xmlns:mc="http://schemas.openxmlformats.org/markup-compatibility/2006">
          <mc:Choice Requires="x14">
            <control shapeId="242829" r:id="rId70" name="Option Button 141">
              <controlPr defaultSize="0" autoFill="0" autoLine="0" autoPict="0">
                <anchor moveWithCells="1">
                  <from>
                    <xdr:col>7</xdr:col>
                    <xdr:colOff>106680</xdr:colOff>
                    <xdr:row>79</xdr:row>
                    <xdr:rowOff>579120</xdr:rowOff>
                  </from>
                  <to>
                    <xdr:col>7</xdr:col>
                    <xdr:colOff>1965960</xdr:colOff>
                    <xdr:row>79</xdr:row>
                    <xdr:rowOff>754380</xdr:rowOff>
                  </to>
                </anchor>
              </controlPr>
            </control>
          </mc:Choice>
        </mc:AlternateContent>
        <mc:AlternateContent xmlns:mc="http://schemas.openxmlformats.org/markup-compatibility/2006">
          <mc:Choice Requires="x14">
            <control shapeId="242830" r:id="rId71"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242831" r:id="rId72"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1" r:id="rId73" name="Option Button 145">
              <controlPr defaultSize="0" autoFill="0" autoLine="0" autoPict="0">
                <anchor moveWithCells="1">
                  <from>
                    <xdr:col>7</xdr:col>
                    <xdr:colOff>114300</xdr:colOff>
                    <xdr:row>27</xdr:row>
                    <xdr:rowOff>213360</xdr:rowOff>
                  </from>
                  <to>
                    <xdr:col>7</xdr:col>
                    <xdr:colOff>1958340</xdr:colOff>
                    <xdr:row>27</xdr:row>
                    <xdr:rowOff>480060</xdr:rowOff>
                  </to>
                </anchor>
              </controlPr>
            </control>
          </mc:Choice>
        </mc:AlternateContent>
        <mc:AlternateContent xmlns:mc="http://schemas.openxmlformats.org/markup-compatibility/2006">
          <mc:Choice Requires="x14">
            <control shapeId="12" r:id="rId74" name="Option Button 146">
              <controlPr defaultSize="0" autoFill="0" autoLine="0" autoPict="0">
                <anchor moveWithCells="1">
                  <from>
                    <xdr:col>7</xdr:col>
                    <xdr:colOff>114300</xdr:colOff>
                    <xdr:row>27</xdr:row>
                    <xdr:rowOff>495300</xdr:rowOff>
                  </from>
                  <to>
                    <xdr:col>7</xdr:col>
                    <xdr:colOff>1958340</xdr:colOff>
                    <xdr:row>27</xdr:row>
                    <xdr:rowOff>777240</xdr:rowOff>
                  </to>
                </anchor>
              </controlPr>
            </control>
          </mc:Choice>
        </mc:AlternateContent>
        <mc:AlternateContent xmlns:mc="http://schemas.openxmlformats.org/markup-compatibility/2006">
          <mc:Choice Requires="x14">
            <control shapeId="242835" r:id="rId75" name="Option Button 147">
              <controlPr defaultSize="0" autoFill="0" autoLine="0" autoPict="0">
                <anchor moveWithCells="1">
                  <from>
                    <xdr:col>7</xdr:col>
                    <xdr:colOff>114300</xdr:colOff>
                    <xdr:row>27</xdr:row>
                    <xdr:rowOff>792480</xdr:rowOff>
                  </from>
                  <to>
                    <xdr:col>7</xdr:col>
                    <xdr:colOff>1958340</xdr:colOff>
                    <xdr:row>27</xdr:row>
                    <xdr:rowOff>1074420</xdr:rowOff>
                  </to>
                </anchor>
              </controlPr>
            </control>
          </mc:Choice>
        </mc:AlternateContent>
        <mc:AlternateContent xmlns:mc="http://schemas.openxmlformats.org/markup-compatibility/2006">
          <mc:Choice Requires="x14">
            <control shapeId="242836" r:id="rId76" name="Option Button 148">
              <controlPr defaultSize="0" autoFill="0" autoLine="0" autoPict="0">
                <anchor moveWithCells="1">
                  <from>
                    <xdr:col>7</xdr:col>
                    <xdr:colOff>114300</xdr:colOff>
                    <xdr:row>27</xdr:row>
                    <xdr:rowOff>1089660</xdr:rowOff>
                  </from>
                  <to>
                    <xdr:col>7</xdr:col>
                    <xdr:colOff>1958340</xdr:colOff>
                    <xdr:row>27</xdr:row>
                    <xdr:rowOff>1371600</xdr:rowOff>
                  </to>
                </anchor>
              </controlPr>
            </control>
          </mc:Choice>
        </mc:AlternateContent>
        <mc:AlternateContent xmlns:mc="http://schemas.openxmlformats.org/markup-compatibility/2006">
          <mc:Choice Requires="x14">
            <control shapeId="242837" r:id="rId77"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242843" r:id="rId78"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242844" r:id="rId79" name="Option Button 156">
              <controlPr defaultSize="0" autoFill="0" autoLine="0" autoPict="0">
                <anchor moveWithCells="1">
                  <from>
                    <xdr:col>7</xdr:col>
                    <xdr:colOff>106680</xdr:colOff>
                    <xdr:row>47</xdr:row>
                    <xdr:rowOff>304800</xdr:rowOff>
                  </from>
                  <to>
                    <xdr:col>7</xdr:col>
                    <xdr:colOff>1958340</xdr:colOff>
                    <xdr:row>47</xdr:row>
                    <xdr:rowOff>502920</xdr:rowOff>
                  </to>
                </anchor>
              </controlPr>
            </control>
          </mc:Choice>
        </mc:AlternateContent>
        <mc:AlternateContent xmlns:mc="http://schemas.openxmlformats.org/markup-compatibility/2006">
          <mc:Choice Requires="x14">
            <control shapeId="242845" r:id="rId80" name="Option Button 157">
              <controlPr defaultSize="0" autoFill="0" autoLine="0" autoPict="0">
                <anchor moveWithCells="1">
                  <from>
                    <xdr:col>7</xdr:col>
                    <xdr:colOff>106680</xdr:colOff>
                    <xdr:row>47</xdr:row>
                    <xdr:rowOff>579120</xdr:rowOff>
                  </from>
                  <to>
                    <xdr:col>7</xdr:col>
                    <xdr:colOff>1965960</xdr:colOff>
                    <xdr:row>47</xdr:row>
                    <xdr:rowOff>754380</xdr:rowOff>
                  </to>
                </anchor>
              </controlPr>
            </control>
          </mc:Choice>
        </mc:AlternateContent>
        <mc:AlternateContent xmlns:mc="http://schemas.openxmlformats.org/markup-compatibility/2006">
          <mc:Choice Requires="x14">
            <control shapeId="242846" r:id="rId81"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242847" r:id="rId82"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3" r:id="rId83" name="Option Button 160">
              <controlPr defaultSize="0" autoFill="0" autoLine="0" autoPict="0" altText="Case d'option 47">
                <anchor moveWithCells="1">
                  <from>
                    <xdr:col>7</xdr:col>
                    <xdr:colOff>106680</xdr:colOff>
                    <xdr:row>49</xdr:row>
                    <xdr:rowOff>68580</xdr:rowOff>
                  </from>
                  <to>
                    <xdr:col>7</xdr:col>
                    <xdr:colOff>1501140</xdr:colOff>
                    <xdr:row>49</xdr:row>
                    <xdr:rowOff>259080</xdr:rowOff>
                  </to>
                </anchor>
              </controlPr>
            </control>
          </mc:Choice>
        </mc:AlternateContent>
        <mc:AlternateContent xmlns:mc="http://schemas.openxmlformats.org/markup-compatibility/2006">
          <mc:Choice Requires="x14">
            <control shapeId="14" r:id="rId84" name="Option Button 161">
              <controlPr defaultSize="0" autoFill="0" autoLine="0" autoPict="0">
                <anchor moveWithCells="1">
                  <from>
                    <xdr:col>7</xdr:col>
                    <xdr:colOff>106680</xdr:colOff>
                    <xdr:row>49</xdr:row>
                    <xdr:rowOff>304800</xdr:rowOff>
                  </from>
                  <to>
                    <xdr:col>7</xdr:col>
                    <xdr:colOff>1958340</xdr:colOff>
                    <xdr:row>49</xdr:row>
                    <xdr:rowOff>502920</xdr:rowOff>
                  </to>
                </anchor>
              </controlPr>
            </control>
          </mc:Choice>
        </mc:AlternateContent>
        <mc:AlternateContent xmlns:mc="http://schemas.openxmlformats.org/markup-compatibility/2006">
          <mc:Choice Requires="x14">
            <control shapeId="242850" r:id="rId85" name="Option Button 162">
              <controlPr defaultSize="0" autoFill="0" autoLine="0" autoPict="0">
                <anchor moveWithCells="1">
                  <from>
                    <xdr:col>7</xdr:col>
                    <xdr:colOff>106680</xdr:colOff>
                    <xdr:row>49</xdr:row>
                    <xdr:rowOff>579120</xdr:rowOff>
                  </from>
                  <to>
                    <xdr:col>7</xdr:col>
                    <xdr:colOff>1965960</xdr:colOff>
                    <xdr:row>49</xdr:row>
                    <xdr:rowOff>754380</xdr:rowOff>
                  </to>
                </anchor>
              </controlPr>
            </control>
          </mc:Choice>
        </mc:AlternateContent>
        <mc:AlternateContent xmlns:mc="http://schemas.openxmlformats.org/markup-compatibility/2006">
          <mc:Choice Requires="x14">
            <control shapeId="242851" r:id="rId86" name="Option Button 163">
              <controlPr defaultSize="0" autoFill="0" autoLine="0" autoPict="0">
                <anchor moveWithCells="1">
                  <from>
                    <xdr:col>7</xdr:col>
                    <xdr:colOff>106680</xdr:colOff>
                    <xdr:row>49</xdr:row>
                    <xdr:rowOff>822960</xdr:rowOff>
                  </from>
                  <to>
                    <xdr:col>7</xdr:col>
                    <xdr:colOff>937260</xdr:colOff>
                    <xdr:row>49</xdr:row>
                    <xdr:rowOff>1005840</xdr:rowOff>
                  </to>
                </anchor>
              </controlPr>
            </control>
          </mc:Choice>
        </mc:AlternateContent>
        <mc:AlternateContent xmlns:mc="http://schemas.openxmlformats.org/markup-compatibility/2006">
          <mc:Choice Requires="x14">
            <control shapeId="242852" r:id="rId87" name="Group Box 164">
              <controlPr defaultSize="0" autoFill="0" autoPict="0">
                <anchor moveWithCells="1">
                  <from>
                    <xdr:col>7</xdr:col>
                    <xdr:colOff>0</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242933" r:id="rId88" name="Option Button 245">
              <controlPr defaultSize="0" autoFill="0" autoLine="0" autoPict="0" altText="Case d'option 47">
                <anchor moveWithCells="1">
                  <from>
                    <xdr:col>7</xdr:col>
                    <xdr:colOff>106680</xdr:colOff>
                    <xdr:row>48</xdr:row>
                    <xdr:rowOff>60960</xdr:rowOff>
                  </from>
                  <to>
                    <xdr:col>7</xdr:col>
                    <xdr:colOff>1501140</xdr:colOff>
                    <xdr:row>48</xdr:row>
                    <xdr:rowOff>236220</xdr:rowOff>
                  </to>
                </anchor>
              </controlPr>
            </control>
          </mc:Choice>
        </mc:AlternateContent>
        <mc:AlternateContent xmlns:mc="http://schemas.openxmlformats.org/markup-compatibility/2006">
          <mc:Choice Requires="x14">
            <control shapeId="242934" r:id="rId89" name="Option Button 246">
              <controlPr defaultSize="0" autoFill="0" autoLine="0" autoPict="0">
                <anchor moveWithCells="1">
                  <from>
                    <xdr:col>7</xdr:col>
                    <xdr:colOff>106680</xdr:colOff>
                    <xdr:row>48</xdr:row>
                    <xdr:rowOff>274320</xdr:rowOff>
                  </from>
                  <to>
                    <xdr:col>7</xdr:col>
                    <xdr:colOff>1958340</xdr:colOff>
                    <xdr:row>48</xdr:row>
                    <xdr:rowOff>464820</xdr:rowOff>
                  </to>
                </anchor>
              </controlPr>
            </control>
          </mc:Choice>
        </mc:AlternateContent>
        <mc:AlternateContent xmlns:mc="http://schemas.openxmlformats.org/markup-compatibility/2006">
          <mc:Choice Requires="x14">
            <control shapeId="242935" r:id="rId90" name="Option Button 247">
              <controlPr defaultSize="0" autoFill="0" autoLine="0" autoPict="0">
                <anchor moveWithCells="1">
                  <from>
                    <xdr:col>7</xdr:col>
                    <xdr:colOff>106680</xdr:colOff>
                    <xdr:row>48</xdr:row>
                    <xdr:rowOff>533400</xdr:rowOff>
                  </from>
                  <to>
                    <xdr:col>7</xdr:col>
                    <xdr:colOff>1965960</xdr:colOff>
                    <xdr:row>48</xdr:row>
                    <xdr:rowOff>693420</xdr:rowOff>
                  </to>
                </anchor>
              </controlPr>
            </control>
          </mc:Choice>
        </mc:AlternateContent>
        <mc:AlternateContent xmlns:mc="http://schemas.openxmlformats.org/markup-compatibility/2006">
          <mc:Choice Requires="x14">
            <control shapeId="242936" r:id="rId91" name="Option Button 248">
              <controlPr defaultSize="0" autoFill="0" autoLine="0" autoPict="0">
                <anchor moveWithCells="1">
                  <from>
                    <xdr:col>7</xdr:col>
                    <xdr:colOff>106680</xdr:colOff>
                    <xdr:row>48</xdr:row>
                    <xdr:rowOff>762000</xdr:rowOff>
                  </from>
                  <to>
                    <xdr:col>7</xdr:col>
                    <xdr:colOff>937260</xdr:colOff>
                    <xdr:row>48</xdr:row>
                    <xdr:rowOff>929640</xdr:rowOff>
                  </to>
                </anchor>
              </controlPr>
            </control>
          </mc:Choice>
        </mc:AlternateContent>
        <mc:AlternateContent xmlns:mc="http://schemas.openxmlformats.org/markup-compatibility/2006">
          <mc:Choice Requires="x14">
            <control shapeId="242937" r:id="rId92" name="Group Box 249">
              <controlPr defaultSize="0" autoFill="0" autoPict="0">
                <anchor moveWithCells="1">
                  <from>
                    <xdr:col>7</xdr:col>
                    <xdr:colOff>0</xdr:colOff>
                    <xdr:row>47</xdr:row>
                    <xdr:rowOff>1645920</xdr:rowOff>
                  </from>
                  <to>
                    <xdr:col>8</xdr:col>
                    <xdr:colOff>0</xdr:colOff>
                    <xdr:row>49</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A631-B66A-43D5-A054-33090986BBBD}">
  <sheetPr codeName="Feuil22">
    <tabColor rgb="FF0097CC"/>
  </sheetPr>
  <dimension ref="A1:AI54"/>
  <sheetViews>
    <sheetView showGridLines="0" showRowColHeaders="0" zoomScale="53" zoomScaleNormal="53" workbookViewId="0">
      <selection activeCell="BL5" sqref="BL5"/>
    </sheetView>
  </sheetViews>
  <sheetFormatPr baseColWidth="10" defaultColWidth="8.88671875" defaultRowHeight="14.4" x14ac:dyDescent="0.3"/>
  <cols>
    <col min="1" max="2" width="5.77734375" style="31" customWidth="1"/>
    <col min="3" max="4" width="5.77734375" style="31" hidden="1" customWidth="1"/>
    <col min="5" max="5" width="7.3320312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60"/>
      <c r="B1" s="261" t="s">
        <v>560</v>
      </c>
      <c r="C1" s="260"/>
      <c r="D1" s="260"/>
      <c r="E1" s="262"/>
      <c r="F1" s="262"/>
      <c r="G1" s="262"/>
      <c r="H1" s="262"/>
      <c r="I1" s="262"/>
      <c r="J1" s="263"/>
      <c r="K1" s="264"/>
      <c r="L1" s="262"/>
      <c r="M1" s="262"/>
      <c r="N1" s="265"/>
      <c r="O1" s="265"/>
      <c r="P1" s="265"/>
      <c r="Q1" s="265" t="str">
        <f>VLOOKUP($E$27,BDD!$A$2:$N$567,3,FALSE)</f>
        <v>RSE</v>
      </c>
      <c r="R1" s="268"/>
      <c r="S1" s="269"/>
      <c r="T1" s="269"/>
      <c r="U1" s="269"/>
      <c r="V1" s="269"/>
      <c r="W1" s="269"/>
      <c r="X1" s="269"/>
      <c r="Y1" s="269"/>
      <c r="Z1" s="269"/>
      <c r="AA1" s="269"/>
      <c r="AB1" s="269"/>
      <c r="AC1" s="269"/>
      <c r="AD1" s="269"/>
      <c r="AE1" s="269"/>
      <c r="AF1" s="269"/>
      <c r="AG1" s="269"/>
      <c r="AH1" s="269"/>
      <c r="AI1" s="30"/>
    </row>
    <row r="2" spans="1:35" ht="45" customHeight="1" x14ac:dyDescent="0.3">
      <c r="A2" s="268"/>
      <c r="B2" s="268"/>
      <c r="C2" s="268"/>
      <c r="D2" s="268"/>
      <c r="E2" s="268"/>
      <c r="F2" s="268"/>
      <c r="G2" s="268"/>
      <c r="H2" s="268"/>
      <c r="I2" s="268"/>
      <c r="J2" s="268"/>
      <c r="K2" s="268"/>
      <c r="L2" s="268"/>
      <c r="M2" s="268"/>
      <c r="N2" s="270"/>
      <c r="O2" s="270"/>
      <c r="P2" s="270"/>
      <c r="Q2" s="270" t="str">
        <f>VLOOKUP($E$27,BDD!$A$2:$N$567,4,FALSE)</f>
        <v>Soutenir les enjeux de responsabilité sociétale de l'organisation et incarner ses valeurs éthiques et sociétales.</v>
      </c>
      <c r="R2" s="268"/>
      <c r="S2" s="271"/>
      <c r="T2" s="271"/>
      <c r="U2" s="271"/>
      <c r="V2" s="271"/>
      <c r="W2" s="271"/>
      <c r="X2" s="271"/>
      <c r="Y2" s="271"/>
      <c r="Z2" s="271"/>
      <c r="AA2" s="271"/>
      <c r="AB2" s="271"/>
      <c r="AC2" s="271"/>
      <c r="AD2" s="271"/>
      <c r="AE2" s="271"/>
      <c r="AF2" s="271"/>
      <c r="AG2" s="271"/>
      <c r="AH2" s="271"/>
      <c r="AI2" s="30"/>
    </row>
    <row r="3" spans="1:35" ht="45" customHeight="1" thickBot="1" x14ac:dyDescent="0.35">
      <c r="A3" s="267"/>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267"/>
      <c r="AI3" s="30"/>
    </row>
    <row r="4" spans="1:35" ht="26.4" thickBot="1" x14ac:dyDescent="0.55000000000000004">
      <c r="A4" s="267"/>
      <c r="B4" s="30"/>
      <c r="C4" s="30"/>
      <c r="D4" s="30"/>
      <c r="E4" s="30"/>
      <c r="F4" s="30"/>
      <c r="G4" s="36" t="s">
        <v>1</v>
      </c>
      <c r="H4" s="34"/>
      <c r="I4" s="32"/>
      <c r="J4" s="34"/>
      <c r="K4" s="34"/>
      <c r="L4" s="34"/>
      <c r="M4" s="34"/>
      <c r="N4" s="30"/>
      <c r="O4" s="30"/>
      <c r="P4" s="30"/>
      <c r="Q4" s="30"/>
      <c r="R4" s="30"/>
      <c r="S4" s="30"/>
      <c r="T4" s="30"/>
      <c r="U4" s="30"/>
      <c r="V4" s="30"/>
      <c r="W4" s="320" t="s">
        <v>0</v>
      </c>
      <c r="X4" s="30"/>
      <c r="Y4" s="30"/>
      <c r="Z4" s="30"/>
      <c r="AA4" s="417"/>
      <c r="AB4" s="418" t="s">
        <v>1079</v>
      </c>
      <c r="AC4" s="30"/>
      <c r="AD4" s="30"/>
      <c r="AE4" s="30"/>
      <c r="AF4" s="35"/>
      <c r="AG4" s="35"/>
      <c r="AH4" s="291"/>
      <c r="AI4" s="30"/>
    </row>
    <row r="5" spans="1:35" ht="30" customHeight="1" thickBot="1" x14ac:dyDescent="0.35">
      <c r="A5" s="267"/>
      <c r="B5" s="30"/>
      <c r="C5" s="30"/>
      <c r="D5" s="30"/>
      <c r="E5" s="33" t="str">
        <f>RIGHT($B$1,1)&amp;"11"</f>
        <v>411</v>
      </c>
      <c r="F5" s="30"/>
      <c r="G5" s="196" t="str">
        <f>IF(VLOOKUP(E5,BDD!$A$2:$N$567,13,FALSE)=0,"",VLOOKUP(E5,BDD!$A$2:$N$567,13,FALSE))</f>
        <v>Assurer la conformité en matière de RSE et anticiper les évolutions réglementaires et légales.</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267"/>
      <c r="AI5" s="30"/>
    </row>
    <row r="6" spans="1:35" ht="30" customHeight="1" x14ac:dyDescent="0.3">
      <c r="A6" s="290"/>
      <c r="B6" s="38"/>
      <c r="C6" s="38"/>
      <c r="D6" s="38"/>
      <c r="E6" s="33" t="str">
        <f>RIGHT($B$1,1)&amp;"12"</f>
        <v>412</v>
      </c>
      <c r="F6" s="38"/>
      <c r="G6" s="196" t="str">
        <f>IF(VLOOKUP(E6,BDD!$A$2:$N$567,13,FALSE)=0,"",VLOOKUP(E6,BDD!$A$2:$N$567,13,FALSE))</f>
        <v>Accompagner l'organisation sur le numérique responsable et promouvoir les apports du numérique pour la réduction de son empreinte environnementale.</v>
      </c>
      <c r="H6" s="39"/>
      <c r="I6" s="32"/>
      <c r="K6" s="39"/>
      <c r="L6" s="452"/>
      <c r="M6" s="453"/>
      <c r="N6" s="454"/>
      <c r="O6" s="455"/>
      <c r="P6" s="455"/>
      <c r="Q6" s="455"/>
      <c r="R6" s="455"/>
      <c r="S6" s="455"/>
      <c r="T6" s="455"/>
      <c r="U6" s="455"/>
      <c r="V6" s="455"/>
      <c r="W6" s="455"/>
      <c r="X6" s="455"/>
      <c r="Y6" s="455"/>
      <c r="Z6" s="455"/>
      <c r="AA6" s="455"/>
      <c r="AB6" s="456"/>
      <c r="AC6" s="35"/>
      <c r="AD6" s="35"/>
      <c r="AE6" s="35"/>
      <c r="AF6" s="32"/>
      <c r="AG6" s="32"/>
      <c r="AH6" s="292"/>
      <c r="AI6" s="38"/>
    </row>
    <row r="7" spans="1:35" ht="30" customHeight="1" thickBot="1" x14ac:dyDescent="0.35">
      <c r="A7" s="290"/>
      <c r="B7" s="38"/>
      <c r="C7" s="38"/>
      <c r="D7" s="38"/>
      <c r="E7" s="33" t="str">
        <f>RIGHT($B$1,1)&amp;"13"</f>
        <v>413</v>
      </c>
      <c r="F7" s="38"/>
      <c r="G7" s="196" t="str">
        <f>IF(VLOOKUP(E7,BDD!$A$2:$N$567,13,FALSE)=0,"",VLOOKUP(E7,BDD!$A$2:$N$567,13,FALSE))</f>
        <v>Améliorer l'attractivité et la valeur de l'entreprise.</v>
      </c>
      <c r="H7" s="39"/>
      <c r="I7" s="32"/>
      <c r="K7" s="39"/>
      <c r="L7" s="457"/>
      <c r="M7" s="458"/>
      <c r="N7" s="420" t="s">
        <v>2</v>
      </c>
      <c r="O7" s="421" t="s">
        <v>3</v>
      </c>
      <c r="P7" s="421" t="s">
        <v>4</v>
      </c>
      <c r="Q7" s="421" t="s">
        <v>5</v>
      </c>
      <c r="R7" s="421" t="s">
        <v>6</v>
      </c>
      <c r="S7" s="421" t="s">
        <v>7</v>
      </c>
      <c r="T7" s="421" t="s">
        <v>8</v>
      </c>
      <c r="U7" s="421" t="s">
        <v>9</v>
      </c>
      <c r="V7" s="459"/>
      <c r="W7" s="460" t="s">
        <v>10</v>
      </c>
      <c r="X7" s="461" t="s">
        <v>11</v>
      </c>
      <c r="Y7" s="462"/>
      <c r="Z7" s="463" t="s">
        <v>12</v>
      </c>
      <c r="AA7" s="464" t="s">
        <v>13</v>
      </c>
      <c r="AB7" s="465"/>
      <c r="AC7" s="40"/>
      <c r="AD7" s="637" t="s">
        <v>14</v>
      </c>
      <c r="AE7" s="41" t="s">
        <v>15</v>
      </c>
      <c r="AF7" s="32"/>
      <c r="AG7" s="32"/>
      <c r="AH7" s="292"/>
      <c r="AI7" s="38"/>
    </row>
    <row r="8" spans="1:35" ht="30" customHeight="1" x14ac:dyDescent="0.3">
      <c r="A8" s="290"/>
      <c r="B8" s="38"/>
      <c r="C8" s="38"/>
      <c r="D8" s="38"/>
      <c r="E8" s="33" t="str">
        <f>RIGHT($B$1,1)&amp;"14"</f>
        <v>414</v>
      </c>
      <c r="F8" s="38"/>
      <c r="G8" s="196" t="str">
        <f>IF(VLOOKUP(E8,BDD!$A$2:$N$567,13,FALSE)=0,"",VLOOKUP(E8,BDD!$A$2:$N$567,13,FALSE))</f>
        <v>Maîtriser le cycle de vie des produits et des services numériques dans un contexte responsable.</v>
      </c>
      <c r="H8" s="39"/>
      <c r="I8" s="32"/>
      <c r="K8" s="39"/>
      <c r="L8" s="457"/>
      <c r="M8" s="466" t="str">
        <f>IF(LEFT(RIGHT($B$1,2),1)=" ",RIGHT($B$1,1),RIGHT($B$1,2))&amp;1</f>
        <v>41</v>
      </c>
      <c r="N8" s="422" t="str">
        <f>RIGHT(M8,1)&amp;" : "&amp;VLOOKUP($M8&amp;"1",BDD!$A$2:$N$567,6,FALSE)</f>
        <v>1 : Gouvernance</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23" t="str">
        <f>IF(VLOOKUP($M8&amp;RIGHT(Q$7,1),BDD!$A$1:$S$428,15,FALSE)=4,"NE",IF(VLOOKUP($M8&amp;RIGHT(Q$7,1),BDD!$A$1:$S$428,15,FALSE)=0,"NE",VLOOKUP($M8&amp;RIGHT(Q$7,1),BDD!$A$1:$S$428,15,FALSE)))</f>
        <v>NE</v>
      </c>
      <c r="R8" s="475"/>
      <c r="S8" s="475"/>
      <c r="T8" s="475"/>
      <c r="U8" s="475"/>
      <c r="V8" s="459"/>
      <c r="W8" s="441" t="s">
        <v>16</v>
      </c>
      <c r="X8" s="442"/>
      <c r="Y8" s="467"/>
      <c r="Z8" s="468">
        <f>O25</f>
        <v>0</v>
      </c>
      <c r="AA8" s="469">
        <f>S25</f>
        <v>0</v>
      </c>
      <c r="AB8" s="465"/>
      <c r="AC8" s="40"/>
      <c r="AD8" s="638"/>
      <c r="AE8" s="44" t="s">
        <v>17</v>
      </c>
      <c r="AF8" s="32"/>
      <c r="AG8" s="32"/>
      <c r="AH8" s="292"/>
      <c r="AI8" s="38"/>
    </row>
    <row r="9" spans="1:35" ht="30" customHeight="1" x14ac:dyDescent="0.3">
      <c r="A9" s="290"/>
      <c r="B9" s="38"/>
      <c r="C9" s="38"/>
      <c r="D9" s="38"/>
      <c r="E9" s="33" t="str">
        <f>RIGHT($B$1,1)&amp;"15"</f>
        <v>415</v>
      </c>
      <c r="F9" s="38"/>
      <c r="G9" s="196" t="str">
        <f>IF(VLOOKUP(E9,BDD!$A$2:$N$567,13,FALSE)=0,"",VLOOKUP(E9,BDD!$A$2:$N$567,13,FALSE))</f>
        <v/>
      </c>
      <c r="H9" s="39"/>
      <c r="I9" s="32"/>
      <c r="K9" s="39"/>
      <c r="L9" s="457"/>
      <c r="M9" s="466" t="str">
        <f>IF(LEFT(RIGHT($B$1,2),1)=" ",RIGHT($B$1,1),RIGHT($B$1,2))&amp;2</f>
        <v>42</v>
      </c>
      <c r="N9" s="424" t="str">
        <f>RIGHT(M9,1)&amp;" : "&amp;VLOOKUP($M9&amp;"1",BDD!$A$2:$N$567,6,FALSE)</f>
        <v>2 : Sensibilisation</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6"/>
      <c r="S9" s="426"/>
      <c r="T9" s="426"/>
      <c r="U9" s="427"/>
      <c r="V9" s="459"/>
      <c r="W9" s="443" t="s">
        <v>16</v>
      </c>
      <c r="X9" s="444"/>
      <c r="Y9" s="471"/>
      <c r="Z9" s="472">
        <f>O30</f>
        <v>0</v>
      </c>
      <c r="AA9" s="473">
        <f>S30</f>
        <v>0</v>
      </c>
      <c r="AB9" s="465"/>
      <c r="AC9" s="40"/>
      <c r="AD9" s="638"/>
      <c r="AE9" s="48" t="s">
        <v>18</v>
      </c>
      <c r="AF9" s="32"/>
      <c r="AG9" s="32"/>
      <c r="AH9" s="292"/>
      <c r="AI9" s="38"/>
    </row>
    <row r="10" spans="1:35" ht="30" customHeight="1" x14ac:dyDescent="0.3">
      <c r="A10" s="290"/>
      <c r="B10" s="38"/>
      <c r="C10" s="38"/>
      <c r="D10" s="38"/>
      <c r="E10" s="33" t="str">
        <f>RIGHT($B$1,1)&amp;"16"</f>
        <v>416</v>
      </c>
      <c r="F10" s="38"/>
      <c r="G10" s="31" t="str">
        <f>IF(VLOOKUP(E10,BDD!$A$2:$N$567,13,FALSE)=0,"",VLOOKUP(E10,BDD!$A$2:$N$567,13,FALSE))</f>
        <v/>
      </c>
      <c r="H10" s="39"/>
      <c r="I10" s="32"/>
      <c r="K10" s="39"/>
      <c r="L10" s="457"/>
      <c r="M10" s="466" t="str">
        <f>IF(LEFT(RIGHT($B$1,2),1)=" ",RIGHT($B$1,1),RIGHT($B$1,2))&amp;3</f>
        <v>43</v>
      </c>
      <c r="N10" s="422" t="str">
        <f>RIGHT(M10,1)&amp;" : "&amp;VLOOKUP($M10&amp;"1",BDD!$A$2:$N$567,6,FALSE)</f>
        <v>3 : Eco conception et cycle de vie</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23" t="str">
        <f>IF(VLOOKUP($M10&amp;RIGHT(Q$7,1),BDD!$A$1:$S$428,15,FALSE)=4,"NE",IF(VLOOKUP($M10&amp;RIGHT(Q$7,1),BDD!$A$1:$S$428,15,FALSE)=0,"NE",VLOOKUP($M10&amp;RIGHT(Q$7,1),BDD!$A$1:$S$428,15,FALSE)))</f>
        <v>NE</v>
      </c>
      <c r="R10" s="428" t="str">
        <f>IF(VLOOKUP($M10&amp;RIGHT(R$7,1),BDD!$A$1:$S$428,15,FALSE)=4,"NE",IF(VLOOKUP($M10&amp;RIGHT(R$7,1),BDD!$A$1:$S$428,15,FALSE)=0,"NE",VLOOKUP($M10&amp;RIGHT(R$7,1),BDD!$A$1:$S$428,15,FALSE)))</f>
        <v>NE</v>
      </c>
      <c r="S10" s="423" t="str">
        <f>IF(VLOOKUP($M10&amp;RIGHT(S$7,1),BDD!$A$1:$S$428,15,FALSE)=4,"NE",IF(VLOOKUP($M10&amp;RIGHT(S$7,1),BDD!$A$1:$S$428,15,FALSE)=0,"NE",VLOOKUP($M10&amp;RIGHT(S$7,1),BDD!$A$1:$S$428,15,FALSE)))</f>
        <v>NE</v>
      </c>
      <c r="T10" s="423" t="str">
        <f>IF(VLOOKUP($M10&amp;RIGHT(T$7,1),BDD!$A$1:$S$428,15,FALSE)=4,"NE",IF(VLOOKUP($M10&amp;RIGHT(T$7,1),BDD!$A$1:$S$428,15,FALSE)=0,"NE",VLOOKUP($M10&amp;RIGHT(T$7,1),BDD!$A$1:$S$428,15,FALSE)))</f>
        <v>NE</v>
      </c>
      <c r="U10" s="429" t="str">
        <f>IF(VLOOKUP($M10&amp;RIGHT(U$7,1),BDD!$A$1:$S$428,15,FALSE)=4,"NE",IF(VLOOKUP($M10&amp;RIGHT(U$7,1),BDD!$A$1:$S$428,15,FALSE)=0,"NE",VLOOKUP($M10&amp;RIGHT(U$7,1),BDD!$A$1:$S$428,15,FALSE)))</f>
        <v>NE</v>
      </c>
      <c r="V10" s="459"/>
      <c r="W10" s="445" t="s">
        <v>16</v>
      </c>
      <c r="X10" s="446"/>
      <c r="Y10" s="467"/>
      <c r="Z10" s="468">
        <f>O35</f>
        <v>0</v>
      </c>
      <c r="AA10" s="469">
        <f>S35</f>
        <v>0</v>
      </c>
      <c r="AB10" s="465"/>
      <c r="AC10" s="40"/>
      <c r="AD10" s="638"/>
      <c r="AE10" s="53" t="s">
        <v>19</v>
      </c>
      <c r="AF10" s="51"/>
      <c r="AG10" s="52"/>
      <c r="AH10" s="293"/>
      <c r="AI10" s="38"/>
    </row>
    <row r="11" spans="1:35" ht="30" customHeight="1" x14ac:dyDescent="0.3">
      <c r="A11" s="267"/>
      <c r="B11" s="30"/>
      <c r="C11" s="30"/>
      <c r="D11" s="30"/>
      <c r="E11" s="33" t="str">
        <f>RIGHT($B$1,1)&amp;"17"</f>
        <v>417</v>
      </c>
      <c r="F11" s="30"/>
      <c r="G11" s="31" t="str">
        <f>IF(VLOOKUP(E11,BDD!$A$2:$N$567,13,FALSE)=0,"",VLOOKUP(E11,BDD!$A$2:$N$567,13,FALSE))</f>
        <v/>
      </c>
      <c r="H11" s="52"/>
      <c r="I11" s="32"/>
      <c r="K11" s="52"/>
      <c r="L11" s="476"/>
      <c r="M11" s="477" t="str">
        <f>IF(LEFT(RIGHT($B$1,2),1)=" ",RIGHT($B$1,1),RIGHT($B$1,2))&amp;4</f>
        <v>44</v>
      </c>
      <c r="N11" s="424" t="str">
        <f>RIGHT(M11,1)&amp;" : "&amp;VLOOKUP($M11&amp;"1",BDD!$A$2:$N$567,6,FALSE)</f>
        <v>4 : Politique d'achats</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6"/>
      <c r="R11" s="426"/>
      <c r="S11" s="426"/>
      <c r="T11" s="426"/>
      <c r="U11" s="427"/>
      <c r="V11" s="459"/>
      <c r="W11" s="443" t="s">
        <v>16</v>
      </c>
      <c r="X11" s="444"/>
      <c r="Y11" s="467"/>
      <c r="Z11" s="472">
        <f>O44</f>
        <v>0</v>
      </c>
      <c r="AA11" s="473">
        <f>S44</f>
        <v>0</v>
      </c>
      <c r="AB11" s="465"/>
      <c r="AC11" s="40"/>
      <c r="AD11" s="212"/>
      <c r="AF11" s="51"/>
      <c r="AG11" s="52"/>
      <c r="AH11" s="293"/>
      <c r="AI11" s="30"/>
    </row>
    <row r="12" spans="1:35" ht="30" customHeight="1" thickBot="1" x14ac:dyDescent="0.35">
      <c r="A12" s="267"/>
      <c r="B12" s="30"/>
      <c r="C12" s="30"/>
      <c r="D12" s="30"/>
      <c r="E12" s="30"/>
      <c r="F12" s="30"/>
      <c r="G12" s="54" t="s">
        <v>20</v>
      </c>
      <c r="H12" s="32"/>
      <c r="I12" s="32"/>
      <c r="K12" s="32"/>
      <c r="L12" s="478"/>
      <c r="M12" s="479" t="str">
        <f>IF(LEFT(RIGHT($B$1,2),1)=" ",RIGHT($B$1,1),RIGHT($B$1,2))&amp;5</f>
        <v>45</v>
      </c>
      <c r="N12" s="422" t="str">
        <f>RIGHT(M12,1)&amp;" : "&amp;VLOOKUP($M12&amp;"1",BDD!$A$2:$N$567,6,FALSE)</f>
        <v>5 : Contribution à la RSE globale</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75"/>
      <c r="S12" s="475"/>
      <c r="T12" s="475"/>
      <c r="U12" s="430"/>
      <c r="V12" s="459"/>
      <c r="W12" s="500" t="s">
        <v>16</v>
      </c>
      <c r="X12" s="501"/>
      <c r="Y12" s="467"/>
      <c r="Z12" s="468">
        <f>O48</f>
        <v>0</v>
      </c>
      <c r="AA12" s="469">
        <f>S48</f>
        <v>0</v>
      </c>
      <c r="AB12" s="465"/>
      <c r="AC12" s="40"/>
      <c r="AD12" s="213"/>
      <c r="AF12" s="55"/>
      <c r="AG12" s="30"/>
      <c r="AH12" s="267"/>
      <c r="AI12" s="30"/>
    </row>
    <row r="13" spans="1:35" ht="30" customHeight="1" x14ac:dyDescent="0.3">
      <c r="A13" s="267"/>
      <c r="B13" s="30"/>
      <c r="C13" s="30"/>
      <c r="D13" s="30"/>
      <c r="E13" s="33" t="str">
        <f>RIGHT($B$1,1)&amp;"11"</f>
        <v>411</v>
      </c>
      <c r="F13" s="30"/>
      <c r="G13" s="197" t="str">
        <f>IF(VLOOKUP(E13,BDD!$A$2:$N$567,14,FALSE)=0,"",VLOOKUP(E13,BDD!$A$2:$N$567,14,FALSE))</f>
        <v>Sanction pour défaut de conformité aux réglementations en vigueur en matière de RSE. </v>
      </c>
      <c r="H13" s="34"/>
      <c r="I13" s="32"/>
      <c r="K13" s="34"/>
      <c r="L13" s="480"/>
      <c r="M13" s="481"/>
      <c r="N13" s="482"/>
      <c r="O13" s="482"/>
      <c r="P13" s="482"/>
      <c r="Q13" s="482"/>
      <c r="R13" s="482"/>
      <c r="S13" s="482"/>
      <c r="T13" s="482"/>
      <c r="U13" s="482"/>
      <c r="V13" s="482"/>
      <c r="W13" s="484"/>
      <c r="X13" s="484"/>
      <c r="Y13" s="484"/>
      <c r="Z13" s="484"/>
      <c r="AA13" s="484"/>
      <c r="AB13" s="485"/>
      <c r="AC13" s="55"/>
      <c r="AD13" s="30"/>
      <c r="AE13" s="55"/>
      <c r="AF13" s="56"/>
      <c r="AG13" s="40"/>
      <c r="AH13" s="294"/>
      <c r="AI13" s="30"/>
    </row>
    <row r="14" spans="1:35" ht="30" customHeight="1" thickBot="1" x14ac:dyDescent="0.35">
      <c r="A14" s="267"/>
      <c r="B14" s="30"/>
      <c r="C14" s="30"/>
      <c r="D14" s="30"/>
      <c r="E14" s="33" t="str">
        <f>RIGHT($B$1,1)&amp;"12"</f>
        <v>412</v>
      </c>
      <c r="F14" s="30"/>
      <c r="G14" s="197" t="str">
        <f>IF(VLOOKUP(E14,BDD!$A$2:$N$567,14,FALSE)=0,"",VLOOKUP(E14,BDD!$A$2:$N$567,14,FALSE))</f>
        <v>Perte d'attractivité pour les parties prenantes (clients, actionnaires...) et fuite des talents.</v>
      </c>
      <c r="H14" s="57"/>
      <c r="I14" s="32"/>
      <c r="K14" s="57"/>
      <c r="L14" s="486"/>
      <c r="M14" s="481"/>
      <c r="N14" s="487" t="str">
        <f>"Evaluation globale du vecteur "&amp;RIGHT(B1,2)</f>
        <v>Evaluation globale du vecteur  4</v>
      </c>
      <c r="O14" s="488"/>
      <c r="P14" s="488"/>
      <c r="Q14" s="488"/>
      <c r="R14" s="488"/>
      <c r="S14" s="488"/>
      <c r="T14" s="488"/>
      <c r="U14" s="488"/>
      <c r="V14" s="488"/>
      <c r="W14" s="489"/>
      <c r="X14" s="484"/>
      <c r="Y14" s="467"/>
      <c r="Z14" s="490" t="s">
        <v>642</v>
      </c>
      <c r="AA14" s="491" t="s">
        <v>643</v>
      </c>
      <c r="AB14" s="485"/>
      <c r="AC14" s="30"/>
      <c r="AD14" s="56"/>
      <c r="AE14" s="56"/>
      <c r="AF14" s="30"/>
      <c r="AG14" s="30"/>
      <c r="AH14" s="267"/>
      <c r="AI14" s="30"/>
    </row>
    <row r="15" spans="1:35" ht="30" customHeight="1" thickBot="1" x14ac:dyDescent="0.35">
      <c r="A15" s="267"/>
      <c r="B15" s="30"/>
      <c r="C15" s="30"/>
      <c r="D15" s="30"/>
      <c r="E15" s="33" t="str">
        <f>RIGHT($B$1,1)&amp;"13"</f>
        <v>413</v>
      </c>
      <c r="F15" s="30"/>
      <c r="G15" s="197" t="str">
        <f>IF(VLOOKUP(E15,BDD!$A$2:$N$567,14,FALSE)=0,"",VLOOKUP(E15,BDD!$A$2:$N$567,14,FALSE))</f>
        <v>Perte de compétitivité et exclusion de certains marchés.</v>
      </c>
      <c r="H15" s="58"/>
      <c r="I15" s="32"/>
      <c r="K15" s="58"/>
      <c r="L15" s="478"/>
      <c r="M15" s="481"/>
      <c r="N15" s="451"/>
      <c r="O15" s="492"/>
      <c r="P15" s="492"/>
      <c r="Q15" s="492"/>
      <c r="R15" s="492"/>
      <c r="S15" s="492"/>
      <c r="T15" s="492"/>
      <c r="U15" s="492"/>
      <c r="V15" s="492"/>
      <c r="W15" s="449" t="s">
        <v>16</v>
      </c>
      <c r="X15" s="450"/>
      <c r="Y15" s="484"/>
      <c r="Z15" s="493">
        <f>O22</f>
        <v>0</v>
      </c>
      <c r="AA15" s="494">
        <f>SUM($W$27:$W$54)</f>
        <v>0</v>
      </c>
      <c r="AB15" s="485"/>
      <c r="AC15" s="30"/>
      <c r="AD15" s="30"/>
      <c r="AE15" s="30"/>
      <c r="AF15" s="30"/>
      <c r="AG15" s="30"/>
      <c r="AH15" s="267"/>
      <c r="AI15" s="30"/>
    </row>
    <row r="16" spans="1:35" ht="30" customHeight="1" thickBot="1" x14ac:dyDescent="0.35">
      <c r="A16" s="267"/>
      <c r="B16" s="30"/>
      <c r="C16" s="30"/>
      <c r="D16" s="30"/>
      <c r="E16" s="33" t="str">
        <f>RIGHT($B$1,1)&amp;"14"</f>
        <v>414</v>
      </c>
      <c r="F16" s="30"/>
      <c r="G16" s="197" t="str">
        <f>IF(VLOOKUP(E16,BDD!$A$2:$N$567,14,FALSE)=0,"",VLOOKUP(E16,BDD!$A$2:$N$567,14,FALSE))</f>
        <v>Atteinte à la marque de l’entreprise.</v>
      </c>
      <c r="H16" s="58"/>
      <c r="I16" s="32"/>
      <c r="K16" s="32"/>
      <c r="L16" s="495"/>
      <c r="M16" s="496"/>
      <c r="N16" s="497"/>
      <c r="O16" s="497"/>
      <c r="P16" s="497"/>
      <c r="Q16" s="497"/>
      <c r="R16" s="497"/>
      <c r="S16" s="497"/>
      <c r="T16" s="497"/>
      <c r="U16" s="497"/>
      <c r="V16" s="497"/>
      <c r="W16" s="498"/>
      <c r="X16" s="497"/>
      <c r="Y16" s="497"/>
      <c r="Z16" s="497"/>
      <c r="AA16" s="497"/>
      <c r="AB16" s="499"/>
      <c r="AC16" s="30"/>
      <c r="AD16" s="30"/>
      <c r="AE16" s="30"/>
      <c r="AF16" s="30"/>
      <c r="AG16" s="30"/>
      <c r="AH16" s="267"/>
      <c r="AI16" s="30"/>
    </row>
    <row r="17" spans="1:35" ht="30" hidden="1" customHeight="1" x14ac:dyDescent="0.3">
      <c r="A17" s="267"/>
      <c r="B17" s="30"/>
      <c r="C17" s="30"/>
      <c r="D17" s="30"/>
      <c r="H17" s="58"/>
      <c r="I17" s="32"/>
      <c r="K17" s="58"/>
      <c r="L17" s="571"/>
      <c r="M17" s="572"/>
      <c r="N17" s="569"/>
      <c r="O17" s="569"/>
      <c r="P17" s="569"/>
      <c r="Q17" s="569"/>
      <c r="R17" s="569"/>
      <c r="S17" s="569"/>
      <c r="T17" s="569"/>
      <c r="U17" s="569"/>
      <c r="V17" s="569"/>
      <c r="W17" s="569"/>
      <c r="X17" s="569"/>
      <c r="Y17" s="569"/>
      <c r="Z17" s="569"/>
      <c r="AA17" s="569"/>
      <c r="AB17" s="569"/>
      <c r="AC17" s="30"/>
      <c r="AD17" s="30"/>
      <c r="AE17" s="30"/>
      <c r="AF17" s="30"/>
      <c r="AG17" s="30"/>
      <c r="AH17" s="267"/>
      <c r="AI17" s="30"/>
    </row>
    <row r="18" spans="1:35" ht="30" hidden="1" customHeight="1" x14ac:dyDescent="0.3">
      <c r="A18" s="267"/>
      <c r="B18" s="30"/>
      <c r="C18" s="30"/>
      <c r="D18" s="30"/>
      <c r="H18" s="58"/>
      <c r="I18" s="32"/>
      <c r="K18" s="58"/>
      <c r="L18" s="571"/>
      <c r="M18" s="572"/>
      <c r="N18" s="569"/>
      <c r="O18" s="569"/>
      <c r="P18" s="569"/>
      <c r="Q18" s="569"/>
      <c r="R18" s="569"/>
      <c r="S18" s="569"/>
      <c r="T18" s="569"/>
      <c r="U18" s="569"/>
      <c r="V18" s="569"/>
      <c r="W18" s="569"/>
      <c r="X18" s="569"/>
      <c r="Y18" s="569"/>
      <c r="Z18" s="569"/>
      <c r="AA18" s="569"/>
      <c r="AB18" s="569"/>
      <c r="AC18" s="30"/>
      <c r="AD18" s="30"/>
      <c r="AE18" s="30"/>
      <c r="AF18" s="30"/>
      <c r="AG18" s="30"/>
      <c r="AH18" s="267"/>
      <c r="AI18" s="30"/>
    </row>
    <row r="19" spans="1:35" ht="30" customHeight="1" x14ac:dyDescent="0.3">
      <c r="A19" s="267"/>
      <c r="B19" s="30"/>
      <c r="C19" s="30"/>
      <c r="D19" s="30"/>
      <c r="E19" s="33" t="str">
        <f>RIGHT($B$1,1)&amp;"15"</f>
        <v>415</v>
      </c>
      <c r="F19" s="30"/>
      <c r="G19" s="197" t="str">
        <f>IF(VLOOKUP(E19,BDD!$A$2:$N$567,14,FALSE)=0,"",VLOOKUP(E19,BDD!$A$2:$N$567,14,FALSE))</f>
        <v>Exclusion d’une partie de la population en cas de défaut d’accessibilité. </v>
      </c>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267"/>
      <c r="AI19" s="30"/>
    </row>
    <row r="20" spans="1:35" ht="30" customHeight="1" x14ac:dyDescent="0.3">
      <c r="A20" s="267"/>
      <c r="B20" s="30"/>
      <c r="C20" s="30"/>
      <c r="D20" s="30"/>
      <c r="E20" s="33" t="str">
        <f>RIGHT($B$1,1)&amp;"16"</f>
        <v>416</v>
      </c>
      <c r="F20" s="30"/>
      <c r="G20" s="197" t="str">
        <f>IF(VLOOKUP(E20,BDD!$A$2:$N$567,14,FALSE)=0,"",VLOOKUP(E20,BDD!$A$2:$N$567,14,FALSE))</f>
        <v>Manque de résilience et d'anticipation face aux possibles crises géopolitiques, climatiques, économiques...</v>
      </c>
      <c r="H20" s="58"/>
      <c r="I20" s="32"/>
      <c r="K20" s="58"/>
      <c r="L20" s="58"/>
      <c r="M20" s="32"/>
      <c r="N20" s="215" t="s">
        <v>855</v>
      </c>
      <c r="O20" s="641">
        <f>COUNTIF(N27:N100,"Non renseigné")</f>
        <v>18</v>
      </c>
      <c r="P20" s="642"/>
      <c r="Q20" s="642"/>
      <c r="R20" s="643"/>
      <c r="S20" s="30"/>
      <c r="T20" s="30"/>
      <c r="U20" s="30"/>
      <c r="V20" s="30"/>
      <c r="W20" s="30"/>
      <c r="X20" s="30"/>
      <c r="Y20" s="30"/>
      <c r="Z20" s="30"/>
      <c r="AA20" s="30"/>
      <c r="AB20" s="30"/>
      <c r="AC20" s="30"/>
      <c r="AD20" s="30"/>
      <c r="AE20" s="30"/>
      <c r="AF20" s="30"/>
      <c r="AG20" s="30"/>
      <c r="AH20" s="267"/>
      <c r="AI20" s="30"/>
    </row>
    <row r="21" spans="1:35" ht="30" customHeight="1" x14ac:dyDescent="0.3">
      <c r="A21" s="267"/>
      <c r="B21" s="30"/>
      <c r="C21" s="30"/>
      <c r="D21" s="30"/>
      <c r="E21" s="30" t="str">
        <f>RIGHT($B$1,1)&amp;"17"</f>
        <v>417</v>
      </c>
      <c r="F21" s="30"/>
      <c r="G21" s="197" t="str">
        <f>IF(VLOOKUP(E21,BDD!$A$2:$N$567,14,FALSE)=0,"",VLOOKUP(E21,BDD!$A$2:$N$567,14,FALSE))</f>
        <v/>
      </c>
      <c r="H21" s="58"/>
      <c r="I21" s="58"/>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267"/>
      <c r="AI21" s="30"/>
    </row>
    <row r="22" spans="1:35" ht="50.4" customHeight="1" x14ac:dyDescent="0.3">
      <c r="A22" s="267"/>
      <c r="B22" s="30"/>
      <c r="C22" s="30"/>
      <c r="D22" s="30"/>
      <c r="E22" s="33" t="str">
        <f>RIGHT($B$1,1)&amp;"17"</f>
        <v>417</v>
      </c>
      <c r="F22" s="30"/>
      <c r="G22" s="197" t="str">
        <f>IF(VLOOKUP(E22,BDD!$A$2:$N$567,14,FALSE)=0,"",VLOOKUP(E22,BDD!$A$2:$N$567,14,FALSE))</f>
        <v/>
      </c>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267"/>
      <c r="AI22" s="30"/>
    </row>
    <row r="23" spans="1:35" ht="30" customHeight="1" x14ac:dyDescent="0.3">
      <c r="A23" s="267"/>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267"/>
      <c r="AI23" s="30"/>
    </row>
    <row r="24" spans="1:35" ht="39.6" customHeight="1" x14ac:dyDescent="0.3">
      <c r="A24" s="267"/>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267"/>
      <c r="AI24" s="30"/>
    </row>
    <row r="25" spans="1:35" ht="30" customHeight="1" x14ac:dyDescent="0.3">
      <c r="A25" s="267"/>
      <c r="B25" s="30"/>
      <c r="C25" s="30" t="str">
        <f>IF(LEFT(RIGHT($B$1,2),1)=" ",RIGHT($B$1,1),RIGHT($B$1,2))</f>
        <v>4</v>
      </c>
      <c r="D25" s="32">
        <f>IF(LEFT(F25,5)="Bonne",B23+1,D24)</f>
        <v>1</v>
      </c>
      <c r="E25" s="32"/>
      <c r="F25" s="191" t="s">
        <v>499</v>
      </c>
      <c r="G25" s="192" t="str">
        <f>VLOOKUP(E27,BDD!$A$2:$N$567,6,FALSE)</f>
        <v>Gouvernance</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267"/>
      <c r="AI25" s="30"/>
    </row>
    <row r="26" spans="1:35" ht="30" customHeight="1" x14ac:dyDescent="0.3">
      <c r="A26" s="267"/>
      <c r="B26" s="30"/>
      <c r="C26" s="30" t="str">
        <f t="shared" ref="C26:C52" si="0">IF(LEFT(RIGHT($B$1,2),1)=" ",RIGHT($B$1,1),RIGHT($B$1,2))</f>
        <v>4</v>
      </c>
      <c r="D26" s="32">
        <f>IF(LEFT(F26,5)="Bonne",D24+1,D25)</f>
        <v>1</v>
      </c>
      <c r="F26" s="211" t="s">
        <v>550</v>
      </c>
      <c r="G26" s="193" t="str">
        <f>VLOOKUP(E28,BDD!$A$2:$N$567,7,FALSE)</f>
        <v xml:space="preserve">Une gouvernance RSE incluant les sujets numériques est mise en place au niveau de l'organisation. </v>
      </c>
      <c r="H26" s="139"/>
      <c r="I26" s="139"/>
      <c r="J26" s="139"/>
      <c r="K26" s="139"/>
      <c r="L26" s="140"/>
      <c r="M26" s="141"/>
      <c r="N26" s="14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267"/>
      <c r="AI26" s="30"/>
    </row>
    <row r="27" spans="1:35" ht="30" customHeight="1" x14ac:dyDescent="0.3">
      <c r="A27" s="267"/>
      <c r="B27" s="30"/>
      <c r="C27" s="30" t="str">
        <f t="shared" si="0"/>
        <v>4</v>
      </c>
      <c r="D27" s="32">
        <f>IF(LEFT(F27,5)="Bonne",D25+1,D26)</f>
        <v>1</v>
      </c>
      <c r="E27" s="32" t="str">
        <f>C27&amp;D27&amp;RIGHT(F27,1)</f>
        <v>411</v>
      </c>
      <c r="F27" s="143" t="s">
        <v>27</v>
      </c>
      <c r="G27" s="144" t="str">
        <f>VLOOKUP(E27,BDD!$A$2:$N$567,MATCH(G$24,BDD!$A$1:$P$1,0),FALSE)</f>
        <v>La DSI bénéficie du sponsorship de la direction générale de l'organisation en matière de numérique responsable.</v>
      </c>
      <c r="H27" s="149" t="str">
        <f>IF(VLOOKUP($E27,BDD!$A$2:$N$567,MATCH($H$23,BDD!$A$1:$P$1,0),FALSE)=H$24,V4_RSE!H$24,"")</f>
        <v/>
      </c>
      <c r="I27" s="150" t="str">
        <f>IF(VLOOKUP($E27,BDD!$A$2:$N$567,MATCH($H$23,BDD!$A$1:$P$1,0),FALSE)=I$24,V4_RSE!I$24,"")</f>
        <v>N2</v>
      </c>
      <c r="J27" s="150" t="str">
        <f>IF(VLOOKUP($E27,BDD!$A$2:$N$567,MATCH($H$23,BDD!$A$1:$P$1,0),FALSE)=J$24,V4_RSE!J$24,"")</f>
        <v/>
      </c>
      <c r="K27" s="150" t="str">
        <f>IF(VLOOKUP($E27,BDD!$A$2:$N$567,MATCH($H$23,BDD!$A$1:$P$1,0),FALSE)=K$24,V4_RSE!K$24,"")</f>
        <v/>
      </c>
      <c r="L27" s="151" t="str">
        <f>IF(VLOOKUP($E27,BDD!$A$2:$N$567,MATCH($H$23,BDD!$A$1:$P$1,0),FALSE)=L$24,V4_RSE!L$24,"")</f>
        <v/>
      </c>
      <c r="M27" s="63">
        <f t="shared" ref="M27:M29"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267"/>
      <c r="AI27" s="30"/>
    </row>
    <row r="28" spans="1:35" ht="30" customHeight="1" x14ac:dyDescent="0.3">
      <c r="A28" s="267"/>
      <c r="B28" s="30"/>
      <c r="C28" s="30" t="str">
        <f t="shared" si="0"/>
        <v>4</v>
      </c>
      <c r="D28" s="32">
        <f t="shared" ref="D28" si="2">IF(LEFT(F28,5)="Bonne",D26+1,D27)</f>
        <v>1</v>
      </c>
      <c r="E28" s="32" t="str">
        <f t="shared" ref="E28:E29" si="3">C28&amp;D28&amp;RIGHT(F28,1)</f>
        <v>412</v>
      </c>
      <c r="F28" s="145" t="s">
        <v>28</v>
      </c>
      <c r="G28" s="146" t="str">
        <f>VLOOKUP(E28,BDD!$A$2:$N$567,MATCH(G$24,BDD!$A$1:$P$1,0),FALSE)</f>
        <v>La stratégie numérique intègre la politique RSE de l'organisation et la met en œuvre.</v>
      </c>
      <c r="H28" s="149" t="str">
        <f>IF(VLOOKUP($E28,BDD!$A$2:$N$567,MATCH($H$23,BDD!$A$1:$P$1,0),FALSE)=H$24,V4_RSE!H$24,"")</f>
        <v/>
      </c>
      <c r="I28" s="150" t="str">
        <f>IF(VLOOKUP($E28,BDD!$A$2:$N$567,MATCH($H$23,BDD!$A$1:$P$1,0),FALSE)=I$24,V4_RSE!I$24,"")</f>
        <v>N2</v>
      </c>
      <c r="J28" s="150" t="str">
        <f>IF(VLOOKUP($E28,BDD!$A$2:$N$567,MATCH($H$23,BDD!$A$1:$P$1,0),FALSE)=J$24,V4_RSE!J$24,"")</f>
        <v/>
      </c>
      <c r="K28" s="150" t="str">
        <f>IF(VLOOKUP($E28,BDD!$A$2:$N$567,MATCH($H$23,BDD!$A$1:$P$1,0),FALSE)=K$24,V4_RSE!K$24,"")</f>
        <v/>
      </c>
      <c r="L28" s="151" t="str">
        <f>IF(VLOOKUP($E28,BDD!$A$2:$N$567,MATCH($H$23,BDD!$A$1:$P$1,0),FALSE)=L$24,V4_RSE!L$24,"")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267"/>
      <c r="AI28" s="30"/>
    </row>
    <row r="29" spans="1:35" ht="30" customHeight="1" x14ac:dyDescent="0.3">
      <c r="A29" s="267"/>
      <c r="B29" s="30"/>
      <c r="C29" s="30" t="str">
        <f t="shared" si="0"/>
        <v>4</v>
      </c>
      <c r="D29" s="32">
        <f>IF(LEFT(F29,5)="Bonne",D27+1,D28)</f>
        <v>1</v>
      </c>
      <c r="E29" s="32" t="str">
        <f t="shared" si="3"/>
        <v>413</v>
      </c>
      <c r="F29" s="143" t="s">
        <v>30</v>
      </c>
      <c r="G29" s="144" t="str">
        <f>VLOOKUP(E29,BDD!$A$2:$N$567,MATCH(G$24,BDD!$A$1:$P$1,0),FALSE)</f>
        <v>L'organisation a mis en place une instance dédiée, chargée du pilotage du numérique responsable et des initiatives liées à la conformité.</v>
      </c>
      <c r="H29" s="149" t="str">
        <f>IF(VLOOKUP($E29,BDD!$A$2:$N$567,MATCH($H$23,BDD!$A$1:$P$1,0),FALSE)=H$24,V4_RSE!H$24,"")</f>
        <v>N1</v>
      </c>
      <c r="I29" s="150" t="str">
        <f>IF(VLOOKUP($E29,BDD!$A$2:$N$567,MATCH($H$23,BDD!$A$1:$P$1,0),FALSE)=I$24,V4_RSE!I$24,"")</f>
        <v/>
      </c>
      <c r="J29" s="150" t="str">
        <f>IF(VLOOKUP($E29,BDD!$A$2:$N$567,MATCH($H$23,BDD!$A$1:$P$1,0),FALSE)=J$24,V4_RSE!J$24,"")</f>
        <v/>
      </c>
      <c r="K29" s="150" t="str">
        <f>IF(VLOOKUP($E29,BDD!$A$2:$N$567,MATCH($H$23,BDD!$A$1:$P$1,0),FALSE)=K$24,V4_RSE!K$24,"")</f>
        <v/>
      </c>
      <c r="L29" s="151" t="str">
        <f>IF(VLOOKUP($E29,BDD!$A$2:$N$567,MATCH($H$23,BDD!$A$1:$P$1,0),FALSE)=L$24,V4_RSE!L$24,"")</f>
        <v/>
      </c>
      <c r="M29" s="63">
        <f t="shared" si="1"/>
        <v>0</v>
      </c>
      <c r="N29" s="144" t="str">
        <f>VLOOKUP(VLOOKUP(E29,BDD!$A$2:$P$428,15,FALSE),Suppl!$D$64:$E$68,2,FALSE)</f>
        <v>Non renseigné</v>
      </c>
      <c r="O29" s="629"/>
      <c r="P29" s="629"/>
      <c r="Q29" s="629"/>
      <c r="R29" s="629"/>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267"/>
      <c r="AI29" s="30"/>
    </row>
    <row r="30" spans="1:35" ht="30" customHeight="1" x14ac:dyDescent="0.3">
      <c r="A30" s="267"/>
      <c r="B30" s="30"/>
      <c r="C30" s="30" t="str">
        <f t="shared" si="0"/>
        <v>4</v>
      </c>
      <c r="D30" s="32">
        <f t="shared" ref="D30:D34" si="4">IF(LEFT(F30,5)="Bonne",D28+1,D29)</f>
        <v>2</v>
      </c>
      <c r="E30" s="32" t="str">
        <f t="shared" ref="E30:E34" si="5">C30&amp;D30&amp;RIGHT(F30,1)</f>
        <v>422</v>
      </c>
      <c r="F30" s="191" t="s">
        <v>500</v>
      </c>
      <c r="G30" s="192" t="str">
        <f>VLOOKUP(E32,BDD!$A$2:$N$567,6,FALSE)</f>
        <v>Sensibilisation</v>
      </c>
      <c r="H30" s="190" t="str">
        <f>VLOOKUP(E32,BDD!$A$2:$N$567,6,FALSE)</f>
        <v>Sensibilisation</v>
      </c>
      <c r="I30" s="135"/>
      <c r="J30" s="135"/>
      <c r="K30" s="135"/>
      <c r="L30" s="136"/>
      <c r="M30" s="137"/>
      <c r="N30" s="138"/>
      <c r="O30" s="630">
        <v>0</v>
      </c>
      <c r="P30" s="630"/>
      <c r="Q30" s="630"/>
      <c r="R30" s="630"/>
      <c r="S30" s="632">
        <f>SUMIFS(S:S,$D:$D,D30,$N:$N,"Exigences"&amp;"*")</f>
        <v>0</v>
      </c>
      <c r="T30" s="632"/>
      <c r="U30" s="632"/>
      <c r="V30" s="633"/>
      <c r="W30" s="356">
        <f>IFERROR(IF(N30=Suppl!$E$65,0,IF(N30=Suppl!$E$66,1/2/(COUNTIFS($N:$N,"Exigences"&amp;"*")+COUNTIFS($N:$N,"Non"&amp;"*")),IF(N30=Suppl!$E$67,1/(COUNTIFS($N:$N,"Exigences"&amp;"*")+COUNTIFS($N:$N,"Non"&amp;"*")),0))),0)</f>
        <v>0</v>
      </c>
      <c r="X30" s="30"/>
      <c r="Y30" s="30"/>
      <c r="Z30" s="30"/>
      <c r="AA30" s="30"/>
      <c r="AB30" s="30"/>
      <c r="AC30" s="30"/>
      <c r="AD30" s="30"/>
      <c r="AE30" s="30"/>
      <c r="AF30" s="30"/>
      <c r="AG30" s="30"/>
      <c r="AH30" s="267"/>
      <c r="AI30" s="30"/>
    </row>
    <row r="31" spans="1:35" ht="30" customHeight="1" x14ac:dyDescent="0.3">
      <c r="A31" s="267"/>
      <c r="B31" s="30"/>
      <c r="C31" s="30" t="str">
        <f t="shared" si="0"/>
        <v>4</v>
      </c>
      <c r="D31" s="32">
        <f t="shared" si="4"/>
        <v>2</v>
      </c>
      <c r="E31" s="32" t="str">
        <f t="shared" si="5"/>
        <v>421</v>
      </c>
      <c r="F31" s="211" t="s">
        <v>550</v>
      </c>
      <c r="G31" s="620" t="str">
        <f>VLOOKUP(E33,BDD!$A$2:$N$567,7,FALSE)</f>
        <v>L’organisation  met en œuvre un programme structuré de sensibilisation et de formation à la RSE et au numérique responsable, soutenu par des référents identifiés. Elle en mesure l’impact par des actions régulières.</v>
      </c>
      <c r="H31" s="621"/>
      <c r="I31" s="621"/>
      <c r="J31" s="621"/>
      <c r="K31" s="621"/>
      <c r="L31" s="621"/>
      <c r="M31" s="621"/>
      <c r="N31" s="622"/>
      <c r="O31" s="631"/>
      <c r="P31" s="631"/>
      <c r="Q31" s="631"/>
      <c r="R31" s="631"/>
      <c r="S31" s="634"/>
      <c r="T31" s="634"/>
      <c r="U31" s="634"/>
      <c r="V31" s="635"/>
      <c r="W31" s="356">
        <f>IFERROR(IF(N31=Suppl!$E$65,0,IF(N31=Suppl!$E$66,1/2/(COUNTIFS($N:$N,"Exigences"&amp;"*")+COUNTIFS($N:$N,"Non"&amp;"*")),IF(N31=Suppl!$E$67,1/(COUNTIFS($N:$N,"Exigences"&amp;"*")+COUNTIFS($N:$N,"Non"&amp;"*")),0))),0)</f>
        <v>0</v>
      </c>
      <c r="X31" s="30"/>
      <c r="Y31" s="30"/>
      <c r="Z31" s="30"/>
      <c r="AA31" s="30"/>
      <c r="AB31" s="30"/>
      <c r="AC31" s="30"/>
      <c r="AD31" s="30"/>
      <c r="AE31" s="30"/>
      <c r="AF31" s="30"/>
      <c r="AG31" s="30"/>
      <c r="AH31" s="267"/>
      <c r="AI31" s="30"/>
    </row>
    <row r="32" spans="1:35" ht="30" customHeight="1" x14ac:dyDescent="0.3">
      <c r="A32" s="267"/>
      <c r="B32" s="30"/>
      <c r="C32" s="30" t="str">
        <f t="shared" si="0"/>
        <v>4</v>
      </c>
      <c r="D32" s="32">
        <f t="shared" si="4"/>
        <v>2</v>
      </c>
      <c r="E32" s="32" t="str">
        <f t="shared" si="5"/>
        <v>421</v>
      </c>
      <c r="F32" s="143" t="s">
        <v>27</v>
      </c>
      <c r="G32" s="144" t="str">
        <f>VLOOKUP(E32,BDD!$A$2:$N$567,MATCH(G$24,BDD!$A$1:$P$1,0),FALSE)</f>
        <v>Les décideurs et les métiers sont sensibilisés au numérique responsable.</v>
      </c>
      <c r="H32" s="149" t="str">
        <f>IF(VLOOKUP($E32,BDD!$A$2:$N$567,MATCH($H$23,BDD!$A$1:$P$1,0),FALSE)=H$24,V4_RSE!H$24,"")</f>
        <v/>
      </c>
      <c r="I32" s="150" t="str">
        <f>IF(VLOOKUP($E32,BDD!$A$2:$N$567,MATCH($H$23,BDD!$A$1:$P$1,0),FALSE)=I$24,V4_RSE!I$24,"")</f>
        <v>N2</v>
      </c>
      <c r="J32" s="150" t="str">
        <f>IF(VLOOKUP($E32,BDD!$A$2:$N$567,MATCH($H$23,BDD!$A$1:$P$1,0),FALSE)=J$24,V4_RSE!J$24,"")</f>
        <v/>
      </c>
      <c r="K32" s="150" t="str">
        <f>IF(VLOOKUP($E32,BDD!$A$2:$N$567,MATCH($H$23,BDD!$A$1:$P$1,0),FALSE)=K$24,V4_RSE!K$24,"")</f>
        <v/>
      </c>
      <c r="L32" s="151" t="str">
        <f>IF(VLOOKUP($E32,BDD!$A$2:$N$567,MATCH($H$23,BDD!$A$1:$P$1,0),FALSE)=L$24,V4_RSE!L$24,"")</f>
        <v/>
      </c>
      <c r="M32" s="63">
        <f>IF(N32="Exigences partiellement respectées",1,IF(N32="Exigences respectées",2,0))</f>
        <v>0</v>
      </c>
      <c r="N32" s="144" t="str">
        <f>VLOOKUP(VLOOKUP(E32,BDD!$A$2:$P$428,15,FALSE),Suppl!$D$64:$E$68,2,FALSE)</f>
        <v>Non renseigné</v>
      </c>
      <c r="O32" s="626"/>
      <c r="P32" s="626"/>
      <c r="Q32" s="626"/>
      <c r="R32" s="626"/>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267"/>
      <c r="AI32" s="30"/>
    </row>
    <row r="33" spans="1:35" ht="30" customHeight="1" x14ac:dyDescent="0.3">
      <c r="A33" s="267"/>
      <c r="B33" s="30"/>
      <c r="C33" s="30" t="str">
        <f t="shared" si="0"/>
        <v>4</v>
      </c>
      <c r="D33" s="32">
        <f t="shared" si="4"/>
        <v>2</v>
      </c>
      <c r="E33" s="32" t="str">
        <f t="shared" si="5"/>
        <v>422</v>
      </c>
      <c r="F33" s="145" t="s">
        <v>28</v>
      </c>
      <c r="G33" s="146" t="str">
        <f>VLOOKUP(E33,BDD!$A$2:$N$567,MATCH(G$24,BDD!$A$1:$P$1,0),FALSE)</f>
        <v>Une communication sur l'accessibilité numérique et sur les sujets de conformité aux réglementations RSE est mise en place au sein de l'organisation.</v>
      </c>
      <c r="H33" s="149" t="str">
        <f>IF(VLOOKUP($E33,BDD!$A$2:$N$567,MATCH($H$23,BDD!$A$1:$P$1,0),FALSE)=H$24,V4_RSE!H$24,"")</f>
        <v/>
      </c>
      <c r="I33" s="150" t="str">
        <f>IF(VLOOKUP($E33,BDD!$A$2:$N$567,MATCH($H$23,BDD!$A$1:$P$1,0),FALSE)=I$24,V4_RSE!I$24,"")</f>
        <v>N2</v>
      </c>
      <c r="J33" s="150" t="str">
        <f>IF(VLOOKUP($E33,BDD!$A$2:$N$567,MATCH($H$23,BDD!$A$1:$P$1,0),FALSE)=J$24,V4_RSE!J$24,"")</f>
        <v/>
      </c>
      <c r="K33" s="150" t="str">
        <f>IF(VLOOKUP($E33,BDD!$A$2:$N$567,MATCH($H$23,BDD!$A$1:$P$1,0),FALSE)=K$24,V4_RSE!K$24,"")</f>
        <v/>
      </c>
      <c r="L33" s="151" t="str">
        <f>IF(VLOOKUP($E33,BDD!$A$2:$N$567,MATCH($H$23,BDD!$A$1:$P$1,0),FALSE)=L$24,V4_RSE!L$24,"")</f>
        <v/>
      </c>
      <c r="M33" s="63">
        <f t="shared" ref="M33:M34" si="6">IF(N33="Exigences partiellement respectées",1,IF(N33="Exigences respectées",2,0))</f>
        <v>0</v>
      </c>
      <c r="N33" s="146" t="str">
        <f>VLOOKUP(VLOOKUP(E33,BDD!$A$2:$P$428,15,FALSE),Suppl!$D$64:$E$68,2,FALSE)</f>
        <v>Non renseigné</v>
      </c>
      <c r="O33" s="629"/>
      <c r="P33" s="629"/>
      <c r="Q33" s="629"/>
      <c r="R33" s="629"/>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267"/>
      <c r="AI33" s="30"/>
    </row>
    <row r="34" spans="1:35" ht="30" customHeight="1" x14ac:dyDescent="0.3">
      <c r="A34" s="267"/>
      <c r="B34" s="30"/>
      <c r="C34" s="30" t="str">
        <f t="shared" si="0"/>
        <v>4</v>
      </c>
      <c r="D34" s="32">
        <f t="shared" si="4"/>
        <v>2</v>
      </c>
      <c r="E34" s="32" t="str">
        <f t="shared" si="5"/>
        <v>423</v>
      </c>
      <c r="F34" s="143" t="s">
        <v>30</v>
      </c>
      <c r="G34" s="144" t="str">
        <f>VLOOKUP(E34,BDD!$A$2:$N$567,MATCH(G$24,BDD!$A$1:$P$1,0),FALSE)</f>
        <v>Les personnes clés au sein de la filière numérique sont formées.</v>
      </c>
      <c r="H34" s="149" t="str">
        <f>IF(VLOOKUP($E34,BDD!$A$2:$N$567,MATCH($H$23,BDD!$A$1:$P$1,0),FALSE)=H$24,V4_RSE!H$24,"")</f>
        <v/>
      </c>
      <c r="I34" s="150" t="str">
        <f>IF(VLOOKUP($E34,BDD!$A$2:$N$567,MATCH($H$23,BDD!$A$1:$P$1,0),FALSE)=I$24,V4_RSE!I$24,"")</f>
        <v/>
      </c>
      <c r="J34" s="150" t="str">
        <f>IF(VLOOKUP($E34,BDD!$A$2:$N$567,MATCH($H$23,BDD!$A$1:$P$1,0),FALSE)=J$24,V4_RSE!J$24,"")</f>
        <v>N3</v>
      </c>
      <c r="K34" s="150" t="str">
        <f>IF(VLOOKUP($E34,BDD!$A$2:$N$567,MATCH($H$23,BDD!$A$1:$P$1,0),FALSE)=K$24,V4_RSE!K$24,"")</f>
        <v/>
      </c>
      <c r="L34" s="151" t="str">
        <f>IF(VLOOKUP($E34,BDD!$A$2:$N$567,MATCH($H$23,BDD!$A$1:$P$1,0),FALSE)=L$24,V4_RSE!L$24,"")</f>
        <v/>
      </c>
      <c r="M34" s="63">
        <f t="shared" si="6"/>
        <v>0</v>
      </c>
      <c r="N34" s="144" t="str">
        <f>VLOOKUP(VLOOKUP(E34,BDD!$A$2:$P$428,15,FALSE),Suppl!$D$64:$E$68,2,FALSE)</f>
        <v>Non renseigné</v>
      </c>
      <c r="O34" s="629"/>
      <c r="P34" s="629"/>
      <c r="Q34" s="629"/>
      <c r="R34" s="629"/>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267"/>
      <c r="AI34" s="30"/>
    </row>
    <row r="35" spans="1:35" ht="30" customHeight="1" x14ac:dyDescent="0.3">
      <c r="A35" s="267"/>
      <c r="B35" s="30"/>
      <c r="C35" s="30" t="str">
        <f t="shared" si="0"/>
        <v>4</v>
      </c>
      <c r="D35" s="32">
        <f t="shared" ref="D35:D47" si="7">IF(LEFT(F35,5)="Bonne",D33+1,D34)</f>
        <v>3</v>
      </c>
      <c r="E35" s="32" t="str">
        <f t="shared" ref="E35:E47" si="8">C35&amp;D35&amp;RIGHT(F35,1)</f>
        <v>433</v>
      </c>
      <c r="F35" s="191" t="s">
        <v>501</v>
      </c>
      <c r="G35" s="192" t="str">
        <f>VLOOKUP(E37,BDD!$A$2:$N$567,6,FALSE)</f>
        <v>Eco conception et cycle de vie</v>
      </c>
      <c r="H35" s="190"/>
      <c r="I35" s="135"/>
      <c r="J35" s="135"/>
      <c r="K35" s="135"/>
      <c r="L35" s="136"/>
      <c r="M35" s="137"/>
      <c r="N35" s="138"/>
      <c r="O35" s="630">
        <v>0</v>
      </c>
      <c r="P35" s="630"/>
      <c r="Q35" s="630"/>
      <c r="R35" s="630"/>
      <c r="S35" s="632">
        <f>SUMIFS(S:S,$D:$D,D35,$N:$N,"Exigences"&amp;"*")</f>
        <v>0</v>
      </c>
      <c r="T35" s="632"/>
      <c r="U35" s="632"/>
      <c r="V35" s="633"/>
      <c r="W35" s="356">
        <f>IFERROR(IF(N35=Suppl!$E$65,0,IF(N35=Suppl!$E$66,1/2/(COUNTIFS($N:$N,"Exigences"&amp;"*")+COUNTIFS($N:$N,"Non"&amp;"*")),IF(N35=Suppl!$E$67,1/(COUNTIFS($N:$N,"Exigences"&amp;"*")+COUNTIFS($N:$N,"Non"&amp;"*")),0))),0)</f>
        <v>0</v>
      </c>
      <c r="X35" s="30"/>
      <c r="Y35" s="30"/>
      <c r="Z35" s="30"/>
      <c r="AA35" s="30"/>
      <c r="AB35" s="30"/>
      <c r="AC35" s="30"/>
      <c r="AD35" s="30"/>
      <c r="AE35" s="30"/>
      <c r="AF35" s="30"/>
      <c r="AG35" s="30"/>
      <c r="AH35" s="267"/>
      <c r="AI35" s="30"/>
    </row>
    <row r="36" spans="1:35" ht="30" customHeight="1" x14ac:dyDescent="0.3">
      <c r="A36" s="267"/>
      <c r="B36" s="30"/>
      <c r="C36" s="30" t="str">
        <f t="shared" si="0"/>
        <v>4</v>
      </c>
      <c r="D36" s="32">
        <f t="shared" si="7"/>
        <v>3</v>
      </c>
      <c r="E36" s="32" t="str">
        <f t="shared" si="8"/>
        <v>431</v>
      </c>
      <c r="F36" s="211" t="s">
        <v>550</v>
      </c>
      <c r="G36" s="193" t="str">
        <f>VLOOKUP(E38,BDD!$A$2:$N$567,7,FALSE)</f>
        <v>Les enjeux RSE sont intégrés dès la conception des services et des produits numériques et tout au long de leur cycle de vie.</v>
      </c>
      <c r="H36" s="139"/>
      <c r="I36" s="139"/>
      <c r="J36" s="139"/>
      <c r="K36" s="139"/>
      <c r="L36" s="140"/>
      <c r="M36" s="141"/>
      <c r="N36" s="142"/>
      <c r="O36" s="631"/>
      <c r="P36" s="631"/>
      <c r="Q36" s="631"/>
      <c r="R36" s="631"/>
      <c r="S36" s="634"/>
      <c r="T36" s="634"/>
      <c r="U36" s="634"/>
      <c r="V36" s="635"/>
      <c r="W36" s="356">
        <f>IFERROR(IF(N36=Suppl!$E$65,0,IF(N36=Suppl!$E$66,1/2/(COUNTIFS($N:$N,"Exigences"&amp;"*")+COUNTIFS($N:$N,"Non"&amp;"*")),IF(N36=Suppl!$E$67,1/(COUNTIFS($N:$N,"Exigences"&amp;"*")+COUNTIFS($N:$N,"Non"&amp;"*")),0))),0)</f>
        <v>0</v>
      </c>
      <c r="X36" s="30"/>
      <c r="Y36" s="30"/>
      <c r="Z36" s="30"/>
      <c r="AA36" s="30"/>
      <c r="AB36" s="30"/>
      <c r="AC36" s="30"/>
      <c r="AD36" s="30"/>
      <c r="AE36" s="30"/>
      <c r="AF36" s="30"/>
      <c r="AG36" s="30"/>
      <c r="AH36" s="267"/>
      <c r="AI36" s="30"/>
    </row>
    <row r="37" spans="1:35" ht="30" customHeight="1" x14ac:dyDescent="0.3">
      <c r="A37" s="267"/>
      <c r="B37" s="30"/>
      <c r="C37" s="30" t="str">
        <f t="shared" si="0"/>
        <v>4</v>
      </c>
      <c r="D37" s="32">
        <f t="shared" si="7"/>
        <v>3</v>
      </c>
      <c r="E37" s="32" t="str">
        <f t="shared" si="8"/>
        <v>431</v>
      </c>
      <c r="F37" s="143" t="s">
        <v>27</v>
      </c>
      <c r="G37" s="144" t="str">
        <f>VLOOKUP(E37,BDD!$A$2:$N$567,MATCH(G$24,BDD!$A$1:$P$1,0),FALSE)</f>
        <v>La contribution RSE est maîtrisée de bout en bout, tout au long du cycle de vie du produit ou du service.</v>
      </c>
      <c r="H37" s="149" t="str">
        <f>IF(VLOOKUP($E37,BDD!$A$2:$N$567,MATCH($H$23,BDD!$A$1:$P$1,0),FALSE)=H$24,V4_RSE!H$24,"")</f>
        <v/>
      </c>
      <c r="I37" s="150" t="str">
        <f>IF(VLOOKUP($E37,BDD!$A$2:$N$567,MATCH($H$23,BDD!$A$1:$P$1,0),FALSE)=I$24,V4_RSE!I$24,"")</f>
        <v/>
      </c>
      <c r="J37" s="150" t="str">
        <f>IF(VLOOKUP($E37,BDD!$A$2:$N$567,MATCH($H$23,BDD!$A$1:$P$1,0),FALSE)=J$24,V4_RSE!J$24,"")</f>
        <v/>
      </c>
      <c r="K37" s="150" t="str">
        <f>IF(VLOOKUP($E37,BDD!$A$2:$N$567,MATCH($H$23,BDD!$A$1:$P$1,0),FALSE)=K$24,V4_RSE!K$24,"")</f>
        <v>N4</v>
      </c>
      <c r="L37" s="151" t="str">
        <f>IF(VLOOKUP($E37,BDD!$A$2:$N$567,MATCH($H$23,BDD!$A$1:$P$1,0),FALSE)=L$24,V4_RSE!L$24,"")</f>
        <v/>
      </c>
      <c r="M37" s="63">
        <f t="shared" ref="M37:M43" si="9">IF(N37="Exigences partiellement respectées",1,IF(N37="Exigences respectées",2,0))</f>
        <v>0</v>
      </c>
      <c r="N37" s="144" t="str">
        <f>VLOOKUP(VLOOKUP(E37,BDD!$A$2:$P$428,15,FALSE),Suppl!$D$64:$E$68,2,FALSE)</f>
        <v>Non renseigné</v>
      </c>
      <c r="O37" s="626"/>
      <c r="P37" s="626"/>
      <c r="Q37" s="626"/>
      <c r="R37" s="626"/>
      <c r="S37" s="627">
        <f>IF(N37=Suppl!$E$65,0,IF(N37=Suppl!$E$66,1/2/(COUNTIFS($D:$D,D37,$N:$N,"Exigences"&amp;"*",G:G,"&lt;&gt;0")+COUNTIFS($D:$D,D37,$N:$N,"Non"&amp;"*",G:G,"&lt;&gt;0")),IF(N37=Suppl!$E$67,1/(COUNTIFS($D:$D,D37,$N:$N,"Exigences"&amp;"*",G:G,"&lt;&gt;0")+COUNTIFS($D:$D,D37,$N:$N,"Non"&amp;"*",G:G,"&lt;&gt;0")),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267"/>
      <c r="AI37" s="30"/>
    </row>
    <row r="38" spans="1:35" ht="30" customHeight="1" x14ac:dyDescent="0.3">
      <c r="A38" s="267"/>
      <c r="B38" s="30"/>
      <c r="C38" s="30" t="str">
        <f t="shared" si="0"/>
        <v>4</v>
      </c>
      <c r="D38" s="32">
        <f t="shared" si="7"/>
        <v>3</v>
      </c>
      <c r="E38" s="32" t="str">
        <f t="shared" si="8"/>
        <v>432</v>
      </c>
      <c r="F38" s="145" t="s">
        <v>28</v>
      </c>
      <c r="G38" s="146" t="str">
        <f>VLOOKUP(E38,BDD!$A$2:$N$567,MATCH(G$24,BDD!$A$1:$P$1,0),FALSE)</f>
        <v>Les critères de conception des produits et services numériques sont définis en alignement avec les enjeux RSE de l'organisation.</v>
      </c>
      <c r="H38" s="149" t="str">
        <f>IF(VLOOKUP($E38,BDD!$A$2:$N$567,MATCH($H$23,BDD!$A$1:$P$1,0),FALSE)=H$24,V4_RSE!H$24,"")</f>
        <v/>
      </c>
      <c r="I38" s="150" t="str">
        <f>IF(VLOOKUP($E38,BDD!$A$2:$N$567,MATCH($H$23,BDD!$A$1:$P$1,0),FALSE)=I$24,V4_RSE!I$24,"")</f>
        <v/>
      </c>
      <c r="J38" s="150" t="str">
        <f>IF(VLOOKUP($E38,BDD!$A$2:$N$567,MATCH($H$23,BDD!$A$1:$P$1,0),FALSE)=J$24,V4_RSE!J$24,"")</f>
        <v>N3</v>
      </c>
      <c r="K38" s="150" t="str">
        <f>IF(VLOOKUP($E38,BDD!$A$2:$N$567,MATCH($H$23,BDD!$A$1:$P$1,0),FALSE)=K$24,V4_RSE!K$24,"")</f>
        <v/>
      </c>
      <c r="L38" s="151" t="str">
        <f>IF(VLOOKUP($E38,BDD!$A$2:$N$567,MATCH($H$23,BDD!$A$1:$P$1,0),FALSE)=L$24,V4_RSE!L$24,"")</f>
        <v/>
      </c>
      <c r="M38" s="63">
        <f t="shared" si="9"/>
        <v>0</v>
      </c>
      <c r="N38" s="146" t="str">
        <f>VLOOKUP(VLOOKUP(E38,BDD!$A$2:$P$428,15,FALSE),Suppl!$D$64:$E$68,2,FALSE)</f>
        <v>Non renseigné</v>
      </c>
      <c r="O38" s="629"/>
      <c r="P38" s="629"/>
      <c r="Q38" s="629"/>
      <c r="R38" s="629"/>
      <c r="S38" s="627">
        <f>IF(N38=Suppl!$E$65,0,IF(N38=Suppl!$E$66,1/2/(COUNTIFS($D:$D,D38,$N:$N,"Exigences"&amp;"*",G:G,"&lt;&gt;0")+COUNTIFS($D:$D,D38,$N:$N,"Non"&amp;"*",G:G,"&lt;&gt;0")),IF(N38=Suppl!$E$67,1/(COUNTIFS($D:$D,D38,$N:$N,"Exigences"&amp;"*",G:G,"&lt;&gt;0")+COUNTIFS($D:$D,D38,$N:$N,"Non"&amp;"*",G:G,"&lt;&gt;0")),0)))</f>
        <v>0</v>
      </c>
      <c r="T38" s="627"/>
      <c r="U38" s="627"/>
      <c r="V38" s="628"/>
      <c r="W38" s="356">
        <f>IFERROR(IF(N38=Suppl!$E$65,0,IF(N38=Suppl!$E$66,1/2/(COUNTIFS($N:$N,"Exigences"&amp;"*")+COUNTIFS($N:$N,"Non"&amp;"*")),IF(N38=Suppl!$E$67,1/(COUNTIFS($N:$N,"Exigences"&amp;"*")+COUNTIFS($N:$N,"Non"&amp;"*")),0))),0)</f>
        <v>0</v>
      </c>
      <c r="X38" s="30"/>
      <c r="Y38" s="30"/>
      <c r="Z38" s="30"/>
      <c r="AA38" s="30"/>
      <c r="AB38" s="30"/>
      <c r="AC38" s="30"/>
      <c r="AD38" s="30"/>
      <c r="AE38" s="30"/>
      <c r="AF38" s="30"/>
      <c r="AG38" s="30"/>
      <c r="AH38" s="267"/>
      <c r="AI38" s="30"/>
    </row>
    <row r="39" spans="1:35" ht="30" customHeight="1" x14ac:dyDescent="0.3">
      <c r="A39" s="267"/>
      <c r="B39" s="30"/>
      <c r="C39" s="30" t="str">
        <f t="shared" si="0"/>
        <v>4</v>
      </c>
      <c r="D39" s="32">
        <f t="shared" si="7"/>
        <v>3</v>
      </c>
      <c r="E39" s="32" t="str">
        <f t="shared" si="8"/>
        <v>433</v>
      </c>
      <c r="F39" s="143" t="s">
        <v>30</v>
      </c>
      <c r="G39" s="144" t="str">
        <f>VLOOKUP(E39,BDD!$A$2:$N$567,MATCH(G$24,BDD!$A$1:$P$1,0),FALSE)</f>
        <v>La dimension de responsabilité est incluse dans la conception des solutions.</v>
      </c>
      <c r="H39" s="149" t="str">
        <f>IF(VLOOKUP($E39,BDD!$A$2:$N$567,MATCH($H$23,BDD!$A$1:$P$1,0),FALSE)=H$24,V4_RSE!H$24,"")</f>
        <v/>
      </c>
      <c r="I39" s="150" t="str">
        <f>IF(VLOOKUP($E39,BDD!$A$2:$N$567,MATCH($H$23,BDD!$A$1:$P$1,0),FALSE)=I$24,V4_RSE!I$24,"")</f>
        <v/>
      </c>
      <c r="J39" s="150" t="str">
        <f>IF(VLOOKUP($E39,BDD!$A$2:$N$567,MATCH($H$23,BDD!$A$1:$P$1,0),FALSE)=J$24,V4_RSE!J$24,"")</f>
        <v>N3</v>
      </c>
      <c r="K39" s="150" t="str">
        <f>IF(VLOOKUP($E39,BDD!$A$2:$N$567,MATCH($H$23,BDD!$A$1:$P$1,0),FALSE)=K$24,V4_RSE!K$24,"")</f>
        <v/>
      </c>
      <c r="L39" s="151" t="str">
        <f>IF(VLOOKUP($E39,BDD!$A$2:$N$567,MATCH($H$23,BDD!$A$1:$P$1,0),FALSE)=L$24,V4_RSE!L$24,"")</f>
        <v/>
      </c>
      <c r="M39" s="63">
        <f t="shared" si="9"/>
        <v>0</v>
      </c>
      <c r="N39" s="144" t="str">
        <f>VLOOKUP(VLOOKUP(E39,BDD!$A$2:$P$428,15,FALSE),Suppl!$D$64:$E$68,2,FALSE)</f>
        <v>Non renseigné</v>
      </c>
      <c r="O39" s="629"/>
      <c r="P39" s="629"/>
      <c r="Q39" s="629"/>
      <c r="R39" s="629"/>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267"/>
      <c r="AI39" s="30"/>
    </row>
    <row r="40" spans="1:35" ht="30" customHeight="1" x14ac:dyDescent="0.3">
      <c r="A40" s="267"/>
      <c r="B40" s="30"/>
      <c r="C40" s="30" t="str">
        <f t="shared" si="0"/>
        <v>4</v>
      </c>
      <c r="D40" s="32">
        <f t="shared" si="7"/>
        <v>3</v>
      </c>
      <c r="E40" s="32" t="str">
        <f t="shared" si="8"/>
        <v>434</v>
      </c>
      <c r="F40" s="145" t="s">
        <v>32</v>
      </c>
      <c r="G40" s="146" t="str">
        <f>VLOOKUP(E40,BDD!$A$2:$N$567,MATCH(G$24,BDD!$A$1:$P$1,0),FALSE)</f>
        <v>La DSI met en place des actions dédiées à l'accessibilité numérique en lien avec la stratégie RSE globale de l'organisation.</v>
      </c>
      <c r="H40" s="149" t="str">
        <f>IF(VLOOKUP($E40,BDD!$A$2:$N$567,MATCH($H$23,BDD!$A$1:$P$1,0),FALSE)=H$24,V4_RSE!H$24,"")</f>
        <v/>
      </c>
      <c r="I40" s="150" t="str">
        <f>IF(VLOOKUP($E40,BDD!$A$2:$N$567,MATCH($H$23,BDD!$A$1:$P$1,0),FALSE)=I$24,V4_RSE!I$24,"")</f>
        <v/>
      </c>
      <c r="J40" s="150" t="str">
        <f>IF(VLOOKUP($E40,BDD!$A$2:$N$567,MATCH($H$23,BDD!$A$1:$P$1,0),FALSE)=J$24,V4_RSE!J$24,"")</f>
        <v>N3</v>
      </c>
      <c r="K40" s="150" t="str">
        <f>IF(VLOOKUP($E40,BDD!$A$2:$N$567,MATCH($H$23,BDD!$A$1:$P$1,0),FALSE)=K$24,V4_RSE!K$24,"")</f>
        <v/>
      </c>
      <c r="L40" s="151" t="str">
        <f>IF(VLOOKUP($E40,BDD!$A$2:$N$567,MATCH($H$23,BDD!$A$1:$P$1,0),FALSE)=L$24,V4_RSE!L$24,"")</f>
        <v/>
      </c>
      <c r="M40" s="63">
        <f t="shared" si="9"/>
        <v>0</v>
      </c>
      <c r="N40" s="146" t="str">
        <f>VLOOKUP(VLOOKUP(E40,BDD!$A$2:$P$428,15,FALSE),Suppl!$D$64:$E$68,2,FALSE)</f>
        <v>Non renseigné</v>
      </c>
      <c r="O40" s="629"/>
      <c r="P40" s="629"/>
      <c r="Q40" s="629"/>
      <c r="R40" s="629"/>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267"/>
      <c r="AI40" s="30"/>
    </row>
    <row r="41" spans="1:35" ht="30" customHeight="1" x14ac:dyDescent="0.3">
      <c r="A41" s="267"/>
      <c r="B41" s="30"/>
      <c r="C41" s="30" t="str">
        <f t="shared" si="0"/>
        <v>4</v>
      </c>
      <c r="D41" s="32">
        <f t="shared" si="7"/>
        <v>3</v>
      </c>
      <c r="E41" s="32" t="str">
        <f t="shared" si="8"/>
        <v>435</v>
      </c>
      <c r="F41" s="143" t="s">
        <v>33</v>
      </c>
      <c r="G41" s="144" t="str">
        <f>VLOOKUP(E41,BDD!$A$2:$N$567,MATCH(G$24,BDD!$A$1:$P$1,0),FALSE)</f>
        <v>La DSI accompagne les métiers dans l'élaboration de solutions IT for green.</v>
      </c>
      <c r="H41" s="149" t="str">
        <f>IF(VLOOKUP($E41,BDD!$A$2:$N$567,MATCH($H$23,BDD!$A$1:$P$1,0),FALSE)=H$24,V4_RSE!H$24,"")</f>
        <v/>
      </c>
      <c r="I41" s="150" t="str">
        <f>IF(VLOOKUP($E41,BDD!$A$2:$N$567,MATCH($H$23,BDD!$A$1:$P$1,0),FALSE)=I$24,V4_RSE!I$24,"")</f>
        <v/>
      </c>
      <c r="J41" s="150" t="str">
        <f>IF(VLOOKUP($E41,BDD!$A$2:$N$567,MATCH($H$23,BDD!$A$1:$P$1,0),FALSE)=J$24,V4_RSE!J$24,"")</f>
        <v>N3</v>
      </c>
      <c r="K41" s="150" t="str">
        <f>IF(VLOOKUP($E41,BDD!$A$2:$N$567,MATCH($H$23,BDD!$A$1:$P$1,0),FALSE)=K$24,V4_RSE!K$24,"")</f>
        <v/>
      </c>
      <c r="L41" s="151" t="str">
        <f>IF(VLOOKUP($E41,BDD!$A$2:$N$567,MATCH($H$23,BDD!$A$1:$P$1,0),FALSE)=L$24,V4_RSE!L$24,"")</f>
        <v/>
      </c>
      <c r="M41" s="63">
        <f t="shared" si="9"/>
        <v>0</v>
      </c>
      <c r="N41" s="144" t="str">
        <f>VLOOKUP(VLOOKUP(E41,BDD!$A$2:$P$428,15,FALSE),Suppl!$D$64:$E$68,2,FALSE)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267"/>
      <c r="AI41" s="30"/>
    </row>
    <row r="42" spans="1:35" ht="43.8" customHeight="1" x14ac:dyDescent="0.3">
      <c r="A42" s="267"/>
      <c r="B42" s="30"/>
      <c r="C42" s="30" t="str">
        <f t="shared" si="0"/>
        <v>4</v>
      </c>
      <c r="D42" s="32">
        <f t="shared" si="7"/>
        <v>3</v>
      </c>
      <c r="E42" s="32" t="str">
        <f t="shared" si="8"/>
        <v>436</v>
      </c>
      <c r="F42" s="147" t="s">
        <v>34</v>
      </c>
      <c r="G42" s="148" t="str">
        <f>VLOOKUP(E42,BDD!$A$2:$N$567,MATCH(G$24,BDD!$A$1:$P$1,0),FALSE)</f>
        <v>Des outils sont mis en place pour implémenter le reporting extra-financier (CSRD) et pour mener les actions de transition environnementale et de réduction de l’empreinte environnementale. </v>
      </c>
      <c r="H42" s="149" t="str">
        <f>IF(VLOOKUP($E42,BDD!$A$2:$N$567,MATCH($H$23,BDD!$A$1:$P$1,0),FALSE)=H$24,V4_RSE!H$24,"")</f>
        <v/>
      </c>
      <c r="I42" s="150" t="str">
        <f>IF(VLOOKUP($E42,BDD!$A$2:$N$567,MATCH($H$23,BDD!$A$1:$P$1,0),FALSE)=I$24,V4_RSE!I$24,"")</f>
        <v>N2</v>
      </c>
      <c r="J42" s="150" t="str">
        <f>IF(VLOOKUP($E42,BDD!$A$2:$N$567,MATCH($H$23,BDD!$A$1:$P$1,0),FALSE)=J$24,V4_RSE!J$24,"")</f>
        <v/>
      </c>
      <c r="K42" s="150" t="str">
        <f>IF(VLOOKUP($E42,BDD!$A$2:$N$567,MATCH($H$23,BDD!$A$1:$P$1,0),FALSE)=K$24,V4_RSE!K$24,"")</f>
        <v/>
      </c>
      <c r="L42" s="151" t="str">
        <f>IF(VLOOKUP($E42,BDD!$A$2:$N$567,MATCH($H$23,BDD!$A$1:$P$1,0),FALSE)=L$24,V4_RSE!L$24,"")</f>
        <v/>
      </c>
      <c r="M42" s="63">
        <f t="shared" si="9"/>
        <v>0</v>
      </c>
      <c r="N42" s="148" t="str">
        <f>VLOOKUP(VLOOKUP(E42,BDD!$A$2:$P$428,15,FALSE),Suppl!$D$64:$E$68,2,FALSE)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267"/>
      <c r="AI42" s="30"/>
    </row>
    <row r="43" spans="1:35" ht="30" customHeight="1" x14ac:dyDescent="0.3">
      <c r="A43" s="267"/>
      <c r="B43" s="30"/>
      <c r="C43" s="30" t="str">
        <f t="shared" si="0"/>
        <v>4</v>
      </c>
      <c r="D43" s="32">
        <f t="shared" si="7"/>
        <v>3</v>
      </c>
      <c r="E43" s="32" t="str">
        <f t="shared" si="8"/>
        <v>437</v>
      </c>
      <c r="F43" s="143" t="s">
        <v>36</v>
      </c>
      <c r="G43" s="144" t="str">
        <f>VLOOKUP(E43,BDD!$A$2:$N$567,MATCH(G$24,BDD!$A$1:$P$1,0),FALSE)</f>
        <v>Un contrôle de la conception responsable (écoconception, accessibilité) et des actions d'amélioration continue est mis en œuvre.</v>
      </c>
      <c r="H43" s="149" t="str">
        <f>IF(VLOOKUP($E43,BDD!$A$2:$N$567,MATCH($H$23,BDD!$A$1:$P$1,0),FALSE)=H$24,V4_RSE!H$24,"")</f>
        <v/>
      </c>
      <c r="I43" s="150" t="str">
        <f>IF(VLOOKUP($E43,BDD!$A$2:$N$567,MATCH($H$23,BDD!$A$1:$P$1,0),FALSE)=I$24,V4_RSE!I$24,"")</f>
        <v/>
      </c>
      <c r="J43" s="150" t="str">
        <f>IF(VLOOKUP($E43,BDD!$A$2:$N$567,MATCH($H$23,BDD!$A$1:$P$1,0),FALSE)=J$24,V4_RSE!J$24,"")</f>
        <v/>
      </c>
      <c r="K43" s="150" t="str">
        <f>IF(VLOOKUP($E43,BDD!$A$2:$N$567,MATCH($H$23,BDD!$A$1:$P$1,0),FALSE)=K$24,V4_RSE!K$24,"")</f>
        <v/>
      </c>
      <c r="L43" s="151" t="str">
        <f>IF(VLOOKUP($E43,BDD!$A$2:$N$567,MATCH($H$23,BDD!$A$1:$P$1,0),FALSE)=L$24,V4_RSE!L$24,"")</f>
        <v>N5</v>
      </c>
      <c r="M43" s="63">
        <f t="shared" si="9"/>
        <v>0</v>
      </c>
      <c r="N43" s="144" t="str">
        <f>VLOOKUP(VLOOKUP(E43,BDD!$A$2:$P$428,15,FALSE),Suppl!$D$64:$E$68,2,FALSE)</f>
        <v>Non renseigné</v>
      </c>
      <c r="O43" s="636"/>
      <c r="P43" s="636"/>
      <c r="Q43" s="636"/>
      <c r="R43" s="636"/>
      <c r="S43" s="627">
        <f>IF(N43=Suppl!$E$65,0,IF(N43=Suppl!$E$66,1/2/(COUNTIFS($D:$D,D43,$N:$N,"Exigences"&amp;"*",G:G,"&lt;&gt;0")+COUNTIFS($D:$D,D43,$N:$N,"Non"&amp;"*",G:G,"&lt;&gt;0")),IF(N43=Suppl!$E$67,1/(COUNTIFS($D:$D,D43,$N:$N,"Exigences"&amp;"*",G:G,"&lt;&gt;0")+COUNTIFS($D:$D,D43,$N:$N,"Non"&amp;"*",G:G,"&lt;&gt;0")),0)))</f>
        <v>0</v>
      </c>
      <c r="T43" s="627"/>
      <c r="U43" s="627"/>
      <c r="V43" s="628"/>
      <c r="W43" s="356">
        <f>IFERROR(IF(N43=Suppl!$E$65,0,IF(N43=Suppl!$E$66,1/2/(COUNTIFS($N:$N,"Exigences"&amp;"*")+COUNTIFS($N:$N,"Non"&amp;"*")),IF(N43=Suppl!$E$67,1/(COUNTIFS($N:$N,"Exigences"&amp;"*")+COUNTIFS($N:$N,"Non"&amp;"*")),0))),0)</f>
        <v>0</v>
      </c>
      <c r="X43" s="30"/>
      <c r="Y43" s="30"/>
      <c r="Z43" s="30"/>
      <c r="AA43" s="30"/>
      <c r="AB43" s="30"/>
      <c r="AC43" s="30"/>
      <c r="AD43" s="30"/>
      <c r="AE43" s="30"/>
      <c r="AF43" s="30"/>
      <c r="AG43" s="30"/>
      <c r="AH43" s="267"/>
      <c r="AI43" s="30"/>
    </row>
    <row r="44" spans="1:35" ht="30" customHeight="1" x14ac:dyDescent="0.3">
      <c r="A44" s="267"/>
      <c r="B44" s="30"/>
      <c r="C44" s="30" t="str">
        <f t="shared" si="0"/>
        <v>4</v>
      </c>
      <c r="D44" s="32">
        <f t="shared" si="7"/>
        <v>4</v>
      </c>
      <c r="E44" s="32" t="str">
        <f t="shared" si="8"/>
        <v>444</v>
      </c>
      <c r="F44" s="191" t="s">
        <v>502</v>
      </c>
      <c r="G44" s="192" t="str">
        <f>VLOOKUP(E46,BDD!$A$2:$N$567,6,FALSE)</f>
        <v>Politique d'achats</v>
      </c>
      <c r="H44" s="190"/>
      <c r="I44" s="135"/>
      <c r="J44" s="135"/>
      <c r="K44" s="135"/>
      <c r="L44" s="136"/>
      <c r="M44" s="137"/>
      <c r="N44" s="138"/>
      <c r="O44" s="630">
        <v>0</v>
      </c>
      <c r="P44" s="630"/>
      <c r="Q44" s="630"/>
      <c r="R44" s="630"/>
      <c r="S44" s="632">
        <f>SUMIFS(S:S,$D:$D,D44,$N:$N,"Exigences"&amp;"*")</f>
        <v>0</v>
      </c>
      <c r="T44" s="632"/>
      <c r="U44" s="632"/>
      <c r="V44" s="633"/>
      <c r="W44" s="356">
        <f>IFERROR(IF(N44=Suppl!$E$65,0,IF(N44=Suppl!$E$66,1/2/(COUNTIFS($N:$N,"Exigences"&amp;"*")+COUNTIFS($N:$N,"Non"&amp;"*")),IF(N44=Suppl!$E$67,1/(COUNTIFS($N:$N,"Exigences"&amp;"*")+COUNTIFS($N:$N,"Non"&amp;"*")),0))),0)</f>
        <v>0</v>
      </c>
      <c r="X44" s="30"/>
      <c r="Y44" s="30"/>
      <c r="Z44" s="30"/>
      <c r="AA44" s="30"/>
      <c r="AB44" s="30"/>
      <c r="AC44" s="30"/>
      <c r="AD44" s="30"/>
      <c r="AE44" s="30"/>
      <c r="AF44" s="30"/>
      <c r="AG44" s="30"/>
      <c r="AH44" s="267"/>
      <c r="AI44" s="30"/>
    </row>
    <row r="45" spans="1:35" ht="30" customHeight="1" x14ac:dyDescent="0.3">
      <c r="A45" s="267"/>
      <c r="B45" s="30"/>
      <c r="C45" s="30" t="str">
        <f t="shared" si="0"/>
        <v>4</v>
      </c>
      <c r="D45" s="32">
        <f t="shared" si="7"/>
        <v>4</v>
      </c>
      <c r="E45" s="32" t="str">
        <f t="shared" si="8"/>
        <v>441</v>
      </c>
      <c r="F45" s="211" t="s">
        <v>550</v>
      </c>
      <c r="G45" s="193" t="str">
        <f>VLOOKUP(E47,BDD!$A$2:$N$567,7,FALSE)</f>
        <v>La DSI mène une politique d'achats responsable</v>
      </c>
      <c r="H45" s="139"/>
      <c r="I45" s="139"/>
      <c r="J45" s="139"/>
      <c r="K45" s="139"/>
      <c r="L45" s="140"/>
      <c r="M45" s="141"/>
      <c r="N45" s="142"/>
      <c r="O45" s="631"/>
      <c r="P45" s="631"/>
      <c r="Q45" s="631"/>
      <c r="R45" s="631"/>
      <c r="S45" s="634"/>
      <c r="T45" s="634"/>
      <c r="U45" s="634"/>
      <c r="V45" s="635"/>
      <c r="W45" s="356">
        <f>IFERROR(IF(N45=Suppl!$E$65,0,IF(N45=Suppl!$E$66,1/2/(COUNTIFS($N:$N,"Exigences"&amp;"*")+COUNTIFS($N:$N,"Non"&amp;"*")),IF(N45=Suppl!$E$67,1/(COUNTIFS($N:$N,"Exigences"&amp;"*")+COUNTIFS($N:$N,"Non"&amp;"*")),0))),0)</f>
        <v>0</v>
      </c>
      <c r="X45" s="30"/>
      <c r="Y45" s="30"/>
      <c r="Z45" s="30"/>
      <c r="AA45" s="30"/>
      <c r="AB45" s="30"/>
      <c r="AC45" s="30"/>
      <c r="AD45" s="30"/>
      <c r="AE45" s="30"/>
      <c r="AF45" s="30"/>
      <c r="AG45" s="30"/>
      <c r="AH45" s="267"/>
      <c r="AI45" s="30"/>
    </row>
    <row r="46" spans="1:35" ht="30" customHeight="1" x14ac:dyDescent="0.3">
      <c r="A46" s="267"/>
      <c r="B46" s="30"/>
      <c r="C46" s="30" t="str">
        <f t="shared" si="0"/>
        <v>4</v>
      </c>
      <c r="D46" s="32">
        <f t="shared" si="7"/>
        <v>4</v>
      </c>
      <c r="E46" s="32" t="str">
        <f t="shared" si="8"/>
        <v>441</v>
      </c>
      <c r="F46" s="143" t="s">
        <v>27</v>
      </c>
      <c r="G46" s="144" t="str">
        <f>VLOOKUP(E46,BDD!$A$2:$N$567,MATCH(G$24,BDD!$A$1:$P$1,0),FALSE)</f>
        <v>Une démarche d’achats responsables est mise en œuvre.</v>
      </c>
      <c r="H46" s="149" t="str">
        <f>IF(VLOOKUP($E46,BDD!$A$2:$N$567,MATCH($H$23,BDD!$A$1:$P$1,0),FALSE)=H$24,V4_RSE!H$24,"")</f>
        <v>N1</v>
      </c>
      <c r="I46" s="150" t="str">
        <f>IF(VLOOKUP($E46,BDD!$A$2:$N$567,MATCH($H$23,BDD!$A$1:$P$1,0),FALSE)=I$24,V4_RSE!I$24,"")</f>
        <v/>
      </c>
      <c r="J46" s="150" t="str">
        <f>IF(VLOOKUP($E46,BDD!$A$2:$N$567,MATCH($H$23,BDD!$A$1:$P$1,0),FALSE)=J$24,V4_RSE!J$24,"")</f>
        <v/>
      </c>
      <c r="K46" s="150" t="str">
        <f>IF(VLOOKUP($E46,BDD!$A$2:$N$567,MATCH($H$23,BDD!$A$1:$P$1,0),FALSE)=K$24,V4_RSE!K$24,"")</f>
        <v/>
      </c>
      <c r="L46" s="151" t="str">
        <f>IF(VLOOKUP($E46,BDD!$A$2:$N$567,MATCH($H$23,BDD!$A$1:$P$1,0),FALSE)=L$24,V4_RSE!L$24,"")</f>
        <v/>
      </c>
      <c r="M46" s="63">
        <f t="shared" ref="M46:M47" si="10">IF(N46="Exigences partiellement respectées",1,IF(N46="Exigences respectées",2,0))</f>
        <v>0</v>
      </c>
      <c r="N46" s="144" t="str">
        <f>VLOOKUP(VLOOKUP(E46,BDD!$A$2:$P$428,15,FALSE),Suppl!$D$64:$E$68,2,FALSE)</f>
        <v>Non renseigné</v>
      </c>
      <c r="O46" s="626"/>
      <c r="P46" s="626"/>
      <c r="Q46" s="626"/>
      <c r="R46" s="626"/>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267"/>
      <c r="AI46" s="30"/>
    </row>
    <row r="47" spans="1:35" ht="30" customHeight="1" x14ac:dyDescent="0.3">
      <c r="A47" s="267"/>
      <c r="B47" s="30"/>
      <c r="C47" s="30" t="str">
        <f t="shared" si="0"/>
        <v>4</v>
      </c>
      <c r="D47" s="32">
        <f t="shared" si="7"/>
        <v>4</v>
      </c>
      <c r="E47" s="32" t="str">
        <f t="shared" si="8"/>
        <v>442</v>
      </c>
      <c r="F47" s="145" t="s">
        <v>28</v>
      </c>
      <c r="G47" s="146" t="str">
        <f>VLOOKUP(E47,BDD!$A$2:$N$567,MATCH(G$24,BDD!$A$1:$P$1,0),FALSE)</f>
        <v>Les fournisseurs sont challengés sur la dimension RSE de leurs produits, services ou solutions.</v>
      </c>
      <c r="H47" s="149" t="str">
        <f>IF(VLOOKUP($E47,BDD!$A$2:$N$567,MATCH($H$23,BDD!$A$1:$P$1,0),FALSE)=H$24,V4_RSE!H$24,"")</f>
        <v/>
      </c>
      <c r="I47" s="150" t="str">
        <f>IF(VLOOKUP($E47,BDD!$A$2:$N$567,MATCH($H$23,BDD!$A$1:$P$1,0),FALSE)=I$24,V4_RSE!I$24,"")</f>
        <v/>
      </c>
      <c r="J47" s="150" t="str">
        <f>IF(VLOOKUP($E47,BDD!$A$2:$N$567,MATCH($H$23,BDD!$A$1:$P$1,0),FALSE)=J$24,V4_RSE!J$24,"")</f>
        <v>N3</v>
      </c>
      <c r="K47" s="150" t="str">
        <f>IF(VLOOKUP($E47,BDD!$A$2:$N$567,MATCH($H$23,BDD!$A$1:$P$1,0),FALSE)=K$24,V4_RSE!K$24,"")</f>
        <v/>
      </c>
      <c r="L47" s="151" t="str">
        <f>IF(VLOOKUP($E47,BDD!$A$2:$N$567,MATCH($H$23,BDD!$A$1:$P$1,0),FALSE)=L$24,V4_RSE!L$24,"")</f>
        <v/>
      </c>
      <c r="M47" s="63">
        <f t="shared" si="10"/>
        <v>0</v>
      </c>
      <c r="N47" s="146"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267"/>
      <c r="AI47" s="30"/>
    </row>
    <row r="48" spans="1:35" ht="30" customHeight="1" x14ac:dyDescent="0.3">
      <c r="A48" s="267"/>
      <c r="B48" s="30"/>
      <c r="C48" s="30" t="str">
        <f t="shared" si="0"/>
        <v>4</v>
      </c>
      <c r="D48" s="32">
        <f t="shared" ref="D48:D52" si="11">IF(LEFT(F48,5)="Bonne",D46+1,D47)</f>
        <v>5</v>
      </c>
      <c r="E48" s="32" t="str">
        <f t="shared" ref="E48:E52" si="12">C48&amp;D48&amp;RIGHT(F48,1)</f>
        <v>455</v>
      </c>
      <c r="F48" s="191" t="s">
        <v>503</v>
      </c>
      <c r="G48" s="192" t="str">
        <f>VLOOKUP(E50,BDD!$A$2:$N$567,6,FALSE)</f>
        <v>Contribution à la RSE globale</v>
      </c>
      <c r="H48" s="190"/>
      <c r="I48" s="135"/>
      <c r="J48" s="135"/>
      <c r="K48" s="135"/>
      <c r="L48" s="136"/>
      <c r="M48" s="137"/>
      <c r="N48" s="138"/>
      <c r="O48" s="630">
        <v>0</v>
      </c>
      <c r="P48" s="630"/>
      <c r="Q48" s="630"/>
      <c r="R48" s="630"/>
      <c r="S48" s="632">
        <f>SUMIFS(S:S,$D:$D,D48,$N:$N,"Exigences"&amp;"*")</f>
        <v>0</v>
      </c>
      <c r="T48" s="632"/>
      <c r="U48" s="632"/>
      <c r="V48" s="633"/>
      <c r="W48" s="356">
        <f>IFERROR(IF(N48=Suppl!$E$65,0,IF(N48=Suppl!$E$66,1/2/(COUNTIFS($N:$N,"Exigences"&amp;"*")+COUNTIFS($N:$N,"Non"&amp;"*")),IF(N48=Suppl!$E$67,1/(COUNTIFS($N:$N,"Exigences"&amp;"*")+COUNTIFS($N:$N,"Non"&amp;"*")),0))),0)</f>
        <v>0</v>
      </c>
      <c r="X48" s="30"/>
      <c r="Y48" s="30"/>
      <c r="Z48" s="30"/>
      <c r="AA48" s="30"/>
      <c r="AB48" s="30"/>
      <c r="AC48" s="30"/>
      <c r="AD48" s="30"/>
      <c r="AE48" s="30"/>
      <c r="AF48" s="30"/>
      <c r="AG48" s="30"/>
      <c r="AH48" s="267"/>
      <c r="AI48" s="30"/>
    </row>
    <row r="49" spans="1:35" ht="30" customHeight="1" x14ac:dyDescent="0.3">
      <c r="A49" s="267"/>
      <c r="B49" s="30"/>
      <c r="C49" s="30" t="str">
        <f t="shared" si="0"/>
        <v>4</v>
      </c>
      <c r="D49" s="32">
        <f t="shared" si="11"/>
        <v>5</v>
      </c>
      <c r="E49" s="32" t="str">
        <f t="shared" si="12"/>
        <v>451</v>
      </c>
      <c r="F49" s="211" t="s">
        <v>550</v>
      </c>
      <c r="G49" s="193" t="str">
        <f>VLOOKUP(E51,BDD!$A$2:$N$567,7,FALSE)</f>
        <v>La filière numérique mesure et pilote sa contribution à la RSE de l'organisation.</v>
      </c>
      <c r="H49" s="139"/>
      <c r="I49" s="139"/>
      <c r="J49" s="139"/>
      <c r="K49" s="139"/>
      <c r="L49" s="140"/>
      <c r="M49" s="141"/>
      <c r="N49" s="142"/>
      <c r="O49" s="631"/>
      <c r="P49" s="631"/>
      <c r="Q49" s="631"/>
      <c r="R49" s="631"/>
      <c r="S49" s="634"/>
      <c r="T49" s="634"/>
      <c r="U49" s="634"/>
      <c r="V49" s="635"/>
      <c r="W49" s="356">
        <f>IFERROR(IF(N49=Suppl!$E$65,0,IF(N49=Suppl!$E$66,1/2/(COUNTIFS($N:$N,"Exigences"&amp;"*")+COUNTIFS($N:$N,"Non"&amp;"*")),IF(N49=Suppl!$E$67,1/(COUNTIFS($N:$N,"Exigences"&amp;"*")+COUNTIFS($N:$N,"Non"&amp;"*")),0))),0)</f>
        <v>0</v>
      </c>
      <c r="X49" s="30"/>
      <c r="Y49" s="30"/>
      <c r="Z49" s="30"/>
      <c r="AA49" s="30"/>
      <c r="AB49" s="30"/>
      <c r="AC49" s="30"/>
      <c r="AD49" s="30"/>
      <c r="AE49" s="30"/>
      <c r="AF49" s="30"/>
      <c r="AG49" s="30"/>
      <c r="AH49" s="267"/>
      <c r="AI49" s="30"/>
    </row>
    <row r="50" spans="1:35" ht="30" customHeight="1" x14ac:dyDescent="0.3">
      <c r="A50" s="267"/>
      <c r="B50" s="30"/>
      <c r="C50" s="30" t="str">
        <f t="shared" si="0"/>
        <v>4</v>
      </c>
      <c r="D50" s="32">
        <f t="shared" si="11"/>
        <v>5</v>
      </c>
      <c r="E50" s="32" t="str">
        <f t="shared" si="12"/>
        <v>451</v>
      </c>
      <c r="F50" s="143" t="s">
        <v>27</v>
      </c>
      <c r="G50" s="144" t="str">
        <f>VLOOKUP(E50,BDD!$A$2:$N$567,MATCH(G$24,BDD!$A$1:$P$1,0),FALSE)</f>
        <v>La contribution de l'IT aux enjeux RSE de l'entreprise est mesurée, pilotée et communiquée.</v>
      </c>
      <c r="H50" s="149" t="str">
        <f>IF(VLOOKUP($E50,BDD!$A$2:$N$567,MATCH($H$23,BDD!$A$1:$P$1,0),FALSE)=H$24,V4_RSE!H$24,"")</f>
        <v/>
      </c>
      <c r="I50" s="150" t="str">
        <f>IF(VLOOKUP($E50,BDD!$A$2:$N$567,MATCH($H$23,BDD!$A$1:$P$1,0),FALSE)=I$24,V4_RSE!I$24,"")</f>
        <v/>
      </c>
      <c r="J50" s="150" t="str">
        <f>IF(VLOOKUP($E50,BDD!$A$2:$N$567,MATCH($H$23,BDD!$A$1:$P$1,0),FALSE)=J$24,V4_RSE!J$24,"")</f>
        <v>N3</v>
      </c>
      <c r="K50" s="150" t="str">
        <f>IF(VLOOKUP($E50,BDD!$A$2:$N$567,MATCH($H$23,BDD!$A$1:$P$1,0),FALSE)=K$24,V4_RSE!K$24,"")</f>
        <v/>
      </c>
      <c r="L50" s="151" t="str">
        <f>IF(VLOOKUP($E50,BDD!$A$2:$N$567,MATCH($H$23,BDD!$A$1:$P$1,0),FALSE)=L$24,V4_RSE!L$24,"")</f>
        <v/>
      </c>
      <c r="M50" s="63">
        <f t="shared" ref="M50:M52" si="13">IF(N50="Exigences partiellement respectées",1,IF(N50="Exigences respectées",2,0))</f>
        <v>0</v>
      </c>
      <c r="N50" s="144" t="str">
        <f>VLOOKUP(VLOOKUP(E50,BDD!$A$2:$P$428,15,FALSE),Suppl!$D$64:$E$68,2,FALSE)</f>
        <v>Non renseigné</v>
      </c>
      <c r="O50" s="626"/>
      <c r="P50" s="626"/>
      <c r="Q50" s="626"/>
      <c r="R50" s="626"/>
      <c r="S50" s="627">
        <f>IF(N50=Suppl!$E$65,0,IF(N50=Suppl!$E$66,1/2/(COUNTIFS($D:$D,D50,$N:$N,"Exigences"&amp;"*",G:G,"&lt;&gt;0")+COUNTIFS($D:$D,D50,$N:$N,"Non"&amp;"*",G:G,"&lt;&gt;0")),IF(N50=Suppl!$E$67,1/(COUNTIFS($D:$D,D50,$N:$N,"Exigences"&amp;"*",G:G,"&lt;&gt;0")+COUNTIFS($D:$D,D50,$N:$N,"Non"&amp;"*",G:G,"&lt;&gt;0")),0)))</f>
        <v>0</v>
      </c>
      <c r="T50" s="627"/>
      <c r="U50" s="627"/>
      <c r="V50" s="628"/>
      <c r="W50" s="356">
        <f>IFERROR(IF(N50=Suppl!$E$65,0,IF(N50=Suppl!$E$66,1/2/(COUNTIFS($N:$N,"Exigences"&amp;"*")+COUNTIFS($N:$N,"Non"&amp;"*")),IF(N50=Suppl!$E$67,1/(COUNTIFS($N:$N,"Exigences"&amp;"*")+COUNTIFS($N:$N,"Non"&amp;"*")),0))),0)</f>
        <v>0</v>
      </c>
      <c r="X50" s="30"/>
      <c r="Y50" s="30"/>
      <c r="Z50" s="30"/>
      <c r="AA50" s="30"/>
      <c r="AB50" s="30"/>
      <c r="AC50" s="30"/>
      <c r="AD50" s="30"/>
      <c r="AE50" s="30"/>
      <c r="AF50" s="30"/>
      <c r="AG50" s="30"/>
      <c r="AH50" s="267"/>
      <c r="AI50" s="30"/>
    </row>
    <row r="51" spans="1:35" ht="30" customHeight="1" x14ac:dyDescent="0.3">
      <c r="A51" s="267"/>
      <c r="B51" s="30"/>
      <c r="C51" s="30" t="str">
        <f t="shared" si="0"/>
        <v>4</v>
      </c>
      <c r="D51" s="32">
        <f t="shared" si="11"/>
        <v>5</v>
      </c>
      <c r="E51" s="32" t="str">
        <f t="shared" si="12"/>
        <v>452</v>
      </c>
      <c r="F51" s="145" t="s">
        <v>28</v>
      </c>
      <c r="G51" s="146" t="str">
        <f>VLOOKUP(E51,BDD!$A$2:$N$567,MATCH(G$24,BDD!$A$1:$P$1,0),FALSE)</f>
        <v>La DSI utilise une méthode partagée et reconnue pour mesurer les gains de l'IT for Green.</v>
      </c>
      <c r="H51" s="149" t="str">
        <f>IF(VLOOKUP($E51,BDD!$A$2:$N$567,MATCH($H$23,BDD!$A$1:$P$1,0),FALSE)=H$24,V4_RSE!H$24,"")</f>
        <v/>
      </c>
      <c r="I51" s="150" t="str">
        <f>IF(VLOOKUP($E51,BDD!$A$2:$N$567,MATCH($H$23,BDD!$A$1:$P$1,0),FALSE)=I$24,V4_RSE!I$24,"")</f>
        <v>N2</v>
      </c>
      <c r="J51" s="150" t="str">
        <f>IF(VLOOKUP($E51,BDD!$A$2:$N$567,MATCH($H$23,BDD!$A$1:$P$1,0),FALSE)=J$24,V4_RSE!J$24,"")</f>
        <v/>
      </c>
      <c r="K51" s="150" t="str">
        <f>IF(VLOOKUP($E51,BDD!$A$2:$N$567,MATCH($H$23,BDD!$A$1:$P$1,0),FALSE)=K$24,V4_RSE!K$24,"")</f>
        <v/>
      </c>
      <c r="L51" s="151" t="str">
        <f>IF(VLOOKUP($E51,BDD!$A$2:$N$567,MATCH($H$23,BDD!$A$1:$P$1,0),FALSE)=L$24,V4_RSE!L$24,"")</f>
        <v/>
      </c>
      <c r="M51" s="63">
        <f t="shared" si="13"/>
        <v>0</v>
      </c>
      <c r="N51" s="146" t="str">
        <f>VLOOKUP(VLOOKUP(E51,BDD!$A$2:$P$428,15,FALSE),Suppl!$D$64:$E$68,2,FALSE)</f>
        <v>Non renseigné</v>
      </c>
      <c r="O51" s="629"/>
      <c r="P51" s="629"/>
      <c r="Q51" s="629"/>
      <c r="R51" s="629"/>
      <c r="S51" s="627">
        <f>IF(N51=Suppl!$E$65,0,IF(N51=Suppl!$E$66,1/2/(COUNTIFS($D:$D,D51,$N:$N,"Exigences"&amp;"*",G:G,"&lt;&gt;0")+COUNTIFS($D:$D,D51,$N:$N,"Non"&amp;"*",G:G,"&lt;&gt;0")),IF(N51=Suppl!$E$67,1/(COUNTIFS($D:$D,D51,$N:$N,"Exigences"&amp;"*",G:G,"&lt;&gt;0")+COUNTIFS($D:$D,D51,$N:$N,"Non"&amp;"*",G:G,"&lt;&gt;0")),0)))</f>
        <v>0</v>
      </c>
      <c r="T51" s="627"/>
      <c r="U51" s="627"/>
      <c r="V51" s="628"/>
      <c r="W51" s="356">
        <f>IFERROR(IF(N51=Suppl!$E$65,0,IF(N51=Suppl!$E$66,1/2/(COUNTIFS($N:$N,"Exigences"&amp;"*")+COUNTIFS($N:$N,"Non"&amp;"*")),IF(N51=Suppl!$E$67,1/(COUNTIFS($N:$N,"Exigences"&amp;"*")+COUNTIFS($N:$N,"Non"&amp;"*")),0))),0)</f>
        <v>0</v>
      </c>
      <c r="X51" s="30"/>
      <c r="Y51" s="30"/>
      <c r="Z51" s="30"/>
      <c r="AA51" s="30"/>
      <c r="AB51" s="30"/>
      <c r="AC51" s="30"/>
      <c r="AD51" s="30"/>
      <c r="AE51" s="30"/>
      <c r="AF51" s="30"/>
      <c r="AG51" s="30"/>
      <c r="AH51" s="267"/>
      <c r="AI51" s="30"/>
    </row>
    <row r="52" spans="1:35" ht="30" customHeight="1" x14ac:dyDescent="0.3">
      <c r="A52" s="267"/>
      <c r="B52" s="30"/>
      <c r="C52" s="30" t="str">
        <f t="shared" si="0"/>
        <v>4</v>
      </c>
      <c r="D52" s="32">
        <f t="shared" si="11"/>
        <v>5</v>
      </c>
      <c r="E52" s="32" t="str">
        <f t="shared" si="12"/>
        <v>453</v>
      </c>
      <c r="F52" s="143" t="s">
        <v>30</v>
      </c>
      <c r="G52" s="144" t="str">
        <f>VLOOKUP(E52,BDD!$A$2:$N$567,MATCH(G$24,BDD!$A$1:$P$1,0),FALSE)</f>
        <v>Une démarche de labellisation est mise en œuvre par l'organisation.</v>
      </c>
      <c r="H52" s="149" t="str">
        <f>IF(VLOOKUP($E52,BDD!$A$2:$N$567,MATCH($H$23,BDD!$A$1:$P$1,0),FALSE)=H$24,V4_RSE!H$24,"")</f>
        <v/>
      </c>
      <c r="I52" s="150" t="str">
        <f>IF(VLOOKUP($E52,BDD!$A$2:$N$567,MATCH($H$23,BDD!$A$1:$P$1,0),FALSE)=I$24,V4_RSE!I$24,"")</f>
        <v/>
      </c>
      <c r="J52" s="150" t="str">
        <f>IF(VLOOKUP($E52,BDD!$A$2:$N$567,MATCH($H$23,BDD!$A$1:$P$1,0),FALSE)=J$24,V4_RSE!J$24,"")</f>
        <v/>
      </c>
      <c r="K52" s="150" t="str">
        <f>IF(VLOOKUP($E52,BDD!$A$2:$N$567,MATCH($H$23,BDD!$A$1:$P$1,0),FALSE)=K$24,V4_RSE!K$24,"")</f>
        <v>N4</v>
      </c>
      <c r="L52" s="151" t="str">
        <f>IF(VLOOKUP($E52,BDD!$A$2:$N$567,MATCH($H$23,BDD!$A$1:$P$1,0),FALSE)=L$24,V4_RSE!L$24,"")</f>
        <v/>
      </c>
      <c r="M52" s="63">
        <f t="shared" si="13"/>
        <v>0</v>
      </c>
      <c r="N52" s="144" t="str">
        <f>VLOOKUP(VLOOKUP(E52,BDD!$A$2:$P$428,15,FALSE),Suppl!$D$64:$E$68,2,FALSE)</f>
        <v>Non renseigné</v>
      </c>
      <c r="O52" s="647"/>
      <c r="P52" s="636"/>
      <c r="Q52" s="636"/>
      <c r="R52" s="636"/>
      <c r="S52" s="624">
        <f>IF(N52=Suppl!$E$65,0,IF(N52=Suppl!$E$66,1/2/(COUNTIFS($D:$D,D52,$N:$N,"Exigences"&amp;"*",G:G,"&lt;&gt;0")+COUNTIFS($D:$D,D52,$N:$N,"Non"&amp;"*",G:G,"&lt;&gt;0")),IF(N52=Suppl!$E$67,1/(COUNTIFS($D:$D,D52,$N:$N,"Exigences"&amp;"*",G:G,"&lt;&gt;0")+COUNTIFS($D:$D,D52,$N:$N,"Non"&amp;"*",G:G,"&lt;&gt;0")),0)))</f>
        <v>0</v>
      </c>
      <c r="T52" s="624"/>
      <c r="U52" s="624"/>
      <c r="V52" s="625"/>
      <c r="W52" s="356">
        <f>IFERROR(IF(N52=Suppl!$E$65,0,IF(N52=Suppl!$E$66,1/2/(COUNTIFS($N:$N,"Exigences"&amp;"*")+COUNTIFS($N:$N,"Non"&amp;"*")),IF(N52=Suppl!$E$67,1/(COUNTIFS($N:$N,"Exigences"&amp;"*")+COUNTIFS($N:$N,"Non"&amp;"*")),0))),0)</f>
        <v>0</v>
      </c>
      <c r="X52" s="30"/>
      <c r="Y52" s="30"/>
      <c r="Z52" s="30"/>
      <c r="AA52" s="30"/>
      <c r="AB52" s="30"/>
      <c r="AC52" s="30"/>
      <c r="AD52" s="30"/>
      <c r="AE52" s="30"/>
      <c r="AF52" s="30"/>
      <c r="AG52" s="30"/>
      <c r="AH52" s="267"/>
      <c r="AI52" s="30"/>
    </row>
    <row r="53" spans="1:35" ht="30" customHeight="1" x14ac:dyDescent="0.3">
      <c r="A53" s="267"/>
      <c r="B53" s="30"/>
      <c r="C53" s="30"/>
      <c r="D53" s="32"/>
      <c r="E53" s="32"/>
      <c r="F53" s="30"/>
      <c r="G53" s="32"/>
      <c r="H53" s="32"/>
      <c r="I53" s="32"/>
      <c r="J53" s="32"/>
      <c r="K53" s="32"/>
      <c r="L53" s="32"/>
      <c r="M53" s="32"/>
      <c r="N53" s="30"/>
      <c r="O53" s="30"/>
      <c r="P53" s="30"/>
      <c r="Q53" s="30"/>
      <c r="R53" s="30"/>
      <c r="S53" s="30"/>
      <c r="T53" s="30"/>
      <c r="U53" s="30"/>
      <c r="V53" s="30"/>
      <c r="W53" s="33"/>
      <c r="X53" s="30"/>
      <c r="Y53" s="30"/>
      <c r="Z53" s="30"/>
      <c r="AA53" s="30"/>
      <c r="AB53" s="30"/>
      <c r="AC53" s="30"/>
      <c r="AD53" s="30"/>
      <c r="AE53" s="30"/>
      <c r="AF53" s="30"/>
      <c r="AG53" s="30"/>
      <c r="AH53" s="267"/>
      <c r="AI53" s="30"/>
    </row>
    <row r="54" spans="1:35" ht="30" customHeight="1" x14ac:dyDescent="0.3">
      <c r="A54" s="267" t="s">
        <v>164</v>
      </c>
      <c r="B54" s="267"/>
      <c r="C54" s="267"/>
      <c r="D54" s="267"/>
      <c r="E54" s="267"/>
      <c r="F54" s="267"/>
      <c r="G54" s="292"/>
      <c r="H54" s="292"/>
      <c r="I54" s="292"/>
      <c r="J54" s="292"/>
      <c r="K54" s="292"/>
      <c r="L54" s="292"/>
      <c r="M54" s="292"/>
      <c r="N54" s="267"/>
      <c r="O54" s="267"/>
      <c r="P54" s="267"/>
      <c r="Q54" s="267"/>
      <c r="R54" s="267"/>
      <c r="S54" s="267"/>
      <c r="T54" s="267"/>
      <c r="U54" s="267"/>
      <c r="V54" s="267"/>
      <c r="W54" s="306"/>
      <c r="X54" s="267"/>
      <c r="Y54" s="267"/>
      <c r="Z54" s="267"/>
      <c r="AA54" s="267"/>
      <c r="AB54" s="267"/>
      <c r="AC54" s="267"/>
      <c r="AD54" s="267"/>
      <c r="AE54" s="267"/>
      <c r="AF54" s="267"/>
      <c r="AG54" s="267"/>
      <c r="AH54" s="267" t="s">
        <v>164</v>
      </c>
      <c r="AI54" s="30"/>
    </row>
  </sheetData>
  <sheetProtection algorithmName="SHA-512" hashValue="dewTZGipFnzUvJCNSo2H+b7b7gwOiGDlWVCB5eKTeswGBKSmk72WxfrAEIWPIDvVPyjEF3vcWGvgA/DHV4t+6A==" saltValue="GMcDmH6tLCRs9L/v/wGkqQ==" spinCount="100000" sheet="1" scenarios="1"/>
  <protectedRanges>
    <protectedRange algorithmName="SHA-512" hashValue="ovKORbp8VisJou+piSgFzTrSreLgS7IlmVwKbGHTROFHm7MY/Vp4PR9gLc4QgnZhS9DlyLsOu0XuFGM/3H2Vkw==" saltValue="aAIEI6H5DdJy0/e8k9R5gA==" spinCount="100000" sqref="O15:V15" name="Plage1"/>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53">
    <mergeCell ref="O25:R26"/>
    <mergeCell ref="S25:V26"/>
    <mergeCell ref="AD7:AD10"/>
    <mergeCell ref="O21:R21"/>
    <mergeCell ref="O22:R22"/>
    <mergeCell ref="O24:R24"/>
    <mergeCell ref="S24:V24"/>
    <mergeCell ref="O20:R20"/>
    <mergeCell ref="O27:R27"/>
    <mergeCell ref="S27:V27"/>
    <mergeCell ref="O28:R28"/>
    <mergeCell ref="S28:V28"/>
    <mergeCell ref="O29:R29"/>
    <mergeCell ref="S29:V29"/>
    <mergeCell ref="O30:R31"/>
    <mergeCell ref="S30:V31"/>
    <mergeCell ref="O32:R32"/>
    <mergeCell ref="S32:V32"/>
    <mergeCell ref="O33:R33"/>
    <mergeCell ref="S33:V33"/>
    <mergeCell ref="O34:R34"/>
    <mergeCell ref="S34:V34"/>
    <mergeCell ref="O35:R36"/>
    <mergeCell ref="S35:V36"/>
    <mergeCell ref="O37:R37"/>
    <mergeCell ref="S37:V37"/>
    <mergeCell ref="O38:R38"/>
    <mergeCell ref="S38:V38"/>
    <mergeCell ref="O39:R39"/>
    <mergeCell ref="S39:V39"/>
    <mergeCell ref="O40:R40"/>
    <mergeCell ref="S40:V40"/>
    <mergeCell ref="S41:V41"/>
    <mergeCell ref="O42:R42"/>
    <mergeCell ref="S42:V42"/>
    <mergeCell ref="O43:R43"/>
    <mergeCell ref="S43:V43"/>
    <mergeCell ref="G31:N31"/>
    <mergeCell ref="O52:R52"/>
    <mergeCell ref="S52:V52"/>
    <mergeCell ref="O48:R49"/>
    <mergeCell ref="S48:V49"/>
    <mergeCell ref="O50:R50"/>
    <mergeCell ref="S50:V50"/>
    <mergeCell ref="O51:R51"/>
    <mergeCell ref="S51:V51"/>
    <mergeCell ref="O44:R45"/>
    <mergeCell ref="S44:V45"/>
    <mergeCell ref="O46:R46"/>
    <mergeCell ref="S46:V46"/>
    <mergeCell ref="O47:R47"/>
    <mergeCell ref="S47:V47"/>
    <mergeCell ref="O41:R41"/>
  </mergeCells>
  <conditionalFormatting sqref="G5:G11 G13:G16 G19:G22">
    <cfRule type="expression" dxfId="120" priority="6">
      <formula>$G5&lt;&gt;""</formula>
    </cfRule>
  </conditionalFormatting>
  <conditionalFormatting sqref="O8:U12">
    <cfRule type="cellIs" dxfId="119" priority="3" operator="equal">
      <formula>3</formula>
    </cfRule>
    <cfRule type="cellIs" dxfId="118" priority="4" operator="equal">
      <formula>2</formula>
    </cfRule>
    <cfRule type="cellIs" dxfId="117" priority="5" operator="equal">
      <formula>1</formula>
    </cfRule>
  </conditionalFormatting>
  <conditionalFormatting sqref="H27:L30 H32:L52">
    <cfRule type="expression" dxfId="116" priority="10">
      <formula>AND($N27="Non évalué",H27&lt;&gt;"")</formula>
    </cfRule>
    <cfRule type="expression" dxfId="115" priority="11">
      <formula>AND($N27="Exigences non respectées",H27&lt;&gt;"")</formula>
    </cfRule>
    <cfRule type="expression" dxfId="114" priority="12">
      <formula>AND($N27="Exigences partiellement respectées",H27&lt;&gt;"")</formula>
    </cfRule>
    <cfRule type="expression" dxfId="113" priority="13">
      <formula>AND($N27="Exigences respectées",H27&lt;&gt;"")</formula>
    </cfRule>
  </conditionalFormatting>
  <conditionalFormatting sqref="O20:R20">
    <cfRule type="cellIs" dxfId="112"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B970625-A8A0-4A87-B8B4-603487B068B2}">
          <x14:formula1>
            <xm:f>Suppl!$E$65:$E$69</xm:f>
          </x14:formula1>
          <xm:sqref>W15 W8:W12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E589-2BC2-4A58-97EC-7056A1B155CC}">
  <sheetPr codeName="Feuil51">
    <tabColor rgb="FF2858AE"/>
  </sheetPr>
  <dimension ref="A1:P118"/>
  <sheetViews>
    <sheetView showGridLines="0" showRowColHeaders="0" zoomScale="66" zoomScaleNormal="111" workbookViewId="0">
      <selection activeCell="J79" sqref="J79"/>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98"/>
      <c r="B1" s="299" t="s">
        <v>562</v>
      </c>
      <c r="C1" s="300"/>
      <c r="D1" s="300"/>
      <c r="E1" s="300"/>
      <c r="F1" s="300"/>
      <c r="G1" s="298"/>
      <c r="H1" s="301"/>
      <c r="I1" s="301"/>
      <c r="J1" s="302" t="str">
        <f>VLOOKUP($E$12,BDD!$A$2:$N$567,3,FALSE)</f>
        <v>Données &amp; IA</v>
      </c>
      <c r="K1" s="301"/>
      <c r="L1" s="298"/>
      <c r="M1" s="298"/>
      <c r="N1" s="298"/>
      <c r="O1" s="298"/>
      <c r="P1" s="298"/>
    </row>
    <row r="2" spans="1:16" ht="45" customHeight="1" x14ac:dyDescent="0.3">
      <c r="A2" s="298"/>
      <c r="B2" s="298"/>
      <c r="C2" s="298"/>
      <c r="D2" s="298"/>
      <c r="E2" s="298"/>
      <c r="F2" s="298"/>
      <c r="G2" s="298"/>
      <c r="H2" s="298"/>
      <c r="I2" s="298"/>
      <c r="J2" s="303" t="str">
        <f>VLOOKUP($E$12,BDD!$A$2:$N$567,4,FALSE)</f>
        <v>Connaître, gérer, valoriser, protéger les données de l'organisation, et tirer profit de l'IA et des data sciences.</v>
      </c>
      <c r="K2" s="298"/>
      <c r="L2" s="298"/>
      <c r="M2" s="298"/>
      <c r="N2" s="298"/>
      <c r="O2" s="298"/>
      <c r="P2" s="298"/>
    </row>
    <row r="3" spans="1:16" ht="18" x14ac:dyDescent="0.35">
      <c r="A3" s="298"/>
      <c r="B3" s="68"/>
      <c r="C3" s="68"/>
      <c r="D3" s="68"/>
      <c r="E3" s="68"/>
      <c r="F3" s="68"/>
      <c r="G3" s="69" t="str">
        <f>IF(Suppl!B64=2,"Le vecteur n'est pas utilisé","")</f>
        <v/>
      </c>
      <c r="H3" s="69"/>
      <c r="I3" s="69"/>
      <c r="J3" s="69"/>
      <c r="K3" s="69"/>
      <c r="L3" s="70"/>
      <c r="M3" s="68"/>
      <c r="N3" s="68"/>
      <c r="O3" s="68"/>
      <c r="P3" s="298"/>
    </row>
    <row r="4" spans="1:16" x14ac:dyDescent="0.3">
      <c r="A4" s="298"/>
      <c r="B4" s="68"/>
      <c r="C4" s="68"/>
      <c r="D4" s="68"/>
      <c r="E4" s="68"/>
      <c r="F4" s="68"/>
      <c r="G4" s="68"/>
      <c r="H4" s="68"/>
      <c r="I4" s="68"/>
      <c r="J4" s="68"/>
      <c r="K4" s="68"/>
      <c r="L4" s="68"/>
      <c r="M4" s="68"/>
      <c r="N4" s="68"/>
      <c r="O4" s="68"/>
      <c r="P4" s="298"/>
    </row>
    <row r="5" spans="1:16" ht="25.8" x14ac:dyDescent="0.5">
      <c r="A5" s="304"/>
      <c r="B5" s="74"/>
      <c r="C5" s="68" t="str">
        <f>IF(LEFT(RIGHT($B$1,2),1)=" ",RIGHT($B$1,1),RIGHT($B$1,2))</f>
        <v>5</v>
      </c>
      <c r="D5" s="68">
        <f>IF(LEFT(F5,14)="Bonne pratique",D4+1,D4)</f>
        <v>1</v>
      </c>
      <c r="E5" s="71"/>
      <c r="F5" s="208" t="s">
        <v>499</v>
      </c>
      <c r="G5" s="75"/>
      <c r="H5" s="205"/>
      <c r="I5" s="73"/>
      <c r="J5" s="73" t="str">
        <f>VLOOKUP(E12,BDD!$A$2:$N$567,6,FALSE)</f>
        <v>Stratégie et gouvernance</v>
      </c>
      <c r="K5" s="72"/>
      <c r="L5" s="75"/>
      <c r="M5" s="75"/>
      <c r="N5" s="75"/>
      <c r="O5" s="74"/>
      <c r="P5" s="304"/>
    </row>
    <row r="6" spans="1:16" x14ac:dyDescent="0.3">
      <c r="A6" s="298"/>
      <c r="B6" s="68"/>
      <c r="C6" s="68" t="str">
        <f t="shared" ref="C6:C69" si="0">IF(LEFT(RIGHT($B$1,2),1)=" ",RIGHT($B$1,1),RIGHT($B$1,2))</f>
        <v>5</v>
      </c>
      <c r="D6" s="68">
        <f>IF(LEFT(F6,14)="Bonne pratique",D5+1,D5)</f>
        <v>1</v>
      </c>
      <c r="E6" s="68"/>
      <c r="F6" s="68"/>
      <c r="G6" s="68"/>
      <c r="H6" s="68"/>
      <c r="I6" s="68"/>
      <c r="J6" s="68"/>
      <c r="K6" s="68"/>
      <c r="L6" s="68"/>
      <c r="M6" s="68"/>
      <c r="N6" s="68"/>
      <c r="O6" s="68"/>
      <c r="P6" s="298"/>
    </row>
    <row r="7" spans="1:16" ht="23.4" customHeight="1" x14ac:dyDescent="0.35">
      <c r="A7" s="305"/>
      <c r="B7" s="76"/>
      <c r="C7" s="68" t="str">
        <f t="shared" si="0"/>
        <v>5</v>
      </c>
      <c r="D7" s="68">
        <f t="shared" ref="D7:D67" si="1">IF(LEFT(F7,14)="Bonne pratique",D6+1,D6)</f>
        <v>1</v>
      </c>
      <c r="E7" s="76"/>
      <c r="F7" s="76"/>
      <c r="G7" s="76"/>
      <c r="H7" s="76"/>
      <c r="I7" s="77"/>
      <c r="J7" s="207" t="str">
        <f>IFERROR(_xlfn.TEXTBEFORE(VLOOKUP(E12,BDD!$A$2:$N$567,7,FALSE)," ",26),VLOOKUP(E12,BDD!$A$2:$N$567,7,FALSE))</f>
        <v>L'organisation dispose d'une stratégie claire pour la gestion des données et d'un cadre de gouvernance associé visant à traiter les données comme un actif majeur. Cette</v>
      </c>
      <c r="K7" s="77"/>
      <c r="L7" s="76"/>
      <c r="M7" s="76"/>
      <c r="N7" s="76"/>
      <c r="O7" s="76"/>
      <c r="P7" s="305"/>
    </row>
    <row r="8" spans="1:16" ht="18" x14ac:dyDescent="0.35">
      <c r="A8" s="298"/>
      <c r="B8" s="68"/>
      <c r="C8" s="68" t="str">
        <f t="shared" si="0"/>
        <v>5</v>
      </c>
      <c r="D8" s="68">
        <f t="shared" si="1"/>
        <v>1</v>
      </c>
      <c r="E8" s="68"/>
      <c r="F8" s="68"/>
      <c r="G8" s="68"/>
      <c r="H8" s="68"/>
      <c r="I8" s="68"/>
      <c r="J8" s="207" t="str">
        <f>IFERROR(_xlfn.TEXTAFTER(VLOOKUP(E12,BDD!$A$2:$N$567,7,FALSE)," ",26),"")</f>
        <v>stratégie inclut l'usage de l'IA.</v>
      </c>
      <c r="K8" s="68"/>
      <c r="L8" s="68"/>
      <c r="M8" s="68"/>
      <c r="N8" s="68"/>
      <c r="O8" s="68"/>
      <c r="P8" s="298"/>
    </row>
    <row r="9" spans="1:16" x14ac:dyDescent="0.3">
      <c r="A9" s="298"/>
      <c r="B9" s="68"/>
      <c r="C9" s="68" t="str">
        <f t="shared" si="0"/>
        <v>5</v>
      </c>
      <c r="D9" s="68">
        <f t="shared" si="1"/>
        <v>1</v>
      </c>
      <c r="E9" s="68"/>
      <c r="F9" s="68"/>
      <c r="G9" s="78"/>
      <c r="H9" s="78"/>
      <c r="I9" s="78"/>
      <c r="J9" s="78"/>
      <c r="K9" s="78"/>
      <c r="L9" s="78"/>
      <c r="M9" s="618" t="s">
        <v>92</v>
      </c>
      <c r="N9" s="618"/>
      <c r="O9" s="68"/>
      <c r="P9" s="298"/>
    </row>
    <row r="10" spans="1:16" ht="33" x14ac:dyDescent="0.3">
      <c r="A10" s="298"/>
      <c r="B10" s="68"/>
      <c r="C10" s="68" t="str">
        <f t="shared" si="0"/>
        <v>5</v>
      </c>
      <c r="D10" s="68">
        <f t="shared" si="1"/>
        <v>1</v>
      </c>
      <c r="E10" s="68"/>
      <c r="F10" s="79"/>
      <c r="G10" s="80" t="s">
        <v>561</v>
      </c>
      <c r="H10" s="80" t="s">
        <v>82</v>
      </c>
      <c r="I10" s="126" t="s">
        <v>21</v>
      </c>
      <c r="J10" s="80" t="s">
        <v>84</v>
      </c>
      <c r="K10" s="80" t="s">
        <v>549</v>
      </c>
      <c r="L10" s="78"/>
      <c r="M10" s="81" t="s">
        <v>86</v>
      </c>
      <c r="N10" s="82" t="s">
        <v>87</v>
      </c>
      <c r="O10" s="68"/>
      <c r="P10" s="298"/>
    </row>
    <row r="11" spans="1:16" x14ac:dyDescent="0.3">
      <c r="A11" s="298"/>
      <c r="B11" s="68"/>
      <c r="C11" s="68" t="str">
        <f t="shared" si="0"/>
        <v>5</v>
      </c>
      <c r="D11" s="68">
        <f t="shared" si="1"/>
        <v>1</v>
      </c>
      <c r="E11" s="68"/>
      <c r="F11" s="68"/>
      <c r="G11" s="83"/>
      <c r="H11" s="83"/>
      <c r="I11" s="83"/>
      <c r="J11" s="68"/>
      <c r="K11" s="83"/>
      <c r="L11" s="68"/>
      <c r="M11" s="68"/>
      <c r="N11" s="68"/>
      <c r="O11" s="68"/>
      <c r="P11" s="298"/>
    </row>
    <row r="12" spans="1:16" ht="130.05000000000001" customHeight="1" x14ac:dyDescent="0.3">
      <c r="A12" s="298"/>
      <c r="B12" s="68"/>
      <c r="C12" s="68" t="str">
        <f t="shared" si="0"/>
        <v>5</v>
      </c>
      <c r="D12" s="68">
        <f t="shared" si="1"/>
        <v>1</v>
      </c>
      <c r="E12" s="84" t="str">
        <f>C12&amp;D12&amp;RIGHT(F12,1)</f>
        <v>511</v>
      </c>
      <c r="F12" s="66" t="s">
        <v>27</v>
      </c>
      <c r="G12" s="67" t="str">
        <f>IFERROR(IF(VLOOKUP($E12,BDD!$A$1:$S$567,MATCH(G$10,BDD!$A$1:$P$1,0),FALSE)=0,"",VLOOKUP($E12,BDD!$A$1:$S$567,MATCH(G$10,BDD!$A$1:$P$1,0),FALSE)),"")</f>
        <v>L'organisation cartographie les données et identifie leur contribution à sa chaîne de valeur de l'organisation (a minima pour les obligations légales et réglementaires...).</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
      <c r="L12" s="68"/>
      <c r="M12" s="87"/>
      <c r="N12" s="87"/>
      <c r="O12" s="68"/>
      <c r="P12" s="298"/>
    </row>
    <row r="13" spans="1:16" ht="130.05000000000001" customHeight="1" x14ac:dyDescent="0.3">
      <c r="A13" s="298"/>
      <c r="B13" s="68"/>
      <c r="C13" s="68" t="str">
        <f t="shared" si="0"/>
        <v>5</v>
      </c>
      <c r="D13" s="68">
        <f t="shared" si="1"/>
        <v>1</v>
      </c>
      <c r="E13" s="84" t="str">
        <f t="shared" ref="E13:E82" si="2">C13&amp;D13&amp;RIGHT(F13,1)</f>
        <v>512</v>
      </c>
      <c r="F13" s="94" t="s">
        <v>28</v>
      </c>
      <c r="G13" s="65" t="str">
        <f>IFERROR(IF(VLOOKUP($E13,BDD!$A$1:$S$567,MATCH(G$10,BDD!$A$1:$P$1,0),FALSE)=0,"",VLOOKUP($E13,BDD!$A$1:$S$567,MATCH(G$10,BDD!$A$1:$P$1,0),FALSE)),"")</f>
        <v>L'organisation documente une politique de gouvernance des données intégrant les exigences réglementaires et contractuelles applicables. </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Les éléments suivants y figurent : rôles et responsabilités, critères, niveaux de risques acceptables, etc.</v>
      </c>
      <c r="L13" s="68"/>
      <c r="M13" s="90"/>
      <c r="N13" s="90"/>
      <c r="O13" s="68"/>
      <c r="P13" s="298"/>
    </row>
    <row r="14" spans="1:16" ht="130.05000000000001" customHeight="1" x14ac:dyDescent="0.3">
      <c r="A14" s="298"/>
      <c r="B14" s="68"/>
      <c r="C14" s="68" t="str">
        <f t="shared" si="0"/>
        <v>5</v>
      </c>
      <c r="D14" s="68">
        <f t="shared" si="1"/>
        <v>1</v>
      </c>
      <c r="E14" s="84" t="str">
        <f t="shared" si="2"/>
        <v>513</v>
      </c>
      <c r="F14" s="66" t="s">
        <v>30</v>
      </c>
      <c r="G14" s="67" t="str">
        <f>IFERROR(IF(VLOOKUP($E14,BDD!$A$1:$S$567,MATCH(G$10,BDD!$A$1:$P$1,0),FALSE)=0,"",VLOOKUP($E14,BDD!$A$1:$S$567,MATCH(G$10,BDD!$A$1:$P$1,0),FALSE)),"")</f>
        <v>L’organisation a mis en place une stratégie cohérente pour l'utilisation et la valorisation des données en prenant en compte les opportunités offertes par les nouvelles technologies ainsi que les contraintes techniques, juridiques et réglementaires.</v>
      </c>
      <c r="H14" s="85" t="str">
        <f>IF(VLOOKUP(E14,BDD!$A$1:$S$567,15,FALSE)=0,"Critère non évalué","")</f>
        <v>Critère non évalué</v>
      </c>
      <c r="I14" s="66" t="str">
        <f>IFERROR(IF(VLOOKUP($E14,BDD!$A$1:$S$567,MATCH(I$10,BDD!$A$1:$P$1,0),FALSE)=0,"",VLOOKUP($E14,BDD!$A$1:$S$567,MATCH(I$10,BDD!$A$1:$P$1,0),FALSE)),"")</f>
        <v>N4</v>
      </c>
      <c r="J14" s="86"/>
      <c r="K14" s="67" t="str">
        <f>IFERROR(IF(VLOOKUP($E14,BDD!$A$1:$S$567,MATCH(K$10,BDD!$A$1:$P$1,0),FALSE)=0,"",VLOOKUP($E14,BDD!$A$1:$S$567,MATCH(K$10,BDD!$A$1:$P$1,0),FALSE)),"")</f>
        <v>• Cette stratégie s’applique à tous types de données : stratégiques, commerciales, industrielles personnelles et critiques. 
• L’utilisation des données fait partie intégrante du volet numérique du plan stratégique de l’organisation. 
• L'intelligence artificielle est intégrée dans la stratégie, ainsi que la politique de sécurisation.
• Cf. Gouvernance et Architecture Data &amp; Analytics : Élaborer et mettre en place la stratégie data, Cigref, 2023</v>
      </c>
      <c r="L14" s="68"/>
      <c r="M14" s="87"/>
      <c r="N14" s="87"/>
      <c r="O14" s="68"/>
      <c r="P14" s="298"/>
    </row>
    <row r="15" spans="1:16" ht="130.05000000000001" customHeight="1" x14ac:dyDescent="0.3">
      <c r="A15" s="298"/>
      <c r="B15" s="68"/>
      <c r="C15" s="68" t="str">
        <f t="shared" si="0"/>
        <v>5</v>
      </c>
      <c r="D15" s="68">
        <f t="shared" si="1"/>
        <v>1</v>
      </c>
      <c r="E15" s="84" t="str">
        <f t="shared" si="2"/>
        <v>514</v>
      </c>
      <c r="F15" s="64" t="s">
        <v>32</v>
      </c>
      <c r="G15" s="65" t="str">
        <f>IFERROR(IF(VLOOKUP($E15,BDD!$A$1:$S$567,MATCH(G$10,BDD!$A$1:$P$1,0),FALSE)=0,"",VLOOKUP($E15,BDD!$A$1:$S$567,MATCH(G$10,BDD!$A$1:$P$1,0),FALSE)),"")</f>
        <v>La direction générale est responsable de l'exécution de la stratégie « données » de l'organisation. </v>
      </c>
      <c r="H15" s="88" t="str">
        <f>IF(VLOOKUP(E15,BDD!$A$1:$S$567,15,FALSE)=0,"Critère non évalué","")</f>
        <v>Critère non évalué</v>
      </c>
      <c r="I15" s="64" t="str">
        <f>IFERROR(IF(VLOOKUP($E15,BDD!$A$1:$S$567,MATCH(I$10,BDD!$A$1:$P$1,0),FALSE)=0,"",VLOOKUP($E15,BDD!$A$1:$S$567,MATCH(I$10,BDD!$A$1:$P$1,0),FALSE)),"")</f>
        <v>N4</v>
      </c>
      <c r="J15" s="91"/>
      <c r="K15" s="65" t="str">
        <f>IFERROR(IF(VLOOKUP($E15,BDD!$A$1:$S$567,MATCH(K$10,BDD!$A$1:$P$1,0),FALSE)=0,"",VLOOKUP($E15,BDD!$A$1:$S$567,MATCH(K$10,BDD!$A$1:$P$1,0),FALSE)),"")</f>
        <v/>
      </c>
      <c r="L15" s="68"/>
      <c r="M15" s="90"/>
      <c r="N15" s="90"/>
      <c r="O15" s="68"/>
      <c r="P15" s="298"/>
    </row>
    <row r="16" spans="1:16" ht="130.05000000000001" customHeight="1" x14ac:dyDescent="0.3">
      <c r="A16" s="298"/>
      <c r="B16" s="68"/>
      <c r="C16" s="68" t="str">
        <f t="shared" si="0"/>
        <v>5</v>
      </c>
      <c r="D16" s="68">
        <f t="shared" si="1"/>
        <v>1</v>
      </c>
      <c r="E16" s="84" t="str">
        <f t="shared" si="2"/>
        <v>515</v>
      </c>
      <c r="F16" s="66" t="s">
        <v>33</v>
      </c>
      <c r="G16" s="67" t="str">
        <f>IFERROR(IF(VLOOKUP($E16,BDD!$A$1:$S$567,MATCH(G$10,BDD!$A$1:$P$1,0),FALSE)=0,"",VLOOKUP($E16,BDD!$A$1:$S$567,MATCH(G$10,BDD!$A$1:$P$1,0),FALSE)),"")</f>
        <v>Un bilan évaluant le respect de la politique de gouvernance des données est présenté à la direction générale permettant d'identifier les axes de progression.</v>
      </c>
      <c r="H16" s="85" t="str">
        <f>IF(VLOOKUP(E16,BDD!$A$1:$S$567,15,FALSE)=0,"Critère non évalué","")</f>
        <v>Critère non évalué</v>
      </c>
      <c r="I16" s="66" t="str">
        <f>IFERROR(IF(VLOOKUP($E16,BDD!$A$1:$S$567,MATCH(I$10,BDD!$A$1:$P$1,0),FALSE)=0,"",VLOOKUP($E16,BDD!$A$1:$S$567,MATCH(I$10,BDD!$A$1:$P$1,0),FALSE)),"")</f>
        <v>N5</v>
      </c>
      <c r="J16" s="86"/>
      <c r="K16" s="67" t="str">
        <f>IFERROR(IF(VLOOKUP($E16,BDD!$A$1:$S$567,MATCH(K$10,BDD!$A$1:$P$1,0),FALSE)=0,"",VLOOKUP($E16,BDD!$A$1:$S$567,MATCH(K$10,BDD!$A$1:$P$1,0),FALSE)),"")</f>
        <v>• Une fréquence annuelle est recommandée.</v>
      </c>
      <c r="L16" s="68"/>
      <c r="M16" s="82"/>
      <c r="N16" s="82"/>
      <c r="O16" s="68"/>
      <c r="P16" s="298"/>
    </row>
    <row r="17" spans="1:16" ht="130.05000000000001" hidden="1" customHeight="1" x14ac:dyDescent="0.3">
      <c r="A17" s="298"/>
      <c r="B17" s="68"/>
      <c r="C17" s="68" t="str">
        <f t="shared" si="0"/>
        <v>5</v>
      </c>
      <c r="D17" s="68">
        <f t="shared" si="1"/>
        <v>1</v>
      </c>
      <c r="E17" s="84" t="str">
        <f t="shared" si="2"/>
        <v>516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xml:space="preserve"> </v>
      </c>
      <c r="J17" s="89"/>
      <c r="K17" s="65" t="str">
        <f>IFERROR(IF(VLOOKUP($E17,BDD!$A$1:$S$567,MATCH(K$10,BDD!$A$1:$P$1,0),FALSE)=0,"",VLOOKUP($E17,BDD!$A$1:$S$567,MATCH(K$10,BDD!$A$1:$P$1,0),FALSE)),"")</f>
        <v/>
      </c>
      <c r="L17" s="68"/>
      <c r="M17" s="90"/>
      <c r="N17" s="90"/>
      <c r="O17" s="68"/>
      <c r="P17" s="298"/>
    </row>
    <row r="18" spans="1:16" ht="130.05000000000001" hidden="1" customHeight="1" x14ac:dyDescent="0.3">
      <c r="A18" s="298"/>
      <c r="B18" s="68"/>
      <c r="C18" s="68" t="str">
        <f t="shared" si="0"/>
        <v>5</v>
      </c>
      <c r="D18" s="68">
        <f t="shared" si="1"/>
        <v>1</v>
      </c>
      <c r="E18" s="84" t="str">
        <f t="shared" si="2"/>
        <v>517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298"/>
    </row>
    <row r="19" spans="1:16" ht="18" x14ac:dyDescent="0.35">
      <c r="A19" s="298"/>
      <c r="B19" s="68"/>
      <c r="C19" s="68" t="str">
        <f t="shared" si="0"/>
        <v>5</v>
      </c>
      <c r="D19" s="68">
        <f t="shared" si="1"/>
        <v>1</v>
      </c>
      <c r="E19" s="84" t="str">
        <f t="shared" si="2"/>
        <v>51</v>
      </c>
      <c r="F19" s="68"/>
      <c r="G19" s="69" t="str">
        <f>IF(Suppl!B80=2,"Le vecteur n'est pas utilisé","")</f>
        <v/>
      </c>
      <c r="H19" s="69"/>
      <c r="I19" s="69"/>
      <c r="J19" s="69"/>
      <c r="K19" s="69"/>
      <c r="L19" s="70"/>
      <c r="M19" s="68"/>
      <c r="N19" s="68"/>
      <c r="O19" s="68"/>
      <c r="P19" s="298"/>
    </row>
    <row r="20" spans="1:16" x14ac:dyDescent="0.3">
      <c r="A20" s="298"/>
      <c r="B20" s="68"/>
      <c r="C20" s="68" t="str">
        <f t="shared" si="0"/>
        <v>5</v>
      </c>
      <c r="D20" s="68">
        <f>IF(LEFT(F20,14)="Bonne pratique",D19+1,D19)</f>
        <v>1</v>
      </c>
      <c r="E20" s="84" t="str">
        <f t="shared" si="2"/>
        <v>51</v>
      </c>
      <c r="F20" s="68"/>
      <c r="G20" s="68"/>
      <c r="H20" s="68"/>
      <c r="I20" s="68"/>
      <c r="J20" s="68"/>
      <c r="K20" s="68"/>
      <c r="L20" s="68"/>
      <c r="M20" s="68"/>
      <c r="N20" s="68"/>
      <c r="O20" s="68"/>
      <c r="P20" s="298"/>
    </row>
    <row r="21" spans="1:16" ht="25.8" x14ac:dyDescent="0.5">
      <c r="A21" s="304"/>
      <c r="B21" s="74"/>
      <c r="C21" s="68" t="str">
        <f t="shared" si="0"/>
        <v>5</v>
      </c>
      <c r="D21" s="68">
        <f t="shared" si="1"/>
        <v>2</v>
      </c>
      <c r="E21" s="84" t="str">
        <f t="shared" si="2"/>
        <v>522</v>
      </c>
      <c r="F21" s="208" t="s">
        <v>500</v>
      </c>
      <c r="G21" s="75"/>
      <c r="H21" s="205"/>
      <c r="I21" s="73"/>
      <c r="J21" s="73" t="str">
        <f>VLOOKUP(E28,BDD!$A$2:$N$567,6,FALSE)</f>
        <v>Processus</v>
      </c>
      <c r="K21" s="72"/>
      <c r="L21" s="75"/>
      <c r="M21" s="75"/>
      <c r="N21" s="75"/>
      <c r="O21" s="74"/>
      <c r="P21" s="304"/>
    </row>
    <row r="22" spans="1:16" x14ac:dyDescent="0.3">
      <c r="A22" s="298"/>
      <c r="B22" s="68"/>
      <c r="C22" s="68" t="str">
        <f t="shared" si="0"/>
        <v>5</v>
      </c>
      <c r="D22" s="68">
        <f t="shared" si="1"/>
        <v>2</v>
      </c>
      <c r="E22" s="84" t="str">
        <f t="shared" si="2"/>
        <v>52</v>
      </c>
      <c r="F22" s="68"/>
      <c r="G22" s="68"/>
      <c r="H22" s="68"/>
      <c r="I22" s="68"/>
      <c r="J22" s="68"/>
      <c r="K22" s="68"/>
      <c r="L22" s="68"/>
      <c r="M22" s="68"/>
      <c r="N22" s="68"/>
      <c r="O22" s="68"/>
      <c r="P22" s="298"/>
    </row>
    <row r="23" spans="1:16" ht="18" x14ac:dyDescent="0.35">
      <c r="A23" s="305"/>
      <c r="B23" s="76"/>
      <c r="C23" s="68" t="str">
        <f t="shared" si="0"/>
        <v>5</v>
      </c>
      <c r="D23" s="68">
        <f t="shared" si="1"/>
        <v>2</v>
      </c>
      <c r="E23" s="84" t="str">
        <f t="shared" si="2"/>
        <v>52</v>
      </c>
      <c r="F23" s="76"/>
      <c r="G23" s="76"/>
      <c r="H23" s="76"/>
      <c r="I23" s="77"/>
      <c r="J23" s="207" t="str">
        <f>IFERROR(_xlfn.TEXTBEFORE(VLOOKUP(E28,BDD!$A$2:$N$567,7,FALSE)," ",30),VLOOKUP(E28,BDD!$A$2:$N$567,7,FALSE))</f>
        <v>L'organisation dispose d'un processus de gestion de la donnée.</v>
      </c>
      <c r="K23" s="77"/>
      <c r="L23" s="76"/>
      <c r="M23" s="76"/>
      <c r="N23" s="76"/>
      <c r="O23" s="76"/>
      <c r="P23" s="305"/>
    </row>
    <row r="24" spans="1:16" ht="18" x14ac:dyDescent="0.35">
      <c r="A24" s="298"/>
      <c r="B24" s="68"/>
      <c r="C24" s="68" t="str">
        <f t="shared" si="0"/>
        <v>5</v>
      </c>
      <c r="D24" s="68">
        <f t="shared" si="1"/>
        <v>2</v>
      </c>
      <c r="E24" s="84" t="str">
        <f t="shared" si="2"/>
        <v>52</v>
      </c>
      <c r="F24" s="68"/>
      <c r="G24" s="68"/>
      <c r="H24" s="68"/>
      <c r="I24" s="68"/>
      <c r="J24" s="207" t="str">
        <f>IFERROR(_xlfn.TEXTAFTER(VLOOKUP(E28,BDD!$A$2:$N$567,7,FALSE)," ",30),"")</f>
        <v/>
      </c>
      <c r="K24" s="68"/>
      <c r="L24" s="68"/>
      <c r="M24" s="68"/>
      <c r="N24" s="68"/>
      <c r="O24" s="68"/>
      <c r="P24" s="298"/>
    </row>
    <row r="25" spans="1:16" x14ac:dyDescent="0.3">
      <c r="A25" s="298"/>
      <c r="B25" s="68"/>
      <c r="C25" s="68" t="str">
        <f t="shared" si="0"/>
        <v>5</v>
      </c>
      <c r="D25" s="68">
        <f t="shared" si="1"/>
        <v>2</v>
      </c>
      <c r="E25" s="84" t="str">
        <f t="shared" si="2"/>
        <v>52</v>
      </c>
      <c r="F25" s="68"/>
      <c r="G25" s="68"/>
      <c r="H25" s="68"/>
      <c r="I25" s="68"/>
      <c r="J25" s="78"/>
      <c r="K25" s="68"/>
      <c r="L25" s="68"/>
      <c r="M25" s="619" t="s">
        <v>92</v>
      </c>
      <c r="N25" s="619"/>
      <c r="O25" s="68"/>
      <c r="P25" s="298"/>
    </row>
    <row r="26" spans="1:16" ht="33" x14ac:dyDescent="0.3">
      <c r="A26" s="298"/>
      <c r="B26" s="68"/>
      <c r="C26" s="68" t="str">
        <f t="shared" si="0"/>
        <v>5</v>
      </c>
      <c r="D26" s="68">
        <f t="shared" si="1"/>
        <v>2</v>
      </c>
      <c r="E26" s="84" t="str">
        <f t="shared" si="2"/>
        <v>52</v>
      </c>
      <c r="F26" s="93"/>
      <c r="G26" s="80" t="s">
        <v>561</v>
      </c>
      <c r="H26" s="80" t="s">
        <v>82</v>
      </c>
      <c r="I26" s="80" t="s">
        <v>83</v>
      </c>
      <c r="J26" s="80" t="s">
        <v>84</v>
      </c>
      <c r="K26" s="80" t="s">
        <v>85</v>
      </c>
      <c r="L26" s="78"/>
      <c r="M26" s="81" t="s">
        <v>86</v>
      </c>
      <c r="N26" s="82" t="s">
        <v>87</v>
      </c>
      <c r="O26" s="68"/>
      <c r="P26" s="298"/>
    </row>
    <row r="27" spans="1:16" x14ac:dyDescent="0.3">
      <c r="A27" s="298"/>
      <c r="B27" s="68"/>
      <c r="C27" s="68" t="str">
        <f t="shared" si="0"/>
        <v>5</v>
      </c>
      <c r="D27" s="68">
        <f t="shared" si="1"/>
        <v>2</v>
      </c>
      <c r="E27" s="84" t="str">
        <f t="shared" si="2"/>
        <v>52</v>
      </c>
      <c r="F27" s="68"/>
      <c r="G27" s="83"/>
      <c r="H27" s="83"/>
      <c r="I27" s="83"/>
      <c r="J27" s="68"/>
      <c r="K27" s="83"/>
      <c r="L27" s="68"/>
      <c r="M27" s="68"/>
      <c r="N27" s="68"/>
      <c r="O27" s="68"/>
      <c r="P27" s="298"/>
    </row>
    <row r="28" spans="1:16" ht="130.05000000000001" customHeight="1" x14ac:dyDescent="0.3">
      <c r="A28" s="298"/>
      <c r="B28" s="68"/>
      <c r="C28" s="68" t="str">
        <f t="shared" si="0"/>
        <v>5</v>
      </c>
      <c r="D28" s="68">
        <f t="shared" si="1"/>
        <v>2</v>
      </c>
      <c r="E28" s="84" t="str">
        <f t="shared" si="2"/>
        <v>521</v>
      </c>
      <c r="F28" s="66" t="s">
        <v>27</v>
      </c>
      <c r="G28" s="67" t="str">
        <f>IFERROR(IF(VLOOKUP($E28,BDD!$A$1:$S$567,MATCH(G$10,BDD!$A$1:$P$1,0),FALSE)=0,"",VLOOKUP($E28,BDD!$A$1:$S$567,MATCH(G$10,BDD!$A$1:$P$1,0),FALSE)),"")</f>
        <v>L'organisation établit et maintient un référentiel des données cartographiées incluant les applications associées, les droits d'accès, la durée de conservation, le niveau de sécurité requis, etc.</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Un référentiel recense les données correspondant à chaque objet spécifique (référentiel clients, référentiel organisation, référentiel produits, etc.) ainsi que leurs caractéristiques et les relations entre elles, qu'il s'agisse de données structurées ou non structurées.
• La description des processus métiers s’appuie sur la cartographie des données. 
• Les données de référence utilisées par plusieurs applications ou processus métiers sont identifiées, et les risques de conflits liés aux mises à jour par les différentes applications sont mis en évidence.
• Les données sont classifiées en fonction de leur sécurité et de leur conformité réglementaire.</v>
      </c>
      <c r="L28" s="68"/>
      <c r="M28" s="87"/>
      <c r="N28" s="87"/>
      <c r="O28" s="68"/>
      <c r="P28" s="298"/>
    </row>
    <row r="29" spans="1:16" ht="185.4" customHeight="1" x14ac:dyDescent="0.3">
      <c r="A29" s="298"/>
      <c r="B29" s="68"/>
      <c r="C29" s="68" t="str">
        <f t="shared" si="0"/>
        <v>5</v>
      </c>
      <c r="D29" s="68">
        <f t="shared" si="1"/>
        <v>2</v>
      </c>
      <c r="E29" s="84" t="str">
        <f t="shared" si="2"/>
        <v>522</v>
      </c>
      <c r="F29" s="94" t="s">
        <v>28</v>
      </c>
      <c r="G29" s="65" t="str">
        <f>IFERROR(IF(VLOOKUP($E29,BDD!$A$1:$S$567,MATCH(G$10,BDD!$A$1:$P$1,0),FALSE)=0,"",VLOOKUP($E29,BDD!$A$1:$S$567,MATCH(G$10,BDD!$A$1:$P$1,0),FALSE)),"")</f>
        <v>Un dispositif conforme à la politique de gouvernance des données est mis en place pour l'utilisation et la mise à jour du référentiel et du dictionnaire de données, impliquant l'ensemble des parties concernées (métiers, fonctions). Ce dispositif couvre l'ensemble du cycle de vie des données.</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Le dispositif de gouvernance permet notamment d'identifier les différents rôles clés intervenant dans la gestion des données tels que les propriétaires des données (data owners), les data stewards, le délégué à la protection des données (DPD ou Data Protection Officer), ainsi que la DSI, les administrateurs fonctionnels et techniques, etc.
• Le dispositif comprend, de manière non exhaustive, le référentiel documentaire, la cartographie et la liste des contrôles. La documentation contient a minima, le dictionnaire des données, le dictionnaire des flux, et le data lignage. 
• Le dispositif couvre l’ensemble du cycle de vie de la donnée, de sa collecte à sa destruction.
• Des outils de gouvernance de la donnée peuvent faciliter la mise en place des bonnes pratiques.
• Le dictionnaire de données est partagé et compris par les métiers et la DSI, avec une identification claire des propriétaires des données.</v>
      </c>
      <c r="L29" s="68"/>
      <c r="M29" s="90"/>
      <c r="N29" s="90"/>
      <c r="O29" s="68"/>
      <c r="P29" s="298"/>
    </row>
    <row r="30" spans="1:16" ht="130.05000000000001" customHeight="1" x14ac:dyDescent="0.3">
      <c r="A30" s="298"/>
      <c r="B30" s="68"/>
      <c r="C30" s="68" t="str">
        <f t="shared" si="0"/>
        <v>5</v>
      </c>
      <c r="D30" s="68">
        <f t="shared" si="1"/>
        <v>2</v>
      </c>
      <c r="E30" s="84" t="str">
        <f t="shared" si="2"/>
        <v>523</v>
      </c>
      <c r="F30" s="66" t="s">
        <v>30</v>
      </c>
      <c r="G30" s="67" t="str">
        <f>IFERROR(IF(VLOOKUP($E30,BDD!$A$1:$S$567,MATCH(G$10,BDD!$A$1:$P$1,0),FALSE)=0,"",VLOOKUP($E30,BDD!$A$1:$S$567,MATCH(G$10,BDD!$A$1:$P$1,0),FALSE)),"")</f>
        <v>Le processus de gestion de la donnée est animé par une personne ou une instance désignée qui rend compte à la direction générale. </v>
      </c>
      <c r="H30" s="85" t="str">
        <f>IF(VLOOKUP(E30,BDD!$A$1:$S$567,15,FALSE)=0,"Critère non évalué","")</f>
        <v>Critère non évalué</v>
      </c>
      <c r="I30" s="66" t="str">
        <f>IFERROR(IF(VLOOKUP($E30,BDD!$A$1:$S$567,MATCH(I$10,BDD!$A$1:$P$1,0),FALSE)=0,"",VLOOKUP($E30,BDD!$A$1:$S$567,MATCH(I$10,BDD!$A$1:$P$1,0),FALSE)),"")</f>
        <v>N3</v>
      </c>
      <c r="J30" s="86"/>
      <c r="K30" s="67" t="str">
        <f>IFERROR(IF(VLOOKUP($E30,BDD!$A$1:$S$567,MATCH(K$10,BDD!$A$1:$P$1,0),FALSE)=0,"",VLOOKUP($E30,BDD!$A$1:$S$567,MATCH(K$10,BDD!$A$1:$P$1,0),FALSE)),"")</f>
        <v>• Le titre et les responsabilités peuvent varier en fonction du contexte de l'organisation.</v>
      </c>
      <c r="L30" s="68"/>
      <c r="M30" s="87"/>
      <c r="N30" s="87"/>
      <c r="O30" s="68"/>
      <c r="P30" s="298"/>
    </row>
    <row r="31" spans="1:16" ht="130.05000000000001" customHeight="1" x14ac:dyDescent="0.3">
      <c r="A31" s="298"/>
      <c r="B31" s="68"/>
      <c r="C31" s="68" t="str">
        <f t="shared" si="0"/>
        <v>5</v>
      </c>
      <c r="D31" s="68">
        <f t="shared" si="1"/>
        <v>2</v>
      </c>
      <c r="E31" s="84" t="str">
        <f t="shared" si="2"/>
        <v>524</v>
      </c>
      <c r="F31" s="64" t="s">
        <v>32</v>
      </c>
      <c r="G31" s="65" t="str">
        <f>IFERROR(IF(VLOOKUP($E31,BDD!$A$1:$S$567,MATCH(G$10,BDD!$A$1:$P$1,0),FALSE)=0,"",VLOOKUP($E31,BDD!$A$1:$S$567,MATCH(G$10,BDD!$A$1:$P$1,0),FALSE)),"")</f>
        <v>Un plan de sensibilisation et de communication est déployé au sein de l'organisation. </v>
      </c>
      <c r="H31" s="88" t="str">
        <f>IF(VLOOKUP(E31,BDD!$A$1:$S$567,15,FALSE)=0,"Critère non évalué","")</f>
        <v>Critère non évalué</v>
      </c>
      <c r="I31" s="64" t="str">
        <f>IFERROR(IF(VLOOKUP($E31,BDD!$A$1:$S$567,MATCH(I$10,BDD!$A$1:$P$1,0),FALSE)=0,"",VLOOKUP($E31,BDD!$A$1:$S$567,MATCH(I$10,BDD!$A$1:$P$1,0),FALSE)),"")</f>
        <v>N3</v>
      </c>
      <c r="J31" s="91"/>
      <c r="K31" s="65" t="str">
        <f>IFERROR(IF(VLOOKUP($E31,BDD!$A$1:$S$567,MATCH(K$10,BDD!$A$1:$P$1,0),FALSE)=0,"",VLOOKUP($E31,BDD!$A$1:$S$567,MATCH(K$10,BDD!$A$1:$P$1,0),FALSE)),"")</f>
        <v>• Il peut inclure par exemple, une charte d'utilisation des données. La direction de la communication peut être sollicitée pour assurer la diffusion de la charte.</v>
      </c>
      <c r="L31" s="68"/>
      <c r="M31" s="90"/>
      <c r="N31" s="90"/>
      <c r="O31" s="68"/>
      <c r="P31" s="298"/>
    </row>
    <row r="32" spans="1:16" ht="130.05000000000001" customHeight="1" x14ac:dyDescent="0.3">
      <c r="A32" s="298"/>
      <c r="B32" s="68"/>
      <c r="C32" s="68" t="str">
        <f t="shared" si="0"/>
        <v>5</v>
      </c>
      <c r="D32" s="68">
        <f t="shared" si="1"/>
        <v>2</v>
      </c>
      <c r="E32" s="84" t="str">
        <f t="shared" si="2"/>
        <v>525</v>
      </c>
      <c r="F32" s="66" t="s">
        <v>33</v>
      </c>
      <c r="G32" s="67" t="str">
        <f>IFERROR(IF(VLOOKUP($E32,BDD!$A$1:$S$567,MATCH(G$10,BDD!$A$1:$P$1,0),FALSE)=0,"",VLOOKUP($E32,BDD!$A$1:$S$567,MATCH(G$10,BDD!$A$1:$P$1,0),FALSE)),"")</f>
        <v>Un point de contrôle est mis en place pour vérifier que les référentiels et dictionnaires de données sont bien utilisés dans les nouveaux projets et tout au long du cycle de vie des applications.</v>
      </c>
      <c r="H32" s="85" t="str">
        <f>IF(VLOOKUP(E32,BDD!$A$1:$S$567,15,FALSE)=0,"Critère non évalué","")</f>
        <v>Critère non évalué</v>
      </c>
      <c r="I32" s="66" t="str">
        <f>IFERROR(IF(VLOOKUP($E32,BDD!$A$1:$S$567,MATCH(I$10,BDD!$A$1:$P$1,0),FALSE)=0,"",VLOOKUP($E32,BDD!$A$1:$S$567,MATCH(I$10,BDD!$A$1:$P$1,0),FALSE)),"")</f>
        <v>N2</v>
      </c>
      <c r="J32" s="86"/>
      <c r="K32" s="67" t="str">
        <f>IFERROR(IF(VLOOKUP($E32,BDD!$A$1:$S$567,MATCH(K$10,BDD!$A$1:$P$1,0),FALSE)=0,"",VLOOKUP($E32,BDD!$A$1:$S$567,MATCH(K$10,BDD!$A$1:$P$1,0),FALSE)),"")</f>
        <v>• Chaque nouveau projet doit intégrer l’utilisation du dictionnaire des données et informer les acteurs de gestion concernés, comme le comité projet ou l’urbanisme, par exemple.</v>
      </c>
      <c r="L32" s="68"/>
      <c r="M32" s="82"/>
      <c r="N32" s="82"/>
      <c r="O32" s="68"/>
      <c r="P32" s="298"/>
    </row>
    <row r="33" spans="1:16" ht="129.6" customHeight="1" x14ac:dyDescent="0.3">
      <c r="A33" s="298"/>
      <c r="B33" s="68"/>
      <c r="C33" s="68" t="str">
        <f t="shared" si="0"/>
        <v>5</v>
      </c>
      <c r="D33" s="68">
        <f t="shared" si="1"/>
        <v>2</v>
      </c>
      <c r="E33" s="84" t="str">
        <f t="shared" si="2"/>
        <v>526</v>
      </c>
      <c r="F33" s="64" t="s">
        <v>34</v>
      </c>
      <c r="G33" s="65" t="str">
        <f>IFERROR(IF(VLOOKUP($E33,BDD!$A$1:$S$567,MATCH(G$10,BDD!$A$1:$P$1,0),FALSE)=0,"",VLOOKUP($E33,BDD!$A$1:$S$567,MATCH(G$10,BDD!$A$1:$P$1,0),FALSE)),"")</f>
        <v>L’organisation met en œuvre des processus de vérification, soutenus par des indicateurs de qualité des données.</v>
      </c>
      <c r="H33" s="92" t="str">
        <f>IF(VLOOKUP(E33,BDD!$A$1:$S$567,15,FALSE)=0,"Critère non évalué","")</f>
        <v>Critère non évalué</v>
      </c>
      <c r="I33" s="64" t="str">
        <f>IFERROR(IF(VLOOKUP($E33,BDD!$A$1:$S$567,MATCH(I$10,BDD!$A$1:$P$1,0),FALSE)=0,"",VLOOKUP($E33,BDD!$A$1:$S$567,MATCH(I$10,BDD!$A$1:$P$1,0),FALSE)),"")</f>
        <v>N4</v>
      </c>
      <c r="J33" s="89"/>
      <c r="K33" s="65" t="str">
        <f>IFERROR(IF(VLOOKUP($E33,BDD!$A$1:$S$567,MATCH(K$10,BDD!$A$1:$P$1,0),FALSE)=0,"",VLOOKUP($E33,BDD!$A$1:$S$567,MATCH(K$10,BDD!$A$1:$P$1,0),FALSE)),"")</f>
        <v xml:space="preserve">• L'évaluation de la qualité des données fait partie intégrante du dispositif de contrôle interne et de maîtrise des risques. 
• Une comitologie (ensemble de comités) a été instaurée incluant l'ensemble des parties prenantes des référentiels de données et dictionnaires, avec une fréquence régulière et un objectif d’amélioration continue. Les comptes-rendus de ces comités sont systématiquement établis. 
• Les critères de qualité peuvent inclure la traçabilité, l’intégrité, la fraicheur (mise à jour régulière), l’exactitude, le dédoublement,l’exhaustivité, la cohérence, la disponibilité, etc.
• L'organisation peut faire usage de solutions d’IA pour rendre le processus plus efficace. </v>
      </c>
      <c r="L33" s="68"/>
      <c r="M33" s="90"/>
      <c r="N33" s="90"/>
      <c r="O33" s="68"/>
      <c r="P33" s="298"/>
    </row>
    <row r="34" spans="1:16" ht="130.05000000000001" customHeight="1" x14ac:dyDescent="0.3">
      <c r="A34" s="298"/>
      <c r="B34" s="68"/>
      <c r="C34" s="68" t="str">
        <f t="shared" si="0"/>
        <v>5</v>
      </c>
      <c r="D34" s="68">
        <f t="shared" si="1"/>
        <v>2</v>
      </c>
      <c r="E34" s="84" t="str">
        <f t="shared" si="2"/>
        <v>527</v>
      </c>
      <c r="F34" s="66" t="s">
        <v>36</v>
      </c>
      <c r="G34" s="67" t="str">
        <f>IFERROR(IF(VLOOKUP($E34,BDD!$A$1:$S$567,MATCH(G$10,BDD!$A$1:$P$1,0),FALSE)=0,"",VLOOKUP($E34,BDD!$A$1:$S$567,MATCH(G$10,BDD!$A$1:$P$1,0),FALSE)),"")</f>
        <v>Le dispositif est audité régulièrement et évolue en intégrant les préconisations issues de ces audits.</v>
      </c>
      <c r="H34" s="85" t="str">
        <f>IF(VLOOKUP(E34,BDD!$A$1:$S$567,15,FALSE)=0,"Critère non évalué","")</f>
        <v>Critère non évalué</v>
      </c>
      <c r="I34" s="66" t="str">
        <f>IFERROR(IF(VLOOKUP($E34,BDD!$A$1:$S$567,MATCH(I$10,BDD!$A$1:$P$1,0),FALSE)=0,"",VLOOKUP($E34,BDD!$A$1:$S$567,MATCH(I$10,BDD!$A$1:$P$1,0),FALSE)),"")</f>
        <v>N5</v>
      </c>
      <c r="J34" s="86"/>
      <c r="K34" s="67" t="str">
        <f>IFERROR(IF(VLOOKUP($E34,BDD!$A$1:$S$567,MATCH(K$10,BDD!$A$1:$P$1,0),FALSE)=0,"",VLOOKUP($E34,BDD!$A$1:$S$567,MATCH(K$10,BDD!$A$1:$P$1,0),FALSE)),"")</f>
        <v/>
      </c>
      <c r="L34" s="68"/>
      <c r="M34" s="82"/>
      <c r="N34" s="82"/>
      <c r="O34" s="68"/>
      <c r="P34" s="298"/>
    </row>
    <row r="35" spans="1:16" ht="18" x14ac:dyDescent="0.35">
      <c r="A35" s="298"/>
      <c r="B35" s="68"/>
      <c r="C35" s="68" t="str">
        <f t="shared" si="0"/>
        <v>5</v>
      </c>
      <c r="D35" s="68">
        <f t="shared" si="1"/>
        <v>2</v>
      </c>
      <c r="E35" s="84" t="str">
        <f t="shared" si="2"/>
        <v>52</v>
      </c>
      <c r="F35" s="68"/>
      <c r="G35" s="69" t="str">
        <f>IF(Suppl!B96=2,"Le vecteur n'est pas utilisé","")</f>
        <v/>
      </c>
      <c r="H35" s="69"/>
      <c r="I35" s="68"/>
      <c r="J35" s="69"/>
      <c r="K35" s="69"/>
      <c r="L35" s="70"/>
      <c r="M35" s="68"/>
      <c r="N35" s="68"/>
      <c r="O35" s="68"/>
      <c r="P35" s="298"/>
    </row>
    <row r="36" spans="1:16" x14ac:dyDescent="0.3">
      <c r="A36" s="298"/>
      <c r="B36" s="68"/>
      <c r="C36" s="68" t="str">
        <f t="shared" si="0"/>
        <v>5</v>
      </c>
      <c r="D36" s="68">
        <f>IF(LEFT(F36,14)="Bonne pratique",D35+1,D35)</f>
        <v>2</v>
      </c>
      <c r="E36" s="84" t="str">
        <f t="shared" si="2"/>
        <v>52</v>
      </c>
      <c r="F36" s="68"/>
      <c r="G36" s="68"/>
      <c r="H36" s="68"/>
      <c r="I36" s="68"/>
      <c r="J36" s="68"/>
      <c r="K36" s="68"/>
      <c r="L36" s="68"/>
      <c r="M36" s="68"/>
      <c r="N36" s="68"/>
      <c r="O36" s="68"/>
      <c r="P36" s="298"/>
    </row>
    <row r="37" spans="1:16" ht="25.8" x14ac:dyDescent="0.5">
      <c r="A37" s="304"/>
      <c r="B37" s="74"/>
      <c r="C37" s="68" t="str">
        <f t="shared" si="0"/>
        <v>5</v>
      </c>
      <c r="D37" s="68">
        <f t="shared" si="1"/>
        <v>3</v>
      </c>
      <c r="E37" s="84" t="str">
        <f t="shared" si="2"/>
        <v>533</v>
      </c>
      <c r="F37" s="208" t="s">
        <v>501</v>
      </c>
      <c r="G37" s="75"/>
      <c r="H37" s="205"/>
      <c r="I37" s="73"/>
      <c r="J37" s="73" t="str">
        <f>VLOOKUP(E44,BDD!$A$2:$N$567,6,FALSE)</f>
        <v>Valorisation</v>
      </c>
      <c r="K37" s="72"/>
      <c r="L37" s="75"/>
      <c r="M37" s="75"/>
      <c r="N37" s="75"/>
      <c r="O37" s="74"/>
      <c r="P37" s="304"/>
    </row>
    <row r="38" spans="1:16" x14ac:dyDescent="0.3">
      <c r="A38" s="298"/>
      <c r="B38" s="68"/>
      <c r="C38" s="68" t="str">
        <f t="shared" si="0"/>
        <v>5</v>
      </c>
      <c r="D38" s="68">
        <f t="shared" si="1"/>
        <v>3</v>
      </c>
      <c r="E38" s="84" t="str">
        <f t="shared" si="2"/>
        <v>53</v>
      </c>
      <c r="F38" s="68"/>
      <c r="G38" s="68"/>
      <c r="H38" s="68"/>
      <c r="I38" s="68"/>
      <c r="J38" s="68"/>
      <c r="K38" s="68"/>
      <c r="L38" s="68"/>
      <c r="M38" s="68"/>
      <c r="N38" s="68"/>
      <c r="O38" s="68"/>
      <c r="P38" s="298"/>
    </row>
    <row r="39" spans="1:16" ht="18" x14ac:dyDescent="0.35">
      <c r="A39" s="305"/>
      <c r="B39" s="76"/>
      <c r="C39" s="68" t="str">
        <f t="shared" si="0"/>
        <v>5</v>
      </c>
      <c r="D39" s="68">
        <f t="shared" si="1"/>
        <v>3</v>
      </c>
      <c r="E39" s="84" t="str">
        <f t="shared" si="2"/>
        <v>53</v>
      </c>
      <c r="F39" s="76"/>
      <c r="G39" s="76"/>
      <c r="H39" s="76"/>
      <c r="I39" s="77"/>
      <c r="J39" s="207" t="str">
        <f>IFERROR(_xlfn.TEXTBEFORE(VLOOKUP(E44,BDD!$A$2:$N$567,7,FALSE)," ",30),VLOOKUP(E44,BDD!$A$2:$N$567,7,FALSE))</f>
        <v xml:space="preserve">L'organisation met en place les dispositifs nécessaires pour atteindre les objectifs stratégiques liés aux données, en s’appuyant sur la cartographie réalisée. </v>
      </c>
      <c r="K39" s="77"/>
      <c r="L39" s="76"/>
      <c r="M39" s="76"/>
      <c r="N39" s="76"/>
      <c r="O39" s="76"/>
      <c r="P39" s="305"/>
    </row>
    <row r="40" spans="1:16" ht="18" x14ac:dyDescent="0.35">
      <c r="A40" s="298"/>
      <c r="B40" s="68"/>
      <c r="C40" s="68" t="str">
        <f t="shared" si="0"/>
        <v>5</v>
      </c>
      <c r="D40" s="68">
        <f t="shared" si="1"/>
        <v>3</v>
      </c>
      <c r="E40" s="84" t="str">
        <f t="shared" si="2"/>
        <v>53</v>
      </c>
      <c r="F40" s="68"/>
      <c r="G40" s="68"/>
      <c r="H40" s="68"/>
      <c r="I40" s="68"/>
      <c r="J40" s="207" t="str">
        <f>IFERROR(_xlfn.TEXTAFTER(VLOOKUP(E44,BDD!$A$2:$N$567,7,FALSE)," ",30),"")</f>
        <v/>
      </c>
      <c r="K40" s="68"/>
      <c r="L40" s="68"/>
      <c r="M40" s="68"/>
      <c r="N40" s="68"/>
      <c r="O40" s="68"/>
      <c r="P40" s="298"/>
    </row>
    <row r="41" spans="1:16" x14ac:dyDescent="0.3">
      <c r="A41" s="298"/>
      <c r="B41" s="68"/>
      <c r="C41" s="68" t="str">
        <f t="shared" si="0"/>
        <v>5</v>
      </c>
      <c r="D41" s="68">
        <f t="shared" si="1"/>
        <v>3</v>
      </c>
      <c r="E41" s="84" t="str">
        <f t="shared" si="2"/>
        <v>53</v>
      </c>
      <c r="F41" s="68"/>
      <c r="G41" s="68"/>
      <c r="H41" s="68"/>
      <c r="I41" s="68"/>
      <c r="J41" s="78"/>
      <c r="K41" s="68"/>
      <c r="L41" s="68"/>
      <c r="M41" s="619" t="s">
        <v>92</v>
      </c>
      <c r="N41" s="619"/>
      <c r="O41" s="68"/>
      <c r="P41" s="298"/>
    </row>
    <row r="42" spans="1:16" ht="33" x14ac:dyDescent="0.3">
      <c r="A42" s="298"/>
      <c r="B42" s="68"/>
      <c r="C42" s="68" t="str">
        <f t="shared" si="0"/>
        <v>5</v>
      </c>
      <c r="D42" s="68">
        <f t="shared" si="1"/>
        <v>3</v>
      </c>
      <c r="E42" s="84" t="str">
        <f t="shared" si="2"/>
        <v>53</v>
      </c>
      <c r="F42" s="79"/>
      <c r="G42" s="80" t="s">
        <v>561</v>
      </c>
      <c r="H42" s="80" t="s">
        <v>82</v>
      </c>
      <c r="I42" s="80" t="s">
        <v>83</v>
      </c>
      <c r="J42" s="80" t="s">
        <v>84</v>
      </c>
      <c r="K42" s="80" t="s">
        <v>85</v>
      </c>
      <c r="L42" s="78"/>
      <c r="M42" s="81" t="s">
        <v>86</v>
      </c>
      <c r="N42" s="82" t="s">
        <v>87</v>
      </c>
      <c r="O42" s="68"/>
      <c r="P42" s="298"/>
    </row>
    <row r="43" spans="1:16" x14ac:dyDescent="0.3">
      <c r="A43" s="298"/>
      <c r="B43" s="68"/>
      <c r="C43" s="68" t="str">
        <f t="shared" si="0"/>
        <v>5</v>
      </c>
      <c r="D43" s="68">
        <f t="shared" si="1"/>
        <v>3</v>
      </c>
      <c r="E43" s="84" t="str">
        <f t="shared" si="2"/>
        <v>53</v>
      </c>
      <c r="F43" s="68"/>
      <c r="G43" s="83"/>
      <c r="H43" s="83"/>
      <c r="I43" s="83"/>
      <c r="J43" s="68"/>
      <c r="K43" s="83"/>
      <c r="L43" s="68"/>
      <c r="M43" s="68"/>
      <c r="N43" s="68"/>
      <c r="O43" s="68"/>
      <c r="P43" s="298"/>
    </row>
    <row r="44" spans="1:16" ht="130.05000000000001" customHeight="1" x14ac:dyDescent="0.3">
      <c r="A44" s="298"/>
      <c r="B44" s="68"/>
      <c r="C44" s="68" t="str">
        <f t="shared" si="0"/>
        <v>5</v>
      </c>
      <c r="D44" s="68">
        <f t="shared" si="1"/>
        <v>3</v>
      </c>
      <c r="E44" s="84" t="str">
        <f t="shared" si="2"/>
        <v>531</v>
      </c>
      <c r="F44" s="66" t="s">
        <v>27</v>
      </c>
      <c r="G44" s="67" t="str">
        <f>IFERROR(IF(VLOOKUP($E44,BDD!$A$1:$S$567,MATCH(G$10,BDD!$A$1:$P$1,0),FALSE)=0,"",VLOOKUP($E44,BDD!$A$1:$S$567,MATCH(G$10,BDD!$A$1:$P$1,0),FALSE)),"")</f>
        <v>L'organisation attribue les rôles spécifiques pour exploiter ses données : Directeur des données (Chief Data Officer), Délégué à la protection des données, Data scientist, Responsable des données, Chef de projet, etc.).</v>
      </c>
      <c r="H44" s="85" t="str">
        <f>IF(VLOOKUP(E44,BDD!$A$1:$S$567,15,FALSE)=0,"Critère non évalué","")</f>
        <v>Critère non évalué</v>
      </c>
      <c r="I44" s="66" t="str">
        <f>IFERROR(IF(VLOOKUP($E44,BDD!$A$1:$S$567,MATCH(I$10,BDD!$A$1:$P$1,0),FALSE)=0,"",VLOOKUP($E44,BDD!$A$1:$S$567,MATCH(I$10,BDD!$A$1:$P$1,0),FALSE)),"")</f>
        <v>N2</v>
      </c>
      <c r="J44" s="86"/>
      <c r="K44" s="67" t="str">
        <f>IFERROR(IF(VLOOKUP($E44,BDD!$A$1:$S$567,MATCH(K$10,BDD!$A$1:$P$1,0),FALSE)=0,"",VLOOKUP($E44,BDD!$A$1:$S$567,MATCH(K$10,BDD!$A$1:$P$1,0),FALSE)),"")</f>
        <v>• Les fiches de rôle ou de poste sont disponibles et consultables. Cf. Nomenclature des métiers du SI, Cigref 2025.</v>
      </c>
      <c r="L44" s="68"/>
      <c r="M44" s="87"/>
      <c r="N44" s="87"/>
      <c r="O44" s="68"/>
      <c r="P44" s="298"/>
    </row>
    <row r="45" spans="1:16" ht="150" customHeight="1" x14ac:dyDescent="0.3">
      <c r="A45" s="298"/>
      <c r="B45" s="68"/>
      <c r="C45" s="68" t="str">
        <f t="shared" si="0"/>
        <v>5</v>
      </c>
      <c r="D45" s="68">
        <f t="shared" si="1"/>
        <v>3</v>
      </c>
      <c r="E45" s="84" t="str">
        <f t="shared" si="2"/>
        <v>532</v>
      </c>
      <c r="F45" s="94" t="s">
        <v>28</v>
      </c>
      <c r="G45" s="65" t="str">
        <f>IFERROR(IF(VLOOKUP($E45,BDD!$A$1:$S$567,MATCH(G$10,BDD!$A$1:$P$1,0),FALSE)=0,"",VLOOKUP($E45,BDD!$A$1:$S$567,MATCH(G$10,BDD!$A$1:$P$1,0),FALSE)),"")</f>
        <v>L'organisation a mis en place des initiatives, des méthodes et des outils pour valoriser ses données. Celles-ci sont utilisées pour anticiper et réaliser des projections.</v>
      </c>
      <c r="H45" s="88" t="str">
        <f>IF(VLOOKUP(E45,BDD!$A$1:$S$567,15,FALSE)=0,"Critère non évalué","")</f>
        <v>Critère non évalué</v>
      </c>
      <c r="I45" s="64" t="str">
        <f>IFERROR(IF(VLOOKUP($E45,BDD!$A$1:$S$567,MATCH(I$10,BDD!$A$1:$P$1,0),FALSE)=0,"",VLOOKUP($E45,BDD!$A$1:$S$567,MATCH(I$10,BDD!$A$1:$P$1,0),FALSE)),"")</f>
        <v>N3</v>
      </c>
      <c r="J45" s="89"/>
      <c r="K45" s="65" t="str">
        <f>IFERROR(IF(VLOOKUP($E45,BDD!$A$1:$S$567,MATCH(K$10,BDD!$A$1:$P$1,0),FALSE)=0,"",VLOOKUP($E45,BDD!$A$1:$S$567,MATCH(K$10,BDD!$A$1:$P$1,0),FALSE)),"")</f>
        <v>• Ces initiatives et outils concernent tant les données structurées que non structurées.
• Des modèles prédictifs sont définis pour permettre l’anticipation et réaliser des projections.
• Cf. Pilotage de l’entreprise par la donnée : extraire la valeur de la donnée à l’échelle de l’entreprise, Cigref, 2023
• Cf. Approches tactiques et stratégiques sur la qualité des données, Cahier pratique n°1, Groupe de travail Qualité des données, ISACA, 2021.</v>
      </c>
      <c r="L45" s="68"/>
      <c r="M45" s="90"/>
      <c r="N45" s="90"/>
      <c r="O45" s="68"/>
      <c r="P45" s="298"/>
    </row>
    <row r="46" spans="1:16" ht="130.05000000000001" customHeight="1" x14ac:dyDescent="0.3">
      <c r="A46" s="298"/>
      <c r="B46" s="68"/>
      <c r="C46" s="68" t="str">
        <f t="shared" si="0"/>
        <v>5</v>
      </c>
      <c r="D46" s="68">
        <f t="shared" si="1"/>
        <v>3</v>
      </c>
      <c r="E46" s="84" t="str">
        <f t="shared" si="2"/>
        <v>533</v>
      </c>
      <c r="F46" s="66" t="s">
        <v>30</v>
      </c>
      <c r="G46" s="67" t="str">
        <f>IFERROR(IF(VLOOKUP($E46,BDD!$A$1:$S$567,MATCH(G$10,BDD!$A$1:$P$1,0),FALSE)=0,"",VLOOKUP($E46,BDD!$A$1:$S$567,MATCH(G$10,BDD!$A$1:$P$1,0),FALSE)),"")</f>
        <v>Les différentes directions de l'organisation sont activement impliquées dans les initiatives et outils et se les sont appropriés.</v>
      </c>
      <c r="H46" s="85" t="str">
        <f>IF(VLOOKUP(E46,BDD!$A$1:$S$567,15,FALSE)=0,"Critère non évalué","")</f>
        <v>Critère non évalué</v>
      </c>
      <c r="I46" s="66" t="s">
        <v>22</v>
      </c>
      <c r="J46" s="86"/>
      <c r="K46" s="67" t="str">
        <f>IFERROR(IF(VLOOKUP($E46,BDD!$A$1:$S$567,MATCH(K$10,BDD!$A$1:$P$1,0),FALSE)=0,"",VLOOKUP($E46,BDD!$A$1:$S$567,MATCH(K$10,BDD!$A$1:$P$1,0),FALSE)),"")</f>
        <v>• Les outils et compétences sont utilisés par les métiers dans leur fonctionnement et dans leurs projets, notamment en matière d'innovation.</v>
      </c>
      <c r="L46" s="68"/>
      <c r="M46" s="87"/>
      <c r="N46" s="87"/>
      <c r="O46" s="68"/>
      <c r="P46" s="298"/>
    </row>
    <row r="47" spans="1:16" ht="120" customHeight="1" x14ac:dyDescent="0.3">
      <c r="A47" s="298"/>
      <c r="B47" s="68"/>
      <c r="C47" s="68" t="str">
        <f t="shared" si="0"/>
        <v>5</v>
      </c>
      <c r="D47" s="68">
        <f t="shared" si="1"/>
        <v>3</v>
      </c>
      <c r="E47" s="84" t="str">
        <f t="shared" si="2"/>
        <v>534</v>
      </c>
      <c r="F47" s="64" t="s">
        <v>32</v>
      </c>
      <c r="G47" s="96" t="str">
        <f>IFERROR(IF(VLOOKUP($E47,BDD!$A$1:$S$567,MATCH(G$10,BDD!$A$1:$P$1,0),FALSE)=0,"",VLOOKUP($E47,BDD!$A$1:$S$567,MATCH(G$10,BDD!$A$1:$P$1,0),FALSE)),"")</f>
        <v>L'efficacité de ces initiatives et outils est mesurée périodiquement y compris la manière dont l'IA est utilisée.</v>
      </c>
      <c r="H47" s="210" t="str">
        <f>IF(VLOOKUP(E47,BDD!$A$1:$S$567,15,FALSE)=0,"Critère non évalué","")</f>
        <v>Critère non évalué</v>
      </c>
      <c r="I47" s="64" t="s">
        <v>26</v>
      </c>
      <c r="J47" s="95"/>
      <c r="K47" s="96" t="str">
        <f>IFERROR(IF(VLOOKUP($E47,BDD!$A$1:$S$567,MATCH(K$10,BDD!$A$1:$P$1,0),FALSE)=0,"",VLOOKUP($E47,BDD!$A$1:$S$567,MATCH(K$10,BDD!$A$1:$P$1,0),FALSE)),"")</f>
        <v>• Par exemple, l'entraînement des moteurs d'IA (RAG,etc) fait l’objet de cette évaluation.</v>
      </c>
      <c r="L47" s="68"/>
      <c r="M47" s="90"/>
      <c r="N47" s="90"/>
      <c r="O47" s="68"/>
      <c r="P47" s="298"/>
    </row>
    <row r="48" spans="1:16" ht="130.05000000000001" customHeight="1" x14ac:dyDescent="0.3">
      <c r="A48" s="298"/>
      <c r="B48" s="68"/>
      <c r="C48" s="68" t="str">
        <f t="shared" si="0"/>
        <v>5</v>
      </c>
      <c r="D48" s="68">
        <f t="shared" si="1"/>
        <v>3</v>
      </c>
      <c r="E48" s="84" t="str">
        <f t="shared" si="2"/>
        <v>535</v>
      </c>
      <c r="F48" s="66" t="s">
        <v>33</v>
      </c>
      <c r="G48" s="67" t="str">
        <f>IFERROR(IF(VLOOKUP($E48,BDD!$A$1:$S$567,MATCH(G$10,BDD!$A$1:$P$1,0),FALSE)=0,"",VLOOKUP($E48,BDD!$A$1:$S$567,MATCH(G$10,BDD!$A$1:$P$1,0),FALSE)),"")</f>
        <v>Les organisations qui ont l'obligation de mettre à disposition certaines données en open data (conformité à la loi Lemaire), ont identifié les impacts de cette démarche sur la valorisation de leurs données.</v>
      </c>
      <c r="H48" s="85" t="str">
        <f>IF(VLOOKUP(E48,BDD!$A$1:$S$567,15,FALSE)=0,"Critère non évalué","")</f>
        <v>Critère non évalué</v>
      </c>
      <c r="I48" s="66" t="s">
        <v>22</v>
      </c>
      <c r="J48" s="86"/>
      <c r="K48" s="67" t="str">
        <f>IFERROR(IF(VLOOKUP($E48,BDD!$A$1:$S$567,MATCH(K$10,BDD!$A$1:$P$1,0),FALSE)=0,"",VLOOKUP($E48,BDD!$A$1:$S$567,MATCH(K$10,BDD!$A$1:$P$1,0),FALSE)),"")</f>
        <v>• Il existe une analyse d'impact formalisée sur le business de l'organisation.</v>
      </c>
      <c r="L48" s="68"/>
      <c r="M48" s="87"/>
      <c r="N48" s="87"/>
      <c r="O48" s="68"/>
      <c r="P48" s="298"/>
    </row>
    <row r="49" spans="1:16" ht="120" hidden="1" customHeight="1" x14ac:dyDescent="0.3">
      <c r="A49" s="298"/>
      <c r="B49" s="68"/>
      <c r="C49" s="68" t="str">
        <f t="shared" si="0"/>
        <v>5</v>
      </c>
      <c r="D49" s="68">
        <f t="shared" si="1"/>
        <v>3</v>
      </c>
      <c r="E49" s="84" t="str">
        <f t="shared" si="2"/>
        <v>536</v>
      </c>
      <c r="F49" s="64" t="s">
        <v>34</v>
      </c>
      <c r="G49" s="96" t="str">
        <f>IFERROR(IF(VLOOKUP($E49,BDD!$A$1:$S$567,MATCH(G$10,BDD!$A$1:$P$1,0),FALSE)=0,"",VLOOKUP($E49,BDD!$A$1:$S$567,MATCH(G$10,BDD!$A$1:$P$1,0),FALSE)),"")</f>
        <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298"/>
    </row>
    <row r="50" spans="1:16" ht="130.05000000000001" hidden="1" customHeight="1" x14ac:dyDescent="0.3">
      <c r="A50" s="298"/>
      <c r="B50" s="68"/>
      <c r="C50" s="68" t="str">
        <f t="shared" si="0"/>
        <v>5</v>
      </c>
      <c r="D50" s="68">
        <f t="shared" si="1"/>
        <v>3</v>
      </c>
      <c r="E50" s="84" t="str">
        <f t="shared" si="2"/>
        <v>537</v>
      </c>
      <c r="F50" s="66" t="s">
        <v>36</v>
      </c>
      <c r="G50" s="67" t="str">
        <f>IFERROR(IF(VLOOKUP($E50,BDD!$A$1:$S$567,MATCH(G$10,BDD!$A$1:$P$1,0),FALSE)=0,"",VLOOKUP($E50,BDD!$A$1:$S$567,MATCH(G$10,BDD!$A$1:$P$1,0),FALSE)),"")</f>
        <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298"/>
    </row>
    <row r="51" spans="1:16" ht="18" x14ac:dyDescent="0.35">
      <c r="A51" s="298"/>
      <c r="B51" s="68"/>
      <c r="C51" s="68" t="str">
        <f t="shared" si="0"/>
        <v>5</v>
      </c>
      <c r="D51" s="68"/>
      <c r="E51" s="84"/>
      <c r="F51" s="68"/>
      <c r="G51" s="69"/>
      <c r="H51" s="69"/>
      <c r="I51" s="69"/>
      <c r="J51" s="69"/>
      <c r="K51" s="69"/>
      <c r="L51" s="70"/>
      <c r="M51" s="68"/>
      <c r="N51" s="68"/>
      <c r="O51" s="68"/>
      <c r="P51" s="298"/>
    </row>
    <row r="52" spans="1:16" x14ac:dyDescent="0.3">
      <c r="A52" s="298"/>
      <c r="B52" s="68"/>
      <c r="C52" s="68" t="str">
        <f t="shared" si="0"/>
        <v>5</v>
      </c>
      <c r="D52" s="68">
        <f>IF(LEFT(F52,14)="Bonne pratique",D48+1,D48)</f>
        <v>3</v>
      </c>
      <c r="E52" s="84" t="str">
        <f t="shared" si="2"/>
        <v>53</v>
      </c>
      <c r="F52" s="68"/>
      <c r="G52" s="68"/>
      <c r="H52" s="68"/>
      <c r="I52" s="68"/>
      <c r="J52" s="68"/>
      <c r="K52" s="68"/>
      <c r="L52" s="68"/>
      <c r="M52" s="68"/>
      <c r="N52" s="68"/>
      <c r="O52" s="68"/>
      <c r="P52" s="298"/>
    </row>
    <row r="53" spans="1:16" ht="25.8" x14ac:dyDescent="0.5">
      <c r="A53" s="304"/>
      <c r="B53" s="74"/>
      <c r="C53" s="68" t="str">
        <f t="shared" si="0"/>
        <v>5</v>
      </c>
      <c r="D53" s="68">
        <f t="shared" si="1"/>
        <v>4</v>
      </c>
      <c r="E53" s="84" t="str">
        <f t="shared" si="2"/>
        <v>544</v>
      </c>
      <c r="F53" s="208" t="s">
        <v>502</v>
      </c>
      <c r="G53" s="75"/>
      <c r="H53" s="205"/>
      <c r="I53" s="73"/>
      <c r="J53" s="73" t="str">
        <f>VLOOKUP(E60,BDD!$A$2:$N$567,6,FALSE)</f>
        <v>Sécurisation</v>
      </c>
      <c r="K53" s="72"/>
      <c r="L53" s="75"/>
      <c r="M53" s="75"/>
      <c r="N53" s="75"/>
      <c r="O53" s="74"/>
      <c r="P53" s="304"/>
    </row>
    <row r="54" spans="1:16" x14ac:dyDescent="0.3">
      <c r="A54" s="298"/>
      <c r="B54" s="68"/>
      <c r="C54" s="68" t="str">
        <f t="shared" si="0"/>
        <v>5</v>
      </c>
      <c r="D54" s="68">
        <f t="shared" si="1"/>
        <v>4</v>
      </c>
      <c r="E54" s="84" t="str">
        <f t="shared" si="2"/>
        <v>54</v>
      </c>
      <c r="F54" s="68"/>
      <c r="G54" s="68"/>
      <c r="H54" s="68"/>
      <c r="I54" s="68"/>
      <c r="J54" s="68"/>
      <c r="K54" s="68"/>
      <c r="L54" s="68"/>
      <c r="M54" s="68"/>
      <c r="N54" s="68"/>
      <c r="O54" s="68"/>
      <c r="P54" s="298"/>
    </row>
    <row r="55" spans="1:16" ht="18" x14ac:dyDescent="0.35">
      <c r="A55" s="305"/>
      <c r="B55" s="76"/>
      <c r="C55" s="68" t="str">
        <f t="shared" si="0"/>
        <v>5</v>
      </c>
      <c r="D55" s="68">
        <f t="shared" si="1"/>
        <v>4</v>
      </c>
      <c r="E55" s="84" t="str">
        <f t="shared" si="2"/>
        <v>54</v>
      </c>
      <c r="F55" s="76"/>
      <c r="G55" s="76"/>
      <c r="H55" s="76"/>
      <c r="I55" s="77"/>
      <c r="J55" s="207" t="str">
        <f>IFERROR(_xlfn.TEXTBEFORE(VLOOKUP(E60,BDD!$A$2:$N$567,7,FALSE)," ",30),VLOOKUP(E60,BDD!$A$2:$N$567,7,FALSE))</f>
        <v>L’organisation a mis en place un dispositif pour protéger ses données.</v>
      </c>
      <c r="K55" s="77"/>
      <c r="L55" s="76"/>
      <c r="M55" s="76"/>
      <c r="N55" s="76"/>
      <c r="O55" s="76"/>
      <c r="P55" s="305"/>
    </row>
    <row r="56" spans="1:16" ht="18" x14ac:dyDescent="0.35">
      <c r="A56" s="298"/>
      <c r="B56" s="68"/>
      <c r="C56" s="68" t="str">
        <f t="shared" si="0"/>
        <v>5</v>
      </c>
      <c r="D56" s="68">
        <f t="shared" si="1"/>
        <v>4</v>
      </c>
      <c r="E56" s="84" t="str">
        <f t="shared" si="2"/>
        <v>54</v>
      </c>
      <c r="F56" s="68"/>
      <c r="G56" s="68"/>
      <c r="H56" s="68"/>
      <c r="I56" s="68"/>
      <c r="J56" s="207" t="str">
        <f>IFERROR(_xlfn.TEXTAFTER(VLOOKUP(E60,BDD!$A$2:$N$567,7,FALSE)," ",30),"")</f>
        <v/>
      </c>
      <c r="K56" s="68"/>
      <c r="L56" s="68"/>
      <c r="M56" s="68"/>
      <c r="N56" s="68"/>
      <c r="O56" s="68"/>
      <c r="P56" s="298"/>
    </row>
    <row r="57" spans="1:16" x14ac:dyDescent="0.3">
      <c r="A57" s="298"/>
      <c r="B57" s="68"/>
      <c r="C57" s="68" t="str">
        <f t="shared" si="0"/>
        <v>5</v>
      </c>
      <c r="D57" s="68">
        <f t="shared" si="1"/>
        <v>4</v>
      </c>
      <c r="E57" s="84" t="str">
        <f t="shared" si="2"/>
        <v>54</v>
      </c>
      <c r="F57" s="68"/>
      <c r="G57" s="68"/>
      <c r="H57" s="68"/>
      <c r="I57" s="68"/>
      <c r="J57" s="78"/>
      <c r="K57" s="68"/>
      <c r="L57" s="68"/>
      <c r="M57" s="619" t="s">
        <v>92</v>
      </c>
      <c r="N57" s="619"/>
      <c r="O57" s="68"/>
      <c r="P57" s="298"/>
    </row>
    <row r="58" spans="1:16" ht="33" x14ac:dyDescent="0.3">
      <c r="A58" s="298"/>
      <c r="B58" s="68"/>
      <c r="C58" s="68" t="str">
        <f t="shared" si="0"/>
        <v>5</v>
      </c>
      <c r="D58" s="68">
        <f t="shared" si="1"/>
        <v>4</v>
      </c>
      <c r="E58" s="84" t="str">
        <f t="shared" si="2"/>
        <v>54</v>
      </c>
      <c r="F58" s="79"/>
      <c r="G58" s="80" t="s">
        <v>561</v>
      </c>
      <c r="H58" s="80" t="s">
        <v>82</v>
      </c>
      <c r="I58" s="80" t="s">
        <v>83</v>
      </c>
      <c r="J58" s="80" t="s">
        <v>84</v>
      </c>
      <c r="K58" s="80" t="s">
        <v>85</v>
      </c>
      <c r="L58" s="78"/>
      <c r="M58" s="81" t="s">
        <v>86</v>
      </c>
      <c r="N58" s="82" t="s">
        <v>87</v>
      </c>
      <c r="O58" s="68"/>
      <c r="P58" s="298"/>
    </row>
    <row r="59" spans="1:16" x14ac:dyDescent="0.3">
      <c r="A59" s="298"/>
      <c r="B59" s="68"/>
      <c r="C59" s="68" t="str">
        <f t="shared" si="0"/>
        <v>5</v>
      </c>
      <c r="D59" s="68">
        <f t="shared" si="1"/>
        <v>4</v>
      </c>
      <c r="E59" s="84" t="str">
        <f t="shared" si="2"/>
        <v>54</v>
      </c>
      <c r="F59" s="68"/>
      <c r="G59" s="83"/>
      <c r="H59" s="83"/>
      <c r="I59" s="83"/>
      <c r="J59" s="68"/>
      <c r="K59" s="83"/>
      <c r="L59" s="68"/>
      <c r="M59" s="68"/>
      <c r="N59" s="68"/>
      <c r="O59" s="68"/>
      <c r="P59" s="298"/>
    </row>
    <row r="60" spans="1:16" ht="130.05000000000001" customHeight="1" x14ac:dyDescent="0.3">
      <c r="A60" s="298"/>
      <c r="B60" s="68"/>
      <c r="C60" s="68" t="str">
        <f t="shared" si="0"/>
        <v>5</v>
      </c>
      <c r="D60" s="68">
        <f t="shared" si="1"/>
        <v>4</v>
      </c>
      <c r="E60" s="84" t="str">
        <f t="shared" si="2"/>
        <v>541</v>
      </c>
      <c r="F60" s="66" t="s">
        <v>27</v>
      </c>
      <c r="G60" s="67" t="str">
        <f>IFERROR(IF(VLOOKUP($E60,BDD!$A$1:$S$567,MATCH(G$10,BDD!$A$1:$P$1,0),FALSE)=0,"",VLOOKUP($E60,BDD!$A$1:$S$567,MATCH(G$10,BDD!$A$1:$P$1,0),FALSE)),"")</f>
        <v>Une cartographie des risques est élaborée en fonction de la criticité des données.</v>
      </c>
      <c r="H60" s="85" t="str">
        <f>IF(VLOOKUP(E60,BDD!$A$1:$S$567,15,FALSE)=0,"Critère non évalué","")</f>
        <v>Critère non évalué</v>
      </c>
      <c r="I60" s="66" t="str">
        <f>IFERROR(IF(VLOOKUP($E60,BDD!$A$1:$S$567,MATCH(I$10,BDD!$A$1:$P$1,0),FALSE)=0,"",VLOOKUP($E60,BDD!$A$1:$S$567,MATCH(I$10,BDD!$A$1:$P$1,0),FALSE)),"")</f>
        <v>N2</v>
      </c>
      <c r="J60" s="86"/>
      <c r="K60" s="67" t="str">
        <f>IFERROR(IF(VLOOKUP($E60,BDD!$A$1:$S$567,MATCH(K$10,BDD!$A$1:$P$1,0),FALSE)=0,"",VLOOKUP($E60,BDD!$A$1:$S$567,MATCH(K$10,BDD!$A$1:$P$1,0),FALSE)),"")</f>
        <v>• Une méthodologie de gestion des risques, connue et partagée au sein de l'organisation, est en place.</v>
      </c>
      <c r="L60" s="68"/>
      <c r="M60" s="87"/>
      <c r="N60" s="87"/>
      <c r="O60" s="68"/>
      <c r="P60" s="298"/>
    </row>
    <row r="61" spans="1:16" ht="130.05000000000001" customHeight="1" x14ac:dyDescent="0.3">
      <c r="A61" s="298"/>
      <c r="B61" s="68"/>
      <c r="C61" s="68" t="str">
        <f t="shared" si="0"/>
        <v>5</v>
      </c>
      <c r="D61" s="68">
        <f t="shared" si="1"/>
        <v>4</v>
      </c>
      <c r="E61" s="84" t="str">
        <f t="shared" si="2"/>
        <v>542</v>
      </c>
      <c r="F61" s="94" t="s">
        <v>28</v>
      </c>
      <c r="G61" s="65" t="str">
        <f>IFERROR(IF(VLOOKUP($E61,BDD!$A$1:$S$567,MATCH(G$10,BDD!$A$1:$P$1,0),FALSE)=0,"",VLOOKUP($E61,BDD!$A$1:$S$567,MATCH(G$10,BDD!$A$1:$P$1,0),FALSE)),"")</f>
        <v>L'organisation s'assure de la conformité avec l'ensemble des réglementations relatives aux données (par exemple : Data Act, RGPD, DORA, NIS 2, IA Act, et toutes les réglementations sectorielles spécifiques).</v>
      </c>
      <c r="H61" s="88" t="str">
        <f>IF(VLOOKUP(E61,BDD!$A$1:$S$567,15,FALSE)=0,"Critère non évalué","")</f>
        <v>Critère non évalué</v>
      </c>
      <c r="I61" s="64" t="str">
        <f>IFERROR(IF(VLOOKUP($E61,BDD!$A$1:$S$567,MATCH(I$10,BDD!$A$1:$P$1,0),FALSE)=0,"",VLOOKUP($E61,BDD!$A$1:$S$567,MATCH(I$10,BDD!$A$1:$P$1,0),FALSE)),"")</f>
        <v>N1</v>
      </c>
      <c r="J61" s="89"/>
      <c r="K61" s="65" t="str">
        <f>IFERROR(IF(VLOOKUP($E61,BDD!$A$1:$S$567,MATCH(K$10,BDD!$A$1:$P$1,0),FALSE)=0,"",VLOOKUP($E61,BDD!$A$1:$S$567,MATCH(K$10,BDD!$A$1:$P$1,0),FALSE)),"")</f>
        <v/>
      </c>
      <c r="L61" s="68"/>
      <c r="M61" s="90"/>
      <c r="N61" s="90"/>
      <c r="O61" s="68"/>
      <c r="P61" s="298"/>
    </row>
    <row r="62" spans="1:16" ht="130.05000000000001" customHeight="1" x14ac:dyDescent="0.3">
      <c r="A62" s="298"/>
      <c r="B62" s="68"/>
      <c r="C62" s="68" t="str">
        <f t="shared" si="0"/>
        <v>5</v>
      </c>
      <c r="D62" s="68">
        <f>IF(LEFT(F62,14)="Bonne pratique",D61+1,D61)</f>
        <v>4</v>
      </c>
      <c r="E62" s="84" t="str">
        <f t="shared" si="2"/>
        <v>543</v>
      </c>
      <c r="F62" s="66" t="s">
        <v>30</v>
      </c>
      <c r="G62" s="67" t="str">
        <f>IFERROR(IF(VLOOKUP($E62,BDD!$A$1:$S$567,MATCH(G$10,BDD!$A$1:$P$1,0),FALSE)=0,"",VLOOKUP($E62,BDD!$A$1:$S$567,MATCH(G$10,BDD!$A$1:$P$1,0),FALSE)),"")</f>
        <v>Des dispositifs de couverture des risques sont mis en place en fonction de la criticité et de l'évaluation des menaces sur les données. </v>
      </c>
      <c r="H62" s="85" t="str">
        <f>IF(VLOOKUP(E62,BDD!$A$1:$S$567,15,FALSE)=0,"Critère non évalué","")</f>
        <v>Critère non évalué</v>
      </c>
      <c r="I62" s="66" t="str">
        <f>IFERROR(IF(VLOOKUP($E62,BDD!$A$1:$S$567,MATCH(I$10,BDD!$A$1:$P$1,0),FALSE)=0,"",VLOOKUP($E62,BDD!$A$1:$S$567,MATCH(I$10,BDD!$A$1:$P$1,0),FALSE)),"")</f>
        <v>N3</v>
      </c>
      <c r="J62" s="86"/>
      <c r="K62" s="67" t="str">
        <f>IFERROR(IF(VLOOKUP($E62,BDD!$A$1:$S$567,MATCH(K$10,BDD!$A$1:$P$1,0),FALSE)=0,"",VLOOKUP($E62,BDD!$A$1:$S$567,MATCH(K$10,BDD!$A$1:$P$1,0),FALSE)),"")</f>
        <v>• Un plan d'action ou de remédiation est disponible.
 • Ces dispositifs incluent des solutions techniques adaptées aux risques identifiés</v>
      </c>
      <c r="L62" s="68"/>
      <c r="M62" s="87"/>
      <c r="N62" s="87"/>
      <c r="O62" s="68"/>
      <c r="P62" s="298"/>
    </row>
    <row r="63" spans="1:16" ht="130.05000000000001" customHeight="1" x14ac:dyDescent="0.3">
      <c r="A63" s="298"/>
      <c r="B63" s="68"/>
      <c r="C63" s="68" t="str">
        <f t="shared" si="0"/>
        <v>5</v>
      </c>
      <c r="D63" s="68">
        <f t="shared" si="1"/>
        <v>4</v>
      </c>
      <c r="E63" s="84" t="str">
        <f t="shared" si="2"/>
        <v>544</v>
      </c>
      <c r="F63" s="64" t="s">
        <v>32</v>
      </c>
      <c r="G63" s="65" t="str">
        <f>IFERROR(IF(VLOOKUP($E63,BDD!$A$1:$S$567,MATCH(G$10,BDD!$A$1:$P$1,0),FALSE)=0,"",VLOOKUP($E63,BDD!$A$1:$S$567,MATCH(G$10,BDD!$A$1:$P$1,0),FALSE)),"")</f>
        <v>L'organisation sensibilise ses collaborateurs, y compris la direction générale, à la protection des données et aux dispositifs de couverture de risques.</v>
      </c>
      <c r="H63" s="88" t="str">
        <f>IF(VLOOKUP(E63,BDD!$A$1:$S$567,15,FALSE)=0,"Critère non évalué","")</f>
        <v>Critère non évalué</v>
      </c>
      <c r="I63" s="64" t="str">
        <f>IFERROR(IF(VLOOKUP($E63,BDD!$A$1:$S$567,MATCH(I$10,BDD!$A$1:$P$1,0),FALSE)=0,"",VLOOKUP($E63,BDD!$A$1:$S$567,MATCH(I$10,BDD!$A$1:$P$1,0),FALSE)),"")</f>
        <v>N1</v>
      </c>
      <c r="J63" s="91"/>
      <c r="K63" s="65" t="str">
        <f>IFERROR(IF(VLOOKUP($E63,BDD!$A$1:$S$567,MATCH(K$10,BDD!$A$1:$P$1,0),FALSE)=0,"",VLOOKUP($E63,BDD!$A$1:$S$567,MATCH(K$10,BDD!$A$1:$P$1,0),FALSE)),"")</f>
        <v>• Il existe un plan de communication et de sensibilisation à cette fin.</v>
      </c>
      <c r="L63" s="68"/>
      <c r="M63" s="90"/>
      <c r="N63" s="90"/>
      <c r="O63" s="68"/>
      <c r="P63" s="298"/>
    </row>
    <row r="64" spans="1:16" ht="130.05000000000001" customHeight="1" x14ac:dyDescent="0.3">
      <c r="A64" s="298"/>
      <c r="B64" s="68"/>
      <c r="C64" s="68" t="str">
        <f t="shared" si="0"/>
        <v>5</v>
      </c>
      <c r="D64" s="68">
        <f t="shared" si="1"/>
        <v>4</v>
      </c>
      <c r="E64" s="84" t="str">
        <f t="shared" si="2"/>
        <v>545</v>
      </c>
      <c r="F64" s="66" t="s">
        <v>33</v>
      </c>
      <c r="G64" s="67" t="str">
        <f>IFERROR(IF(VLOOKUP($E64,BDD!$A$1:$S$567,MATCH(G$10,BDD!$A$1:$P$1,0),FALSE)=0,"",VLOOKUP($E64,BDD!$A$1:$S$567,MATCH(G$10,BDD!$A$1:$P$1,0),FALSE)),"")</f>
        <v>L'organisation prend en compte les aspects de sécurité et de conformité des données, quelle que soit leur localisation, et en particulier lorsqu'elle utilise le cloud (sauvegarde, propriété des données, contractualisation, type de cloud, criticité des données, réversibilité, audit, localisation des données, etc.). </v>
      </c>
      <c r="H64" s="85" t="str">
        <f>IF(VLOOKUP(E64,BDD!$A$1:$S$567,15,FALSE)=0,"Critère non évalué","")</f>
        <v>Critère non évalué</v>
      </c>
      <c r="I64" s="66" t="str">
        <f>IFERROR(IF(VLOOKUP($E64,BDD!$A$1:$S$567,MATCH(I$10,BDD!$A$1:$P$1,0),FALSE)=0,"",VLOOKUP($E64,BDD!$A$1:$S$567,MATCH(I$10,BDD!$A$1:$P$1,0),FALSE)),"")</f>
        <v>N1</v>
      </c>
      <c r="J64" s="86"/>
      <c r="K64" s="67" t="str">
        <f>IFERROR(IF(VLOOKUP($E64,BDD!$A$1:$S$567,MATCH(K$10,BDD!$A$1:$P$1,0),FALSE)=0,"",VLOOKUP($E64,BDD!$A$1:$S$567,MATCH(K$10,BDD!$A$1:$P$1,0),FALSE)),"")</f>
        <v/>
      </c>
      <c r="L64" s="68"/>
      <c r="M64" s="82"/>
      <c r="N64" s="82"/>
      <c r="O64" s="68"/>
      <c r="P64" s="298"/>
    </row>
    <row r="65" spans="1:16" ht="130.05000000000001" hidden="1" customHeight="1" x14ac:dyDescent="0.3">
      <c r="A65" s="298"/>
      <c r="B65" s="68"/>
      <c r="C65" s="68" t="str">
        <f t="shared" si="0"/>
        <v>5</v>
      </c>
      <c r="D65" s="68">
        <f t="shared" si="1"/>
        <v>4</v>
      </c>
      <c r="E65" s="84" t="str">
        <f t="shared" si="2"/>
        <v>546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xml:space="preserve"> </v>
      </c>
      <c r="J65" s="206"/>
      <c r="K65" s="96" t="str">
        <f>IFERROR(IF(VLOOKUP($E65,BDD!$A$1:$S$567,MATCH(K$10,BDD!$A$1:$P$1,0),FALSE)=0,"",VLOOKUP($E65,BDD!$A$1:$S$567,MATCH(K$10,BDD!$A$1:$P$1,0),FALSE)),"")</f>
        <v/>
      </c>
      <c r="L65" s="68"/>
      <c r="M65" s="90"/>
      <c r="N65" s="90"/>
      <c r="O65" s="68"/>
      <c r="P65" s="298"/>
    </row>
    <row r="66" spans="1:16" ht="130.05000000000001" hidden="1" customHeight="1" x14ac:dyDescent="0.3">
      <c r="A66" s="298"/>
      <c r="B66" s="68"/>
      <c r="C66" s="68" t="str">
        <f t="shared" si="0"/>
        <v>5</v>
      </c>
      <c r="D66" s="68">
        <f t="shared" si="1"/>
        <v>4</v>
      </c>
      <c r="E66" s="84" t="str">
        <f t="shared" si="2"/>
        <v>547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298"/>
    </row>
    <row r="67" spans="1:16" x14ac:dyDescent="0.3">
      <c r="A67" s="298"/>
      <c r="B67" s="68"/>
      <c r="C67" s="68" t="str">
        <f t="shared" si="0"/>
        <v>5</v>
      </c>
      <c r="D67" s="68">
        <f t="shared" si="1"/>
        <v>4</v>
      </c>
      <c r="E67" s="84" t="str">
        <f t="shared" si="2"/>
        <v>54</v>
      </c>
      <c r="F67" s="68"/>
      <c r="G67" s="68"/>
      <c r="H67" s="68"/>
      <c r="I67" s="68"/>
      <c r="J67" s="68"/>
      <c r="K67" s="68"/>
      <c r="L67" s="68"/>
      <c r="M67" s="68"/>
      <c r="N67" s="68"/>
      <c r="O67" s="68"/>
      <c r="P67" s="298"/>
    </row>
    <row r="68" spans="1:16" x14ac:dyDescent="0.3">
      <c r="A68" s="298"/>
      <c r="B68" s="68"/>
      <c r="C68" s="68" t="str">
        <f t="shared" si="0"/>
        <v>5</v>
      </c>
      <c r="D68" s="68"/>
      <c r="E68" s="84"/>
      <c r="F68" s="68"/>
      <c r="G68" s="68"/>
      <c r="H68" s="68"/>
      <c r="I68" s="68"/>
      <c r="J68" s="68"/>
      <c r="K68" s="68"/>
      <c r="L68" s="68"/>
      <c r="M68" s="68"/>
      <c r="N68" s="68"/>
      <c r="O68" s="68"/>
      <c r="P68" s="298"/>
    </row>
    <row r="69" spans="1:16" x14ac:dyDescent="0.3">
      <c r="A69" s="298"/>
      <c r="B69" s="68"/>
      <c r="C69" s="68" t="str">
        <f t="shared" si="0"/>
        <v>5</v>
      </c>
      <c r="D69" s="68"/>
      <c r="E69" s="84"/>
      <c r="F69" s="68"/>
      <c r="G69" s="68"/>
      <c r="H69" s="68"/>
      <c r="I69" s="68"/>
      <c r="J69" s="68"/>
      <c r="K69" s="68"/>
      <c r="L69" s="68"/>
      <c r="M69" s="68"/>
      <c r="N69" s="68"/>
      <c r="O69" s="68"/>
      <c r="P69" s="298"/>
    </row>
    <row r="70" spans="1:16" x14ac:dyDescent="0.3">
      <c r="A70" s="298"/>
      <c r="B70" s="68"/>
      <c r="C70" s="68" t="str">
        <f t="shared" ref="C70:C115" si="3">IF(LEFT(RIGHT($B$1,2),1)=" ",RIGHT($B$1,1),RIGHT($B$1,2))</f>
        <v>5</v>
      </c>
      <c r="D70" s="68"/>
      <c r="E70" s="84"/>
      <c r="F70" s="68"/>
      <c r="G70" s="68"/>
      <c r="H70" s="68"/>
      <c r="I70" s="68"/>
      <c r="J70" s="68"/>
      <c r="K70" s="68"/>
      <c r="L70" s="68"/>
      <c r="M70" s="68"/>
      <c r="N70" s="68"/>
      <c r="O70" s="68"/>
      <c r="P70" s="298"/>
    </row>
    <row r="71" spans="1:16" ht="25.8" x14ac:dyDescent="0.5">
      <c r="A71" s="304"/>
      <c r="B71" s="74"/>
      <c r="C71" s="68" t="str">
        <f t="shared" si="3"/>
        <v>5</v>
      </c>
      <c r="D71" s="68">
        <f>IF(LEFT(F71,14)="Bonne pratique",D67+1,D67)</f>
        <v>5</v>
      </c>
      <c r="E71" s="84" t="str">
        <f t="shared" si="2"/>
        <v>555</v>
      </c>
      <c r="F71" s="208" t="s">
        <v>503</v>
      </c>
      <c r="G71" s="75"/>
      <c r="H71" s="205"/>
      <c r="I71" s="73"/>
      <c r="J71" s="73" t="str">
        <f>VLOOKUP(E78,BDD!$A$2:$N$567,6,FALSE)</f>
        <v>Intelligence artificielle</v>
      </c>
      <c r="K71" s="72"/>
      <c r="L71" s="75"/>
      <c r="M71" s="75"/>
      <c r="N71" s="75"/>
      <c r="O71" s="74"/>
      <c r="P71" s="304"/>
    </row>
    <row r="72" spans="1:16" x14ac:dyDescent="0.3">
      <c r="A72" s="298"/>
      <c r="B72" s="68"/>
      <c r="C72" s="68" t="str">
        <f t="shared" si="3"/>
        <v>5</v>
      </c>
      <c r="D72" s="68">
        <f t="shared" ref="D72:D84" si="4">IF(LEFT(F72,14)="Bonne pratique",D71+1,D71)</f>
        <v>5</v>
      </c>
      <c r="E72" s="84" t="str">
        <f t="shared" si="2"/>
        <v>55</v>
      </c>
      <c r="F72" s="68"/>
      <c r="G72" s="68"/>
      <c r="H72" s="68"/>
      <c r="I72" s="68"/>
      <c r="J72" s="68"/>
      <c r="K72" s="68"/>
      <c r="L72" s="68"/>
      <c r="M72" s="68"/>
      <c r="N72" s="68"/>
      <c r="O72" s="68"/>
      <c r="P72" s="298"/>
    </row>
    <row r="73" spans="1:16" ht="18" x14ac:dyDescent="0.35">
      <c r="A73" s="305"/>
      <c r="B73" s="76"/>
      <c r="C73" s="68" t="str">
        <f t="shared" si="3"/>
        <v>5</v>
      </c>
      <c r="D73" s="68">
        <f t="shared" si="4"/>
        <v>5</v>
      </c>
      <c r="E73" s="84" t="str">
        <f t="shared" si="2"/>
        <v>55</v>
      </c>
      <c r="F73" s="76"/>
      <c r="G73" s="76"/>
      <c r="H73" s="76"/>
      <c r="I73" s="77"/>
      <c r="J73" s="207" t="str">
        <f>IFERROR(_xlfn.TEXTBEFORE(VLOOKUP(E78,BDD!$A$2:$N$567,7,FALSE)," ",30),VLOOKUP(E78,BDD!$A$2:$N$567,7,FALSE))</f>
        <v>L'organisation maîtrise l'exploitation de ses données par l'IA pour atteindre ses objectifs stratégiques.</v>
      </c>
      <c r="K73" s="77"/>
      <c r="L73" s="76"/>
      <c r="M73" s="76"/>
      <c r="N73" s="76"/>
      <c r="O73" s="76"/>
      <c r="P73" s="305"/>
    </row>
    <row r="74" spans="1:16" ht="18" x14ac:dyDescent="0.35">
      <c r="A74" s="298"/>
      <c r="B74" s="68"/>
      <c r="C74" s="68" t="str">
        <f t="shared" si="3"/>
        <v>5</v>
      </c>
      <c r="D74" s="68">
        <f t="shared" si="4"/>
        <v>5</v>
      </c>
      <c r="E74" s="84" t="str">
        <f t="shared" si="2"/>
        <v>55</v>
      </c>
      <c r="F74" s="68"/>
      <c r="G74" s="68"/>
      <c r="H74" s="68"/>
      <c r="I74" s="68"/>
      <c r="J74" s="207" t="str">
        <f>IFERROR(_xlfn.TEXTAFTER(VLOOKUP(E78,BDD!$A$2:$N$567,7,FALSE)," ",30),"")</f>
        <v/>
      </c>
      <c r="K74" s="68"/>
      <c r="L74" s="68"/>
      <c r="M74" s="68"/>
      <c r="N74" s="68"/>
      <c r="O74" s="68"/>
      <c r="P74" s="298"/>
    </row>
    <row r="75" spans="1:16" x14ac:dyDescent="0.3">
      <c r="A75" s="298"/>
      <c r="B75" s="68"/>
      <c r="C75" s="68" t="str">
        <f t="shared" si="3"/>
        <v>5</v>
      </c>
      <c r="D75" s="68">
        <f t="shared" si="4"/>
        <v>5</v>
      </c>
      <c r="E75" s="84" t="str">
        <f t="shared" si="2"/>
        <v>55</v>
      </c>
      <c r="F75" s="68"/>
      <c r="G75" s="68"/>
      <c r="H75" s="68"/>
      <c r="I75" s="68"/>
      <c r="J75" s="78"/>
      <c r="K75" s="68"/>
      <c r="L75" s="68"/>
      <c r="M75" s="619" t="s">
        <v>92</v>
      </c>
      <c r="N75" s="619"/>
      <c r="O75" s="68"/>
      <c r="P75" s="298"/>
    </row>
    <row r="76" spans="1:16" ht="33" x14ac:dyDescent="0.3">
      <c r="A76" s="298"/>
      <c r="B76" s="68"/>
      <c r="C76" s="68" t="str">
        <f t="shared" si="3"/>
        <v>5</v>
      </c>
      <c r="D76" s="68">
        <f t="shared" si="4"/>
        <v>5</v>
      </c>
      <c r="E76" s="84" t="str">
        <f t="shared" si="2"/>
        <v>55</v>
      </c>
      <c r="F76" s="93"/>
      <c r="G76" s="80" t="s">
        <v>561</v>
      </c>
      <c r="H76" s="80" t="s">
        <v>82</v>
      </c>
      <c r="I76" s="80" t="s">
        <v>83</v>
      </c>
      <c r="J76" s="80" t="s">
        <v>84</v>
      </c>
      <c r="K76" s="80" t="s">
        <v>85</v>
      </c>
      <c r="L76" s="78"/>
      <c r="M76" s="81" t="s">
        <v>86</v>
      </c>
      <c r="N76" s="82" t="s">
        <v>87</v>
      </c>
      <c r="O76" s="68"/>
      <c r="P76" s="298"/>
    </row>
    <row r="77" spans="1:16" x14ac:dyDescent="0.3">
      <c r="A77" s="298"/>
      <c r="B77" s="68"/>
      <c r="C77" s="68" t="str">
        <f t="shared" si="3"/>
        <v>5</v>
      </c>
      <c r="D77" s="68">
        <f t="shared" si="4"/>
        <v>5</v>
      </c>
      <c r="E77" s="84" t="str">
        <f t="shared" si="2"/>
        <v>55</v>
      </c>
      <c r="F77" s="68"/>
      <c r="G77" s="83"/>
      <c r="H77" s="83"/>
      <c r="I77" s="83"/>
      <c r="J77" s="68"/>
      <c r="K77" s="83"/>
      <c r="L77" s="68"/>
      <c r="M77" s="68"/>
      <c r="N77" s="68"/>
      <c r="O77" s="68"/>
      <c r="P77" s="298"/>
    </row>
    <row r="78" spans="1:16" ht="130.05000000000001" customHeight="1" x14ac:dyDescent="0.3">
      <c r="A78" s="298"/>
      <c r="B78" s="68"/>
      <c r="C78" s="68" t="str">
        <f t="shared" si="3"/>
        <v>5</v>
      </c>
      <c r="D78" s="68">
        <f t="shared" si="4"/>
        <v>5</v>
      </c>
      <c r="E78" s="84" t="str">
        <f t="shared" si="2"/>
        <v>551</v>
      </c>
      <c r="F78" s="66" t="s">
        <v>27</v>
      </c>
      <c r="G78" s="67" t="str">
        <f>IFERROR(IF(VLOOKUP($E78,BDD!$A$1:$S$567,MATCH(G$10,BDD!$A$1:$P$1,0),FALSE)=0,"",VLOOKUP($E78,BDD!$A$1:$S$567,MATCH(G$10,BDD!$A$1:$P$1,0),FALSE)),"")</f>
        <v>L'organisation a défini une politique concernant l’utilisation de l’IA (générative et agentique). Cette politique établit les principes d’usage des outils, des données et des contextes. Elle intègre des dimensions d’éthique et de conformité.</v>
      </c>
      <c r="H78" s="85" t="str">
        <f>IF(VLOOKUP(E78,BDD!$A$1:$S$567,15,FALSE)=0,"Critère non évalué","")</f>
        <v>Critère non évalué</v>
      </c>
      <c r="I78" s="66" t="str">
        <f>IFERROR(IF(VLOOKUP($E78,BDD!$A$1:$S$567,MATCH(I$10,BDD!$A$1:$P$1,0),FALSE)=0,"",VLOOKUP($E78,BDD!$A$1:$S$567,MATCH(I$10,BDD!$A$1:$P$1,0),FALSE)),"")</f>
        <v>N3</v>
      </c>
      <c r="J78" s="86"/>
      <c r="K78" s="67" t="str">
        <f>IFERROR(IF(VLOOKUP($E78,BDD!$A$1:$S$567,MATCH(K$10,BDD!$A$1:$P$1,0),FALSE)=0,"",VLOOKUP($E78,BDD!$A$1:$S$567,MATCH(K$10,BDD!$A$1:$P$1,0),FALSE)),"")</f>
        <v/>
      </c>
      <c r="L78" s="68"/>
      <c r="M78" s="87"/>
      <c r="N78" s="87"/>
      <c r="O78" s="68"/>
      <c r="P78" s="298"/>
    </row>
    <row r="79" spans="1:16" ht="130.05000000000001" customHeight="1" x14ac:dyDescent="0.3">
      <c r="A79" s="298"/>
      <c r="B79" s="68"/>
      <c r="C79" s="68" t="str">
        <f t="shared" si="3"/>
        <v>5</v>
      </c>
      <c r="D79" s="68">
        <f t="shared" si="4"/>
        <v>5</v>
      </c>
      <c r="E79" s="84" t="str">
        <f t="shared" si="2"/>
        <v>552</v>
      </c>
      <c r="F79" s="94" t="s">
        <v>28</v>
      </c>
      <c r="G79" s="65" t="str">
        <f>IFERROR(IF(VLOOKUP($E79,BDD!$A$1:$S$567,MATCH(G$10,BDD!$A$1:$P$1,0),FALSE)=0,"",VLOOKUP($E79,BDD!$A$1:$S$567,MATCH(G$10,BDD!$A$1:$P$1,0),FALSE)),"")</f>
        <v>Cette politique est partagée avec les métiers et utilisée pour la sensibilisation des utilisateurs à l’usage de l’IA.</v>
      </c>
      <c r="H79" s="88" t="str">
        <f>IF(VLOOKUP(E79,BDD!$A$1:$S$567,15,FALSE)=0,"Critère non évalué","")</f>
        <v>Critère non évalué</v>
      </c>
      <c r="I79" s="64" t="str">
        <f>IFERROR(IF(VLOOKUP($E79,BDD!$A$1:$S$567,MATCH(I$10,BDD!$A$1:$P$1,0),FALSE)=0,"",VLOOKUP($E79,BDD!$A$1:$S$567,MATCH(I$10,BDD!$A$1:$P$1,0),FALSE)),"")</f>
        <v>N3</v>
      </c>
      <c r="J79" s="89"/>
      <c r="K79" s="65" t="str">
        <f>IFERROR(IF(VLOOKUP($E79,BDD!$A$1:$S$567,MATCH(K$10,BDD!$A$1:$P$1,0),FALSE)=0,"",VLOOKUP($E79,BDD!$A$1:$S$567,MATCH(K$10,BDD!$A$1:$P$1,0),FALSE)),"")</f>
        <v/>
      </c>
      <c r="L79" s="68"/>
      <c r="M79" s="90"/>
      <c r="N79" s="90"/>
      <c r="O79" s="68"/>
      <c r="P79" s="298"/>
    </row>
    <row r="80" spans="1:16" ht="130.05000000000001" customHeight="1" x14ac:dyDescent="0.3">
      <c r="A80" s="298"/>
      <c r="B80" s="68"/>
      <c r="C80" s="68" t="str">
        <f t="shared" si="3"/>
        <v>5</v>
      </c>
      <c r="D80" s="68">
        <f t="shared" si="4"/>
        <v>5</v>
      </c>
      <c r="E80" s="84" t="str">
        <f t="shared" si="2"/>
        <v>553</v>
      </c>
      <c r="F80" s="66" t="s">
        <v>30</v>
      </c>
      <c r="G80" s="67" t="str">
        <f>IFERROR(IF(VLOOKUP($E80,BDD!$A$1:$S$567,MATCH(G$10,BDD!$A$1:$P$1,0),FALSE)=0,"",VLOOKUP($E80,BDD!$A$1:$S$567,MATCH(G$10,BDD!$A$1:$P$1,0),FALSE)),"")</f>
        <v>La politique est régulièrement mise à jour, en s’appuyant sur la veille règlementaire et technologique de l'organisation. </v>
      </c>
      <c r="H80" s="85" t="str">
        <f>IF(VLOOKUP(E80,BDD!$A$1:$S$567,15,FALSE)=0,"Critère non évalué","")</f>
        <v>Critère non évalué</v>
      </c>
      <c r="I80" s="66" t="str">
        <f>IFERROR(IF(VLOOKUP($E80,BDD!$A$1:$S$567,MATCH(I$10,BDD!$A$1:$P$1,0),FALSE)=0,"",VLOOKUP($E80,BDD!$A$1:$S$567,MATCH(I$10,BDD!$A$1:$P$1,0),FALSE)),"")</f>
        <v>N4</v>
      </c>
      <c r="J80" s="86"/>
      <c r="K80" s="67" t="str">
        <f>IFERROR(IF(VLOOKUP($E80,BDD!$A$1:$S$567,MATCH(K$10,BDD!$A$1:$P$1,0),FALSE)=0,"",VLOOKUP($E80,BDD!$A$1:$S$567,MATCH(K$10,BDD!$A$1:$P$1,0),FALSE)),"")</f>
        <v/>
      </c>
      <c r="L80" s="68"/>
      <c r="M80" s="87"/>
      <c r="N80" s="87"/>
      <c r="O80" s="68"/>
      <c r="P80" s="298"/>
    </row>
    <row r="81" spans="1:16" ht="130.05000000000001" customHeight="1" x14ac:dyDescent="0.3">
      <c r="A81" s="298"/>
      <c r="B81" s="68"/>
      <c r="C81" s="68" t="str">
        <f t="shared" si="3"/>
        <v>5</v>
      </c>
      <c r="D81" s="68">
        <f t="shared" si="4"/>
        <v>5</v>
      </c>
      <c r="E81" s="84" t="str">
        <f t="shared" si="2"/>
        <v>554</v>
      </c>
      <c r="F81" s="64" t="s">
        <v>32</v>
      </c>
      <c r="G81" s="65" t="str">
        <f>IFERROR(IF(VLOOKUP($E81,BDD!$A$1:$S$567,MATCH(G$10,BDD!$A$1:$P$1,0),FALSE)=0,"",VLOOKUP($E81,BDD!$A$1:$S$567,MATCH(G$10,BDD!$A$1:$P$1,0),FALSE)),"")</f>
        <v>Des critères spécifiques à l’IA sont intégrés dans les processus de décision relatifs aux investissements.</v>
      </c>
      <c r="H81" s="88" t="str">
        <f>IF(VLOOKUP(E81,BDD!$A$1:$S$567,15,FALSE)=0,"Critère non évalué","")</f>
        <v>Critère non évalué</v>
      </c>
      <c r="I81" s="64" t="str">
        <f>IFERROR(IF(VLOOKUP($E81,BDD!$A$1:$S$567,MATCH(I$10,BDD!$A$1:$P$1,0),FALSE)=0,"",VLOOKUP($E81,BDD!$A$1:$S$567,MATCH(I$10,BDD!$A$1:$P$1,0),FALSE)),"")</f>
        <v>N4</v>
      </c>
      <c r="J81" s="91"/>
      <c r="K81" s="65" t="str">
        <f>IFERROR(IF(VLOOKUP($E81,BDD!$A$1:$S$567,MATCH(K$10,BDD!$A$1:$P$1,0),FALSE)=0,"",VLOOKUP($E81,BDD!$A$1:$S$567,MATCH(K$10,BDD!$A$1:$P$1,0),FALSE)),"")</f>
        <v/>
      </c>
      <c r="L81" s="68"/>
      <c r="M81" s="90"/>
      <c r="N81" s="90"/>
      <c r="O81" s="68"/>
      <c r="P81" s="298"/>
    </row>
    <row r="82" spans="1:16" ht="130.05000000000001" customHeight="1" x14ac:dyDescent="0.3">
      <c r="A82" s="298"/>
      <c r="B82" s="68"/>
      <c r="C82" s="68" t="str">
        <f t="shared" si="3"/>
        <v>5</v>
      </c>
      <c r="D82" s="68">
        <f t="shared" si="4"/>
        <v>5</v>
      </c>
      <c r="E82" s="84" t="str">
        <f t="shared" si="2"/>
        <v>555</v>
      </c>
      <c r="F82" s="66" t="s">
        <v>33</v>
      </c>
      <c r="G82" s="67" t="str">
        <f>IFERROR(IF(VLOOKUP($E82,BDD!$A$1:$S$567,MATCH(G$10,BDD!$A$1:$P$1,0),FALSE)=0,"",VLOOKUP($E82,BDD!$A$1:$S$567,MATCH(G$10,BDD!$A$1:$P$1,0),FALSE)),"")</f>
        <v>Des actions de promotion de l’IA sont menées auprès des collaborateurs, avec des retours d’expérience (REX) et des sessions de partage pour promouvoir les bons usages.</v>
      </c>
      <c r="H82" s="85" t="str">
        <f>IF(VLOOKUP(E82,BDD!$A$1:$S$567,15,FALSE)=0,"Critère non évalué","")</f>
        <v>Critère non évalué</v>
      </c>
      <c r="I82" s="66" t="str">
        <f>IFERROR(IF(VLOOKUP($E82,BDD!$A$1:$S$567,MATCH(I$10,BDD!$A$1:$P$1,0),FALSE)=0,"",VLOOKUP($E82,BDD!$A$1:$S$567,MATCH(I$10,BDD!$A$1:$P$1,0),FALSE)),"")</f>
        <v>N4</v>
      </c>
      <c r="J82" s="86"/>
      <c r="K82" s="67" t="str">
        <f>IFERROR(IF(VLOOKUP($E82,BDD!$A$1:$S$567,MATCH(K$10,BDD!$A$1:$P$1,0),FALSE)=0,"",VLOOKUP($E82,BDD!$A$1:$S$567,MATCH(K$10,BDD!$A$1:$P$1,0),FALSE)),"")</f>
        <v/>
      </c>
      <c r="L82" s="68"/>
      <c r="M82" s="82"/>
      <c r="N82" s="82"/>
      <c r="O82" s="68"/>
      <c r="P82" s="298"/>
    </row>
    <row r="83" spans="1:16" ht="130.05000000000001" customHeight="1" x14ac:dyDescent="0.3">
      <c r="A83" s="298"/>
      <c r="B83" s="68"/>
      <c r="C83" s="68" t="str">
        <f t="shared" si="3"/>
        <v>5</v>
      </c>
      <c r="D83" s="68">
        <f t="shared" si="4"/>
        <v>5</v>
      </c>
      <c r="E83" s="84" t="str">
        <f>C83&amp;D83&amp;RIGHT(F83,1)</f>
        <v>556</v>
      </c>
      <c r="F83" s="64" t="s">
        <v>34</v>
      </c>
      <c r="G83" s="65" t="str">
        <f>IFERROR(IF(VLOOKUP($E83,BDD!$A$1:$S$567,MATCH(G$10,BDD!$A$1:$P$1,0),FALSE)=0,"",VLOOKUP($E83,BDD!$A$1:$S$567,MATCH(G$10,BDD!$A$1:$P$1,0),FALSE)),"")</f>
        <v>Les compétences en IA sont valorisées et gérées au sein de l'organisation à travers des plans de formation spécifiques.</v>
      </c>
      <c r="H83" s="88" t="str">
        <f>IF(VLOOKUP(E83,BDD!$A$1:$S$567,15,FALSE)=0,"Critère non évalué","")</f>
        <v>Critère non évalué</v>
      </c>
      <c r="I83" s="64" t="str">
        <f>IFERROR(IF(VLOOKUP($E83,BDD!$A$1:$S$567,MATCH(I$10,BDD!$A$1:$P$1,0),FALSE)=0,"",VLOOKUP($E83,BDD!$A$1:$S$567,MATCH(I$10,BDD!$A$1:$P$1,0),FALSE)),"")</f>
        <v>N2</v>
      </c>
      <c r="J83" s="91"/>
      <c r="K83" s="65" t="str">
        <f>IFERROR(IF(VLOOKUP($E83,BDD!$A$1:$S$567,MATCH(K$10,BDD!$A$1:$P$1,0),FALSE)=0,"",VLOOKUP($E83,BDD!$A$1:$S$567,MATCH(K$10,BDD!$A$1:$P$1,0),FALSE)),"")</f>
        <v/>
      </c>
      <c r="L83" s="68"/>
      <c r="M83" s="90"/>
      <c r="N83" s="90"/>
      <c r="O83" s="68"/>
      <c r="P83" s="298"/>
    </row>
    <row r="84" spans="1:16" ht="130.05000000000001" customHeight="1" x14ac:dyDescent="0.3">
      <c r="A84" s="298"/>
      <c r="B84" s="68"/>
      <c r="C84" s="68" t="str">
        <f t="shared" si="3"/>
        <v>5</v>
      </c>
      <c r="D84" s="68">
        <f t="shared" si="4"/>
        <v>5</v>
      </c>
      <c r="E84" s="84" t="str">
        <f>C84&amp;D84&amp;RIGHT(F84,1)</f>
        <v>557</v>
      </c>
      <c r="F84" s="66" t="s">
        <v>36</v>
      </c>
      <c r="G84" s="67" t="str">
        <f>IFERROR(IF(VLOOKUP($E84,BDD!$A$1:$S$567,MATCH(G$10,BDD!$A$1:$P$1,0),FALSE)=0,"",VLOOKUP($E84,BDD!$A$1:$S$567,MATCH(G$10,BDD!$A$1:$P$1,0),FALSE)),"")</f>
        <v>Une feuille de route pour le passage à l'échelle de l'IA a été élaborée et déployée.</v>
      </c>
      <c r="H84" s="85" t="str">
        <f>IF(VLOOKUP(E84,BDD!$A$1:$S$567,15,FALSE)=0,"Critère non évalué","")</f>
        <v>Critère non évalué</v>
      </c>
      <c r="I84" s="66" t="str">
        <f>IFERROR(IF(VLOOKUP($E84,BDD!$A$1:$S$567,MATCH(I$10,BDD!$A$1:$P$1,0),FALSE)=0,"",VLOOKUP($E84,BDD!$A$1:$S$567,MATCH(I$10,BDD!$A$1:$P$1,0),FALSE)),"")</f>
        <v>N5</v>
      </c>
      <c r="J84" s="86"/>
      <c r="K84" s="67" t="str">
        <f>IFERROR(IF(VLOOKUP($E84,BDD!$A$1:$S$567,MATCH(K$10,BDD!$A$1:$P$1,0),FALSE)=0,"",VLOOKUP($E84,BDD!$A$1:$S$567,MATCH(K$10,BDD!$A$1:$P$1,0),FALSE)),"")</f>
        <v/>
      </c>
      <c r="L84" s="68"/>
      <c r="M84" s="82"/>
      <c r="N84" s="82"/>
      <c r="O84" s="68"/>
      <c r="P84" s="298"/>
    </row>
    <row r="85" spans="1:16" x14ac:dyDescent="0.3">
      <c r="A85" s="298"/>
      <c r="B85" s="68"/>
      <c r="C85" s="68" t="str">
        <f t="shared" si="3"/>
        <v>5</v>
      </c>
      <c r="D85" s="68"/>
      <c r="E85" s="68"/>
      <c r="F85" s="68"/>
      <c r="G85" s="68"/>
      <c r="H85" s="68"/>
      <c r="I85" s="68"/>
      <c r="J85" s="68"/>
      <c r="K85" s="68"/>
      <c r="L85" s="68"/>
      <c r="M85" s="68"/>
      <c r="N85" s="68"/>
      <c r="O85" s="68"/>
      <c r="P85" s="298"/>
    </row>
    <row r="86" spans="1:16" hidden="1" x14ac:dyDescent="0.3">
      <c r="A86" s="298"/>
      <c r="B86" s="68"/>
      <c r="C86" s="68" t="str">
        <f t="shared" si="3"/>
        <v>5</v>
      </c>
      <c r="D86" s="68"/>
      <c r="E86" s="68"/>
      <c r="F86" s="68"/>
      <c r="G86" s="68"/>
      <c r="H86" s="68"/>
      <c r="I86" s="68"/>
      <c r="J86" s="68"/>
      <c r="K86" s="68"/>
      <c r="L86" s="68"/>
      <c r="M86" s="68"/>
      <c r="N86" s="68"/>
      <c r="O86" s="68"/>
      <c r="P86" s="298"/>
    </row>
    <row r="87" spans="1:16" ht="30" hidden="1" x14ac:dyDescent="0.5">
      <c r="A87" s="304"/>
      <c r="B87" s="74"/>
      <c r="C87" s="68" t="str">
        <f t="shared" si="3"/>
        <v>5</v>
      </c>
      <c r="D87" s="68">
        <f>IF(LEFT(F87,14)="Bonne pratique",D83+1,D83)</f>
        <v>6</v>
      </c>
      <c r="E87" s="84" t="str">
        <f t="shared" ref="E87:E100" si="5">C87&amp;D87&amp;RIGHT(F87,1)</f>
        <v>566</v>
      </c>
      <c r="F87" s="208" t="s">
        <v>556</v>
      </c>
      <c r="G87" s="75"/>
      <c r="H87" s="205"/>
      <c r="I87" s="73"/>
      <c r="J87" s="73" t="e">
        <f>VLOOKUP(E94,BDD!$A$2:$N$567,6,FALSE)</f>
        <v>#N/A</v>
      </c>
      <c r="K87" s="72"/>
      <c r="L87" s="75"/>
      <c r="M87" s="75"/>
      <c r="N87" s="75"/>
      <c r="O87" s="74"/>
      <c r="P87" s="304"/>
    </row>
    <row r="88" spans="1:16" hidden="1" x14ac:dyDescent="0.3">
      <c r="A88" s="298"/>
      <c r="B88" s="68"/>
      <c r="C88" s="68" t="str">
        <f t="shared" si="3"/>
        <v>5</v>
      </c>
      <c r="D88" s="68">
        <f t="shared" ref="D88:D100" si="6">IF(LEFT(F88,14)="Bonne pratique",D87+1,D87)</f>
        <v>6</v>
      </c>
      <c r="E88" s="84" t="str">
        <f t="shared" si="5"/>
        <v>56</v>
      </c>
      <c r="F88" s="68"/>
      <c r="G88" s="68"/>
      <c r="H88" s="68"/>
      <c r="I88" s="68"/>
      <c r="J88" s="68"/>
      <c r="K88" s="68"/>
      <c r="L88" s="68"/>
      <c r="M88" s="68"/>
      <c r="N88" s="68"/>
      <c r="O88" s="68"/>
      <c r="P88" s="298"/>
    </row>
    <row r="89" spans="1:16" ht="18" hidden="1" x14ac:dyDescent="0.35">
      <c r="A89" s="305"/>
      <c r="B89" s="76"/>
      <c r="C89" s="68" t="str">
        <f t="shared" si="3"/>
        <v>5</v>
      </c>
      <c r="D89" s="68">
        <f t="shared" si="6"/>
        <v>6</v>
      </c>
      <c r="E89" s="84" t="str">
        <f t="shared" si="5"/>
        <v>56</v>
      </c>
      <c r="F89" s="76"/>
      <c r="G89" s="76"/>
      <c r="H89" s="76"/>
      <c r="I89" s="77"/>
      <c r="J89" s="207" t="e">
        <f>IFERROR(_xlfn.TEXTBEFORE(VLOOKUP(E94,BDD!$A$2:$N$567,7,FALSE)," ",30),VLOOKUP(E94,BDD!$A$2:$N$567,7,FALSE))</f>
        <v>#N/A</v>
      </c>
      <c r="K89" s="77"/>
      <c r="L89" s="76"/>
      <c r="M89" s="76"/>
      <c r="N89" s="76"/>
      <c r="O89" s="76"/>
      <c r="P89" s="305"/>
    </row>
    <row r="90" spans="1:16" ht="18" hidden="1" x14ac:dyDescent="0.35">
      <c r="A90" s="298"/>
      <c r="B90" s="68"/>
      <c r="C90" s="68" t="str">
        <f t="shared" si="3"/>
        <v>5</v>
      </c>
      <c r="D90" s="68">
        <f t="shared" si="6"/>
        <v>6</v>
      </c>
      <c r="E90" s="84" t="str">
        <f t="shared" si="5"/>
        <v>56</v>
      </c>
      <c r="F90" s="68"/>
      <c r="G90" s="68"/>
      <c r="H90" s="68"/>
      <c r="I90" s="68"/>
      <c r="J90" s="207" t="str">
        <f>IFERROR(_xlfn.TEXTAFTER(VLOOKUP(E94,BDD!$A$2:$N$567,7,FALSE)," ",30),"")</f>
        <v/>
      </c>
      <c r="K90" s="68"/>
      <c r="L90" s="68"/>
      <c r="M90" s="68"/>
      <c r="N90" s="68"/>
      <c r="O90" s="68"/>
      <c r="P90" s="298"/>
    </row>
    <row r="91" spans="1:16" hidden="1" x14ac:dyDescent="0.3">
      <c r="A91" s="298"/>
      <c r="B91" s="68"/>
      <c r="C91" s="68" t="str">
        <f t="shared" si="3"/>
        <v>5</v>
      </c>
      <c r="D91" s="68">
        <f t="shared" si="6"/>
        <v>6</v>
      </c>
      <c r="E91" s="84" t="str">
        <f t="shared" si="5"/>
        <v>56</v>
      </c>
      <c r="F91" s="68"/>
      <c r="G91" s="68"/>
      <c r="H91" s="68"/>
      <c r="I91" s="68"/>
      <c r="J91" s="78"/>
      <c r="K91" s="68"/>
      <c r="L91" s="68"/>
      <c r="M91" s="619" t="s">
        <v>92</v>
      </c>
      <c r="N91" s="619"/>
      <c r="O91" s="68"/>
      <c r="P91" s="298"/>
    </row>
    <row r="92" spans="1:16" ht="33" hidden="1" x14ac:dyDescent="0.3">
      <c r="A92" s="298"/>
      <c r="B92" s="68"/>
      <c r="C92" s="68" t="str">
        <f t="shared" si="3"/>
        <v>5</v>
      </c>
      <c r="D92" s="68">
        <f t="shared" si="6"/>
        <v>6</v>
      </c>
      <c r="E92" s="84" t="str">
        <f t="shared" si="5"/>
        <v>56</v>
      </c>
      <c r="F92" s="93"/>
      <c r="G92" s="80" t="s">
        <v>561</v>
      </c>
      <c r="H92" s="80" t="s">
        <v>82</v>
      </c>
      <c r="I92" s="80" t="s">
        <v>83</v>
      </c>
      <c r="J92" s="80" t="s">
        <v>84</v>
      </c>
      <c r="K92" s="80" t="s">
        <v>85</v>
      </c>
      <c r="L92" s="78"/>
      <c r="M92" s="81" t="s">
        <v>86</v>
      </c>
      <c r="N92" s="82" t="s">
        <v>87</v>
      </c>
      <c r="O92" s="68"/>
      <c r="P92" s="298"/>
    </row>
    <row r="93" spans="1:16" hidden="1" x14ac:dyDescent="0.3">
      <c r="A93" s="298"/>
      <c r="B93" s="68"/>
      <c r="C93" s="68" t="str">
        <f t="shared" si="3"/>
        <v>5</v>
      </c>
      <c r="D93" s="68">
        <f t="shared" si="6"/>
        <v>6</v>
      </c>
      <c r="E93" s="84" t="str">
        <f t="shared" si="5"/>
        <v>56</v>
      </c>
      <c r="F93" s="68"/>
      <c r="G93" s="83"/>
      <c r="H93" s="83"/>
      <c r="I93" s="83"/>
      <c r="J93" s="68"/>
      <c r="K93" s="83"/>
      <c r="L93" s="68"/>
      <c r="M93" s="68"/>
      <c r="N93" s="68"/>
      <c r="O93" s="68"/>
      <c r="P93" s="298"/>
    </row>
    <row r="94" spans="1:16" ht="130.05000000000001" hidden="1" customHeight="1" x14ac:dyDescent="0.3">
      <c r="A94" s="298"/>
      <c r="B94" s="68"/>
      <c r="C94" s="68" t="str">
        <f t="shared" si="3"/>
        <v>5</v>
      </c>
      <c r="D94" s="68">
        <f t="shared" si="6"/>
        <v>6</v>
      </c>
      <c r="E94" s="84" t="str">
        <f t="shared" si="5"/>
        <v>561</v>
      </c>
      <c r="F94" s="66" t="s">
        <v>27</v>
      </c>
      <c r="G94" s="67" t="str">
        <f>IFERROR(IF(VLOOKUP($E94,BDD!$A$1:$S$567,MATCH(G$10,BDD!$A$1:$P$1,0),FALSE)=0,"",VLOOKUP($E94,BDD!$A$1:$S$567,MATCH(G$10,BDD!$A$1:$P$1,0),FALSE)),"")</f>
        <v/>
      </c>
      <c r="H94" s="85" t="e">
        <f>IF(VLOOKUP(E94,BDD!$A$1:$S$567,15,FALSE)=0,"Critère non évalué","")</f>
        <v>#N/A</v>
      </c>
      <c r="I94" s="66" t="str">
        <f>IFERROR(IF(VLOOKUP($E94,BDD!$A$1:$S$567,MATCH(I$10,BDD!$A$1:$P$1,0),FALSE)=0,"",VLOOKUP($E94,BDD!$A$1:$S$567,MATCH(I$10,BDD!$A$1:$P$1,0),FALSE)),"")</f>
        <v/>
      </c>
      <c r="J94" s="86"/>
      <c r="K94" s="67" t="str">
        <f>IFERROR(IF(VLOOKUP($E94,BDD!$A$1:$S$567,MATCH(K$10,BDD!$A$1:$P$1,0),FALSE)=0,"",VLOOKUP($E94,BDD!$A$1:$S$567,MATCH(K$10,BDD!$A$1:$P$1,0),FALSE)),"")</f>
        <v/>
      </c>
      <c r="L94" s="68"/>
      <c r="M94" s="87"/>
      <c r="N94" s="87"/>
      <c r="O94" s="68"/>
      <c r="P94" s="298"/>
    </row>
    <row r="95" spans="1:16" ht="130.05000000000001" hidden="1" customHeight="1" x14ac:dyDescent="0.3">
      <c r="A95" s="298"/>
      <c r="B95" s="68"/>
      <c r="C95" s="68" t="str">
        <f t="shared" si="3"/>
        <v>5</v>
      </c>
      <c r="D95" s="68">
        <f t="shared" si="6"/>
        <v>6</v>
      </c>
      <c r="E95" s="84" t="str">
        <f t="shared" si="5"/>
        <v>562</v>
      </c>
      <c r="F95" s="94" t="s">
        <v>28</v>
      </c>
      <c r="G95" s="65" t="str">
        <f>IFERROR(IF(VLOOKUP($E95,BDD!$A$1:$S$567,MATCH(G$10,BDD!$A$1:$P$1,0),FALSE)=0,"",VLOOKUP($E95,BDD!$A$1:$S$567,MATCH(G$10,BDD!$A$1:$P$1,0),FALSE)),"")</f>
        <v/>
      </c>
      <c r="H95" s="88" t="e">
        <f>IF(VLOOKUP(E95,BDD!$A$1:$S$567,15,FALSE)=0,"Critère non évalué","")</f>
        <v>#N/A</v>
      </c>
      <c r="I95" s="64" t="str">
        <f>IFERROR(IF(VLOOKUP($E95,BDD!$A$1:$S$567,MATCH(I$10,BDD!$A$1:$P$1,0),FALSE)=0,"",VLOOKUP($E95,BDD!$A$1:$S$567,MATCH(I$10,BDD!$A$1:$P$1,0),FALSE)),"")</f>
        <v/>
      </c>
      <c r="J95" s="89"/>
      <c r="K95" s="65" t="str">
        <f>IFERROR(IF(VLOOKUP($E95,BDD!$A$1:$S$567,MATCH(K$10,BDD!$A$1:$P$1,0),FALSE)=0,"",VLOOKUP($E95,BDD!$A$1:$S$567,MATCH(K$10,BDD!$A$1:$P$1,0),FALSE)),"")</f>
        <v/>
      </c>
      <c r="L95" s="68"/>
      <c r="M95" s="90"/>
      <c r="N95" s="90"/>
      <c r="O95" s="68"/>
      <c r="P95" s="298"/>
    </row>
    <row r="96" spans="1:16" ht="130.05000000000001" hidden="1" customHeight="1" x14ac:dyDescent="0.3">
      <c r="A96" s="298"/>
      <c r="B96" s="68"/>
      <c r="C96" s="68" t="str">
        <f t="shared" si="3"/>
        <v>5</v>
      </c>
      <c r="D96" s="68">
        <f t="shared" si="6"/>
        <v>6</v>
      </c>
      <c r="E96" s="84" t="str">
        <f t="shared" si="5"/>
        <v>563</v>
      </c>
      <c r="F96" s="66" t="s">
        <v>30</v>
      </c>
      <c r="G96" s="67" t="str">
        <f>IFERROR(IF(VLOOKUP($E96,BDD!$A$1:$S$567,MATCH(G$10,BDD!$A$1:$P$1,0),FALSE)=0,"",VLOOKUP($E96,BDD!$A$1:$S$567,MATCH(G$10,BDD!$A$1:$P$1,0),FALSE)),"")</f>
        <v/>
      </c>
      <c r="H96" s="85" t="e">
        <f>IF(VLOOKUP(E96,BDD!$A$1:$S$567,15,FALSE)=0,"Critère non évalué","")</f>
        <v>#N/A</v>
      </c>
      <c r="I96" s="66" t="str">
        <f>IFERROR(IF(VLOOKUP($E96,BDD!$A$1:$S$567,MATCH(I$10,BDD!$A$1:$P$1,0),FALSE)=0,"",VLOOKUP($E96,BDD!$A$1:$S$567,MATCH(I$10,BDD!$A$1:$P$1,0),FALSE)),"")</f>
        <v/>
      </c>
      <c r="J96" s="86"/>
      <c r="K96" s="67" t="str">
        <f>IFERROR(IF(VLOOKUP($E96,BDD!$A$1:$S$567,MATCH(K$10,BDD!$A$1:$P$1,0),FALSE)=0,"",VLOOKUP($E96,BDD!$A$1:$S$567,MATCH(K$10,BDD!$A$1:$P$1,0),FALSE)),"")</f>
        <v/>
      </c>
      <c r="L96" s="68"/>
      <c r="M96" s="87"/>
      <c r="N96" s="87"/>
      <c r="O96" s="68"/>
      <c r="P96" s="298"/>
    </row>
    <row r="97" spans="1:16" ht="130.05000000000001" hidden="1" customHeight="1" x14ac:dyDescent="0.3">
      <c r="A97" s="298"/>
      <c r="B97" s="68"/>
      <c r="C97" s="68" t="str">
        <f t="shared" si="3"/>
        <v>5</v>
      </c>
      <c r="D97" s="68">
        <f t="shared" si="6"/>
        <v>6</v>
      </c>
      <c r="E97" s="84" t="str">
        <f t="shared" si="5"/>
        <v>564</v>
      </c>
      <c r="F97" s="64" t="s">
        <v>32</v>
      </c>
      <c r="G97" s="65" t="str">
        <f>IFERROR(IF(VLOOKUP($E97,BDD!$A$1:$S$567,MATCH(G$10,BDD!$A$1:$P$1,0),FALSE)=0,"",VLOOKUP($E97,BDD!$A$1:$S$567,MATCH(G$10,BDD!$A$1:$P$1,0),FALSE)),"")</f>
        <v/>
      </c>
      <c r="H97" s="88" t="e">
        <f>IF(VLOOKUP(E97,BDD!$A$1:$S$567,15,FALSE)=0,"Critère non évalué","")</f>
        <v>#N/A</v>
      </c>
      <c r="I97" s="64" t="str">
        <f>IFERROR(IF(VLOOKUP($E97,BDD!$A$1:$S$567,MATCH(I$10,BDD!$A$1:$P$1,0),FALSE)=0,"",VLOOKUP($E97,BDD!$A$1:$S$567,MATCH(I$10,BDD!$A$1:$P$1,0),FALSE)),"")</f>
        <v/>
      </c>
      <c r="J97" s="91"/>
      <c r="K97" s="65" t="str">
        <f>IFERROR(IF(VLOOKUP($E97,BDD!$A$1:$S$567,MATCH(K$10,BDD!$A$1:$P$1,0),FALSE)=0,"",VLOOKUP($E97,BDD!$A$1:$S$567,MATCH(K$10,BDD!$A$1:$P$1,0),FALSE)),"")</f>
        <v/>
      </c>
      <c r="L97" s="68"/>
      <c r="M97" s="90"/>
      <c r="N97" s="90"/>
      <c r="O97" s="68"/>
      <c r="P97" s="298"/>
    </row>
    <row r="98" spans="1:16" ht="130.05000000000001" hidden="1" customHeight="1" x14ac:dyDescent="0.3">
      <c r="A98" s="298"/>
      <c r="B98" s="68"/>
      <c r="C98" s="68" t="str">
        <f t="shared" si="3"/>
        <v>5</v>
      </c>
      <c r="D98" s="68">
        <f t="shared" si="6"/>
        <v>6</v>
      </c>
      <c r="E98" s="84" t="str">
        <f t="shared" si="5"/>
        <v>565</v>
      </c>
      <c r="F98" s="66" t="s">
        <v>33</v>
      </c>
      <c r="G98" s="67" t="str">
        <f>IFERROR(IF(VLOOKUP($E98,BDD!$A$1:$S$567,MATCH(G$10,BDD!$A$1:$P$1,0),FALSE)=0,"",VLOOKUP($E98,BDD!$A$1:$S$567,MATCH(G$10,BDD!$A$1:$P$1,0),FALSE)),"")</f>
        <v/>
      </c>
      <c r="H98" s="85" t="e">
        <f>IF(VLOOKUP(E98,BDD!$A$1:$S$567,15,FALSE)=0,"Critère non évalué","")</f>
        <v>#N/A</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298"/>
    </row>
    <row r="99" spans="1:16" ht="130.05000000000001" hidden="1" customHeight="1" x14ac:dyDescent="0.3">
      <c r="A99" s="298"/>
      <c r="B99" s="68"/>
      <c r="C99" s="68" t="str">
        <f t="shared" si="3"/>
        <v>5</v>
      </c>
      <c r="D99" s="68">
        <f t="shared" si="6"/>
        <v>6</v>
      </c>
      <c r="E99" s="84" t="str">
        <f t="shared" si="5"/>
        <v>566</v>
      </c>
      <c r="F99" s="64" t="s">
        <v>34</v>
      </c>
      <c r="G99" s="65" t="str">
        <f>IFERROR(IF(VLOOKUP($E99,BDD!$A$1:$S$567,MATCH(G$10,BDD!$A$1:$P$1,0),FALSE)=0,"",VLOOKUP($E99,BDD!$A$1:$S$567,MATCH(G$10,BDD!$A$1:$P$1,0),FALSE)),"")</f>
        <v/>
      </c>
      <c r="H99" s="88" t="e">
        <f>IF(VLOOKUP(E99,BDD!$A$1:$S$567,15,FALSE)=0,"Critère non évalué","")</f>
        <v>#N/A</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298"/>
    </row>
    <row r="100" spans="1:16" ht="130.05000000000001" hidden="1" customHeight="1" x14ac:dyDescent="0.3">
      <c r="A100" s="298"/>
      <c r="B100" s="68"/>
      <c r="C100" s="68" t="str">
        <f t="shared" si="3"/>
        <v>5</v>
      </c>
      <c r="D100" s="68">
        <f t="shared" si="6"/>
        <v>6</v>
      </c>
      <c r="E100" s="84" t="str">
        <f t="shared" si="5"/>
        <v>567</v>
      </c>
      <c r="F100" s="66" t="s">
        <v>36</v>
      </c>
      <c r="G100" s="67" t="str">
        <f>IFERROR(IF(VLOOKUP($E100,BDD!$A$1:$S$567,MATCH(G$10,BDD!$A$1:$P$1,0),FALSE)=0,"",VLOOKUP($E100,BDD!$A$1:$S$567,MATCH(G$10,BDD!$A$1:$P$1,0),FALSE)),"")</f>
        <v/>
      </c>
      <c r="H100" s="85" t="e">
        <f>IF(VLOOKUP(E100,BDD!$A$1:$S$567,15,FALSE)=0,"Critère non évalué","")</f>
        <v>#N/A</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298"/>
    </row>
    <row r="101" spans="1:16" hidden="1" x14ac:dyDescent="0.3">
      <c r="A101" s="298"/>
      <c r="B101" s="68"/>
      <c r="C101" s="68" t="str">
        <f t="shared" si="3"/>
        <v>5</v>
      </c>
      <c r="D101" s="68"/>
      <c r="E101" s="68"/>
      <c r="F101" s="68"/>
      <c r="G101" s="68"/>
      <c r="H101" s="68"/>
      <c r="I101" s="68"/>
      <c r="J101" s="68"/>
      <c r="K101" s="68"/>
      <c r="L101" s="68"/>
      <c r="M101" s="68"/>
      <c r="N101" s="68"/>
      <c r="O101" s="68"/>
      <c r="P101" s="298"/>
    </row>
    <row r="102" spans="1:16" hidden="1" x14ac:dyDescent="0.3">
      <c r="A102" s="298"/>
      <c r="B102" s="68"/>
      <c r="C102" s="68" t="str">
        <f t="shared" si="3"/>
        <v>5</v>
      </c>
      <c r="D102" s="68"/>
      <c r="E102" s="68"/>
      <c r="F102" s="68"/>
      <c r="G102" s="68"/>
      <c r="H102" s="68"/>
      <c r="I102" s="68"/>
      <c r="J102" s="68"/>
      <c r="K102" s="68"/>
      <c r="L102" s="68"/>
      <c r="M102" s="68"/>
      <c r="N102" s="68"/>
      <c r="O102" s="68"/>
      <c r="P102" s="298"/>
    </row>
    <row r="103" spans="1:16" ht="30" hidden="1" x14ac:dyDescent="0.5">
      <c r="A103" s="304"/>
      <c r="B103" s="74"/>
      <c r="C103" s="68" t="str">
        <f t="shared" si="3"/>
        <v>5</v>
      </c>
      <c r="D103" s="68">
        <f>IF(LEFT(F103,14)="Bonne pratique",D99+1,D99)</f>
        <v>7</v>
      </c>
      <c r="E103" s="84" t="str">
        <f t="shared" ref="E103:E116" si="7">C103&amp;D103&amp;RIGHT(F103,1)</f>
        <v>577</v>
      </c>
      <c r="F103" s="208" t="s">
        <v>557</v>
      </c>
      <c r="G103" s="75"/>
      <c r="H103" s="205"/>
      <c r="I103" s="73"/>
      <c r="J103" s="73" t="e">
        <f>VLOOKUP(E110,BDD!$A$2:$N$567,6,FALSE)</f>
        <v>#N/A</v>
      </c>
      <c r="K103" s="72"/>
      <c r="L103" s="75"/>
      <c r="M103" s="75"/>
      <c r="N103" s="75"/>
      <c r="O103" s="74"/>
      <c r="P103" s="304"/>
    </row>
    <row r="104" spans="1:16" hidden="1" x14ac:dyDescent="0.3">
      <c r="A104" s="298"/>
      <c r="B104" s="68"/>
      <c r="C104" s="68" t="str">
        <f t="shared" si="3"/>
        <v>5</v>
      </c>
      <c r="D104" s="68">
        <f t="shared" ref="D104:D116" si="8">IF(LEFT(F104,14)="Bonne pratique",D103+1,D103)</f>
        <v>7</v>
      </c>
      <c r="E104" s="84" t="str">
        <f t="shared" si="7"/>
        <v>57</v>
      </c>
      <c r="F104" s="68"/>
      <c r="G104" s="68"/>
      <c r="H104" s="68"/>
      <c r="I104" s="68"/>
      <c r="J104" s="68"/>
      <c r="K104" s="68"/>
      <c r="L104" s="68"/>
      <c r="M104" s="68"/>
      <c r="N104" s="68"/>
      <c r="O104" s="68"/>
      <c r="P104" s="298"/>
    </row>
    <row r="105" spans="1:16" ht="18" hidden="1" x14ac:dyDescent="0.35">
      <c r="A105" s="305"/>
      <c r="B105" s="76"/>
      <c r="C105" s="68" t="str">
        <f t="shared" si="3"/>
        <v>5</v>
      </c>
      <c r="D105" s="68">
        <f t="shared" si="8"/>
        <v>7</v>
      </c>
      <c r="E105" s="84" t="str">
        <f t="shared" si="7"/>
        <v>57</v>
      </c>
      <c r="F105" s="76"/>
      <c r="G105" s="76"/>
      <c r="H105" s="76"/>
      <c r="I105" s="77"/>
      <c r="J105" s="207" t="e">
        <f>IFERROR(_xlfn.TEXTBEFORE(VLOOKUP(E110,BDD!$A$2:$N$567,7,FALSE)," ",30),VLOOKUP(E110,BDD!$A$2:$N$567,7,FALSE))</f>
        <v>#N/A</v>
      </c>
      <c r="K105" s="77"/>
      <c r="L105" s="76"/>
      <c r="M105" s="76"/>
      <c r="N105" s="76"/>
      <c r="O105" s="76"/>
      <c r="P105" s="305"/>
    </row>
    <row r="106" spans="1:16" ht="18" hidden="1" x14ac:dyDescent="0.35">
      <c r="A106" s="298"/>
      <c r="B106" s="68"/>
      <c r="C106" s="68" t="str">
        <f t="shared" si="3"/>
        <v>5</v>
      </c>
      <c r="D106" s="68">
        <f t="shared" si="8"/>
        <v>7</v>
      </c>
      <c r="E106" s="84" t="str">
        <f t="shared" si="7"/>
        <v>57</v>
      </c>
      <c r="F106" s="68"/>
      <c r="G106" s="68"/>
      <c r="H106" s="68"/>
      <c r="I106" s="68"/>
      <c r="J106" s="207" t="str">
        <f>IFERROR(_xlfn.TEXTAFTER(VLOOKUP(E110,BDD!$A$2:$N$567,7,FALSE)," ",30),"")</f>
        <v/>
      </c>
      <c r="K106" s="68"/>
      <c r="L106" s="68"/>
      <c r="M106" s="68"/>
      <c r="N106" s="68"/>
      <c r="O106" s="68"/>
      <c r="P106" s="298"/>
    </row>
    <row r="107" spans="1:16" hidden="1" x14ac:dyDescent="0.3">
      <c r="A107" s="298"/>
      <c r="B107" s="68"/>
      <c r="C107" s="68" t="str">
        <f t="shared" si="3"/>
        <v>5</v>
      </c>
      <c r="D107" s="68">
        <f t="shared" si="8"/>
        <v>7</v>
      </c>
      <c r="E107" s="84" t="str">
        <f t="shared" si="7"/>
        <v>57</v>
      </c>
      <c r="F107" s="68"/>
      <c r="G107" s="68"/>
      <c r="H107" s="68"/>
      <c r="I107" s="68"/>
      <c r="J107" s="78"/>
      <c r="K107" s="68"/>
      <c r="L107" s="68"/>
      <c r="M107" s="619" t="s">
        <v>92</v>
      </c>
      <c r="N107" s="619"/>
      <c r="O107" s="68"/>
      <c r="P107" s="298"/>
    </row>
    <row r="108" spans="1:16" ht="33" hidden="1" x14ac:dyDescent="0.3">
      <c r="A108" s="298"/>
      <c r="B108" s="68"/>
      <c r="C108" s="68" t="str">
        <f t="shared" si="3"/>
        <v>5</v>
      </c>
      <c r="D108" s="68">
        <f t="shared" si="8"/>
        <v>7</v>
      </c>
      <c r="E108" s="84" t="str">
        <f t="shared" si="7"/>
        <v>57</v>
      </c>
      <c r="F108" s="93"/>
      <c r="G108" s="80" t="s">
        <v>561</v>
      </c>
      <c r="H108" s="80" t="s">
        <v>82</v>
      </c>
      <c r="I108" s="80" t="s">
        <v>83</v>
      </c>
      <c r="J108" s="80" t="s">
        <v>84</v>
      </c>
      <c r="K108" s="80" t="s">
        <v>85</v>
      </c>
      <c r="L108" s="78"/>
      <c r="M108" s="81" t="s">
        <v>86</v>
      </c>
      <c r="N108" s="82" t="s">
        <v>87</v>
      </c>
      <c r="O108" s="68"/>
      <c r="P108" s="298"/>
    </row>
    <row r="109" spans="1:16" hidden="1" x14ac:dyDescent="0.3">
      <c r="A109" s="298"/>
      <c r="B109" s="68"/>
      <c r="C109" s="68" t="str">
        <f t="shared" si="3"/>
        <v>5</v>
      </c>
      <c r="D109" s="68">
        <f t="shared" si="8"/>
        <v>7</v>
      </c>
      <c r="E109" s="84" t="str">
        <f t="shared" si="7"/>
        <v>57</v>
      </c>
      <c r="F109" s="68"/>
      <c r="G109" s="83"/>
      <c r="H109" s="83"/>
      <c r="I109" s="83"/>
      <c r="J109" s="68"/>
      <c r="K109" s="83"/>
      <c r="L109" s="68"/>
      <c r="M109" s="68"/>
      <c r="N109" s="68"/>
      <c r="O109" s="68"/>
      <c r="P109" s="298"/>
    </row>
    <row r="110" spans="1:16" ht="130.05000000000001" hidden="1" customHeight="1" x14ac:dyDescent="0.3">
      <c r="A110" s="298"/>
      <c r="B110" s="68"/>
      <c r="C110" s="68" t="str">
        <f t="shared" si="3"/>
        <v>5</v>
      </c>
      <c r="D110" s="68">
        <f t="shared" si="8"/>
        <v>7</v>
      </c>
      <c r="E110" s="84" t="str">
        <f t="shared" si="7"/>
        <v>571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298"/>
    </row>
    <row r="111" spans="1:16" ht="130.05000000000001" hidden="1" customHeight="1" x14ac:dyDescent="0.3">
      <c r="A111" s="298"/>
      <c r="B111" s="68"/>
      <c r="C111" s="68" t="str">
        <f t="shared" si="3"/>
        <v>5</v>
      </c>
      <c r="D111" s="68">
        <f t="shared" si="8"/>
        <v>7</v>
      </c>
      <c r="E111" s="84" t="str">
        <f t="shared" si="7"/>
        <v>572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298"/>
    </row>
    <row r="112" spans="1:16" ht="130.05000000000001" hidden="1" customHeight="1" x14ac:dyDescent="0.3">
      <c r="A112" s="298"/>
      <c r="B112" s="68"/>
      <c r="C112" s="68" t="str">
        <f t="shared" si="3"/>
        <v>5</v>
      </c>
      <c r="D112" s="68">
        <f t="shared" si="8"/>
        <v>7</v>
      </c>
      <c r="E112" s="84" t="str">
        <f t="shared" si="7"/>
        <v>573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298"/>
    </row>
    <row r="113" spans="1:16" ht="130.05000000000001" hidden="1" customHeight="1" x14ac:dyDescent="0.3">
      <c r="A113" s="298"/>
      <c r="B113" s="68"/>
      <c r="C113" s="68" t="str">
        <f t="shared" si="3"/>
        <v>5</v>
      </c>
      <c r="D113" s="68">
        <f t="shared" si="8"/>
        <v>7</v>
      </c>
      <c r="E113" s="84" t="str">
        <f t="shared" si="7"/>
        <v>574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298"/>
    </row>
    <row r="114" spans="1:16" ht="130.05000000000001" hidden="1" customHeight="1" x14ac:dyDescent="0.3">
      <c r="A114" s="298"/>
      <c r="B114" s="68"/>
      <c r="C114" s="68" t="str">
        <f t="shared" si="3"/>
        <v>5</v>
      </c>
      <c r="D114" s="68">
        <f t="shared" si="8"/>
        <v>7</v>
      </c>
      <c r="E114" s="84" t="str">
        <f t="shared" si="7"/>
        <v>575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298"/>
    </row>
    <row r="115" spans="1:16" ht="130.05000000000001" hidden="1" customHeight="1" x14ac:dyDescent="0.3">
      <c r="A115" s="298"/>
      <c r="B115" s="68"/>
      <c r="C115" s="68" t="str">
        <f t="shared" si="3"/>
        <v>5</v>
      </c>
      <c r="D115" s="68">
        <f t="shared" si="8"/>
        <v>7</v>
      </c>
      <c r="E115" s="84" t="str">
        <f t="shared" si="7"/>
        <v>576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298"/>
    </row>
    <row r="116" spans="1:16" ht="130.05000000000001" hidden="1" customHeight="1" x14ac:dyDescent="0.3">
      <c r="A116" s="298"/>
      <c r="B116" s="68"/>
      <c r="C116" s="68" t="str">
        <f t="shared" ref="C116" si="9">RIGHT($B$1,1)</f>
        <v>5</v>
      </c>
      <c r="D116" s="68">
        <f t="shared" si="8"/>
        <v>7</v>
      </c>
      <c r="E116" s="84" t="str">
        <f t="shared" si="7"/>
        <v>577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98"/>
    </row>
    <row r="117" spans="1:16" x14ac:dyDescent="0.3">
      <c r="A117" s="298"/>
      <c r="B117" s="68"/>
      <c r="C117" s="68"/>
      <c r="D117" s="68"/>
      <c r="E117" s="68"/>
      <c r="F117" s="68"/>
      <c r="G117" s="68"/>
      <c r="H117" s="68"/>
      <c r="I117" s="68"/>
      <c r="J117" s="68"/>
      <c r="K117" s="68"/>
      <c r="L117" s="68"/>
      <c r="M117" s="68"/>
      <c r="N117" s="68"/>
      <c r="O117" s="68"/>
      <c r="P117" s="298"/>
    </row>
    <row r="118" spans="1:16" x14ac:dyDescent="0.3">
      <c r="A118" s="298" t="s">
        <v>164</v>
      </c>
      <c r="B118" s="298"/>
      <c r="C118" s="298"/>
      <c r="D118" s="298"/>
      <c r="E118" s="298"/>
      <c r="F118" s="298"/>
      <c r="G118" s="298"/>
      <c r="H118" s="298"/>
      <c r="I118" s="298"/>
      <c r="J118" s="298"/>
      <c r="K118" s="298"/>
      <c r="L118" s="298"/>
      <c r="M118" s="298"/>
      <c r="N118" s="298"/>
      <c r="O118" s="298"/>
      <c r="P118" s="298" t="s">
        <v>164</v>
      </c>
    </row>
  </sheetData>
  <sheetProtection algorithmName="SHA-512" hashValue="ZxcoOlYYlkpW+5cY2j2lYh/10BE+UIL+IY05ACCSjX/fIn/kcfVvLRARPvtZci89teuCtDAFxZzt7/jokaWDrg==" saltValue="RTZQhr9qsvQwvT1VBLDfXg=="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9AE15D1D-3CDD-44EF-AD3E-AA4B6801A9FC}"/>
    <hyperlink ref="F29" location="V2Quest!A1" display="(Cf. Vecteur 2 - Innovation)" xr:uid="{47310446-3AAA-4AE7-8760-A5F1532D4186}"/>
    <hyperlink ref="F45" location="V2Quest!A1" display="(Cf. Vecteur 2 - Innovation)" xr:uid="{146F2C2F-62FB-4FF6-BE71-702B18E4FD54}"/>
    <hyperlink ref="F61" location="V2Quest!A1" display="(Cf. Vecteur 2 - Innovation)" xr:uid="{B929B559-6B27-496C-8B71-18FBE0179498}"/>
    <hyperlink ref="F79" location="V2Quest!A1" display="(Cf. Vecteur 2 - Innovation)" xr:uid="{35119EE4-1E81-4996-A57F-F8380CDC990A}"/>
    <hyperlink ref="F95" location="V2Quest!A1" display="(Cf. Vecteur 2 - Innovation)" xr:uid="{74E8603E-234B-4894-87BE-F02E2AC6FAC8}"/>
    <hyperlink ref="F111" location="V2Quest!A1" display="(Cf. Vecteur 2 - Innovation)" xr:uid="{0CBC2B84-9F15-46C3-B3A5-5B9482DC7C29}"/>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3713" r:id="rId3" name="Option Button 1">
              <controlPr defaultSize="0" autoFill="0" autoLine="0" autoPict="0">
                <anchor moveWithCells="1">
                  <from>
                    <xdr:col>7</xdr:col>
                    <xdr:colOff>114300</xdr:colOff>
                    <xdr:row>12</xdr:row>
                    <xdr:rowOff>144780</xdr:rowOff>
                  </from>
                  <to>
                    <xdr:col>7</xdr:col>
                    <xdr:colOff>1958340</xdr:colOff>
                    <xdr:row>12</xdr:row>
                    <xdr:rowOff>320040</xdr:rowOff>
                  </to>
                </anchor>
              </controlPr>
            </control>
          </mc:Choice>
        </mc:AlternateContent>
        <mc:AlternateContent xmlns:mc="http://schemas.openxmlformats.org/markup-compatibility/2006">
          <mc:Choice Requires="x14">
            <control shapeId="243714" r:id="rId4" name="Option Button 2">
              <controlPr defaultSize="0" autoFill="0" autoLine="0" autoPict="0">
                <anchor moveWithCells="1">
                  <from>
                    <xdr:col>7</xdr:col>
                    <xdr:colOff>114300</xdr:colOff>
                    <xdr:row>12</xdr:row>
                    <xdr:rowOff>396240</xdr:rowOff>
                  </from>
                  <to>
                    <xdr:col>7</xdr:col>
                    <xdr:colOff>1958340</xdr:colOff>
                    <xdr:row>12</xdr:row>
                    <xdr:rowOff>586740</xdr:rowOff>
                  </to>
                </anchor>
              </controlPr>
            </control>
          </mc:Choice>
        </mc:AlternateContent>
        <mc:AlternateContent xmlns:mc="http://schemas.openxmlformats.org/markup-compatibility/2006">
          <mc:Choice Requires="x14">
            <control shapeId="243715" r:id="rId5" name="Option Button 3">
              <controlPr defaultSize="0" autoFill="0" autoLine="0" autoPict="0">
                <anchor moveWithCells="1">
                  <from>
                    <xdr:col>7</xdr:col>
                    <xdr:colOff>114300</xdr:colOff>
                    <xdr:row>12</xdr:row>
                    <xdr:rowOff>640080</xdr:rowOff>
                  </from>
                  <to>
                    <xdr:col>7</xdr:col>
                    <xdr:colOff>1958340</xdr:colOff>
                    <xdr:row>12</xdr:row>
                    <xdr:rowOff>830580</xdr:rowOff>
                  </to>
                </anchor>
              </controlPr>
            </control>
          </mc:Choice>
        </mc:AlternateContent>
        <mc:AlternateContent xmlns:mc="http://schemas.openxmlformats.org/markup-compatibility/2006">
          <mc:Choice Requires="x14">
            <control shapeId="243716" r:id="rId6" name="Option Button 4">
              <controlPr defaultSize="0" autoFill="0" autoLine="0" autoPict="0">
                <anchor moveWithCells="1">
                  <from>
                    <xdr:col>7</xdr:col>
                    <xdr:colOff>114300</xdr:colOff>
                    <xdr:row>12</xdr:row>
                    <xdr:rowOff>922020</xdr:rowOff>
                  </from>
                  <to>
                    <xdr:col>7</xdr:col>
                    <xdr:colOff>1958340</xdr:colOff>
                    <xdr:row>12</xdr:row>
                    <xdr:rowOff>1120140</xdr:rowOff>
                  </to>
                </anchor>
              </controlPr>
            </control>
          </mc:Choice>
        </mc:AlternateContent>
        <mc:AlternateContent xmlns:mc="http://schemas.openxmlformats.org/markup-compatibility/2006">
          <mc:Choice Requires="x14">
            <control shapeId="243717"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243719"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243720"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243721" r:id="rId10" name="Option Button 9">
              <controlPr defaultSize="0" autoFill="0" autoLine="0" autoPict="0">
                <anchor moveWithCells="1">
                  <from>
                    <xdr:col>7</xdr:col>
                    <xdr:colOff>106680</xdr:colOff>
                    <xdr:row>11</xdr:row>
                    <xdr:rowOff>304800</xdr:rowOff>
                  </from>
                  <to>
                    <xdr:col>7</xdr:col>
                    <xdr:colOff>1965960</xdr:colOff>
                    <xdr:row>11</xdr:row>
                    <xdr:rowOff>502920</xdr:rowOff>
                  </to>
                </anchor>
              </controlPr>
            </control>
          </mc:Choice>
        </mc:AlternateContent>
        <mc:AlternateContent xmlns:mc="http://schemas.openxmlformats.org/markup-compatibility/2006">
          <mc:Choice Requires="x14">
            <control shapeId="243722"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243723"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243734" r:id="rId13" name="Option Button 22">
              <controlPr defaultSize="0" autoFill="0" autoLine="0" autoPict="0">
                <anchor moveWithCells="1">
                  <from>
                    <xdr:col>7</xdr:col>
                    <xdr:colOff>114300</xdr:colOff>
                    <xdr:row>15</xdr:row>
                    <xdr:rowOff>144780</xdr:rowOff>
                  </from>
                  <to>
                    <xdr:col>7</xdr:col>
                    <xdr:colOff>1958340</xdr:colOff>
                    <xdr:row>15</xdr:row>
                    <xdr:rowOff>312420</xdr:rowOff>
                  </to>
                </anchor>
              </controlPr>
            </control>
          </mc:Choice>
        </mc:AlternateContent>
        <mc:AlternateContent xmlns:mc="http://schemas.openxmlformats.org/markup-compatibility/2006">
          <mc:Choice Requires="x14">
            <control shapeId="243735" r:id="rId14" name="Option Button 23">
              <controlPr defaultSize="0" autoFill="0" autoLine="0" autoPict="0">
                <anchor moveWithCells="1">
                  <from>
                    <xdr:col>7</xdr:col>
                    <xdr:colOff>114300</xdr:colOff>
                    <xdr:row>15</xdr:row>
                    <xdr:rowOff>388620</xdr:rowOff>
                  </from>
                  <to>
                    <xdr:col>7</xdr:col>
                    <xdr:colOff>1958340</xdr:colOff>
                    <xdr:row>15</xdr:row>
                    <xdr:rowOff>579120</xdr:rowOff>
                  </to>
                </anchor>
              </controlPr>
            </control>
          </mc:Choice>
        </mc:AlternateContent>
        <mc:AlternateContent xmlns:mc="http://schemas.openxmlformats.org/markup-compatibility/2006">
          <mc:Choice Requires="x14">
            <control shapeId="243736" r:id="rId15" name="Option Button 24">
              <controlPr defaultSize="0" autoFill="0" autoLine="0" autoPict="0">
                <anchor moveWithCells="1">
                  <from>
                    <xdr:col>7</xdr:col>
                    <xdr:colOff>114300</xdr:colOff>
                    <xdr:row>15</xdr:row>
                    <xdr:rowOff>632460</xdr:rowOff>
                  </from>
                  <to>
                    <xdr:col>7</xdr:col>
                    <xdr:colOff>1958340</xdr:colOff>
                    <xdr:row>15</xdr:row>
                    <xdr:rowOff>822960</xdr:rowOff>
                  </to>
                </anchor>
              </controlPr>
            </control>
          </mc:Choice>
        </mc:AlternateContent>
        <mc:AlternateContent xmlns:mc="http://schemas.openxmlformats.org/markup-compatibility/2006">
          <mc:Choice Requires="x14">
            <control shapeId="243737" r:id="rId16" name="Option Button 25">
              <controlPr defaultSize="0" autoFill="0" autoLine="0" autoPict="0">
                <anchor moveWithCells="1">
                  <from>
                    <xdr:col>7</xdr:col>
                    <xdr:colOff>114300</xdr:colOff>
                    <xdr:row>15</xdr:row>
                    <xdr:rowOff>906780</xdr:rowOff>
                  </from>
                  <to>
                    <xdr:col>7</xdr:col>
                    <xdr:colOff>1958340</xdr:colOff>
                    <xdr:row>15</xdr:row>
                    <xdr:rowOff>1097280</xdr:rowOff>
                  </to>
                </anchor>
              </controlPr>
            </control>
          </mc:Choice>
        </mc:AlternateContent>
        <mc:AlternateContent xmlns:mc="http://schemas.openxmlformats.org/markup-compatibility/2006">
          <mc:Choice Requires="x14">
            <control shapeId="243738" r:id="rId17"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243739" r:id="rId18" name="Option Button 27">
              <controlPr defaultSize="0" autoFill="0" autoLine="0" autoPict="0" altText="Case d'option 47">
                <anchor moveWithCells="1">
                  <from>
                    <xdr:col>7</xdr:col>
                    <xdr:colOff>114300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243740" r:id="rId19" name="Option Button 28">
              <controlPr defaultSize="0" autoFill="0" autoLine="0" autoPict="0">
                <anchor moveWithCells="1">
                  <from>
                    <xdr:col>7</xdr:col>
                    <xdr:colOff>114300</xdr:colOff>
                    <xdr:row>14</xdr:row>
                    <xdr:rowOff>304800</xdr:rowOff>
                  </from>
                  <to>
                    <xdr:col>7</xdr:col>
                    <xdr:colOff>1958340</xdr:colOff>
                    <xdr:row>14</xdr:row>
                    <xdr:rowOff>502920</xdr:rowOff>
                  </to>
                </anchor>
              </controlPr>
            </control>
          </mc:Choice>
        </mc:AlternateContent>
        <mc:AlternateContent xmlns:mc="http://schemas.openxmlformats.org/markup-compatibility/2006">
          <mc:Choice Requires="x14">
            <control shapeId="243741" r:id="rId20" name="Option Button 29">
              <controlPr defaultSize="0" autoFill="0" autoLine="0" autoPict="0">
                <anchor moveWithCells="1">
                  <from>
                    <xdr:col>7</xdr:col>
                    <xdr:colOff>114300</xdr:colOff>
                    <xdr:row>14</xdr:row>
                    <xdr:rowOff>579120</xdr:rowOff>
                  </from>
                  <to>
                    <xdr:col>7</xdr:col>
                    <xdr:colOff>1965960</xdr:colOff>
                    <xdr:row>14</xdr:row>
                    <xdr:rowOff>754380</xdr:rowOff>
                  </to>
                </anchor>
              </controlPr>
            </control>
          </mc:Choice>
        </mc:AlternateContent>
        <mc:AlternateContent xmlns:mc="http://schemas.openxmlformats.org/markup-compatibility/2006">
          <mc:Choice Requires="x14">
            <control shapeId="243742" r:id="rId21" name="Option Button 30">
              <controlPr defaultSize="0" autoFill="0" autoLine="0" autoPict="0">
                <anchor moveWithCells="1">
                  <from>
                    <xdr:col>7</xdr:col>
                    <xdr:colOff>114300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243743" r:id="rId22"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243744" r:id="rId23"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243745" r:id="rId24" name="Option Button 33">
              <controlPr defaultSize="0" autoFill="0" autoLine="0" autoPict="0">
                <anchor moveWithCells="1">
                  <from>
                    <xdr:col>7</xdr:col>
                    <xdr:colOff>106680</xdr:colOff>
                    <xdr:row>13</xdr:row>
                    <xdr:rowOff>304800</xdr:rowOff>
                  </from>
                  <to>
                    <xdr:col>7</xdr:col>
                    <xdr:colOff>1958340</xdr:colOff>
                    <xdr:row>13</xdr:row>
                    <xdr:rowOff>502920</xdr:rowOff>
                  </to>
                </anchor>
              </controlPr>
            </control>
          </mc:Choice>
        </mc:AlternateContent>
        <mc:AlternateContent xmlns:mc="http://schemas.openxmlformats.org/markup-compatibility/2006">
          <mc:Choice Requires="x14">
            <control shapeId="243746" r:id="rId25" name="Option Button 34">
              <controlPr defaultSize="0" autoFill="0" autoLine="0" autoPict="0">
                <anchor moveWithCells="1">
                  <from>
                    <xdr:col>7</xdr:col>
                    <xdr:colOff>106680</xdr:colOff>
                    <xdr:row>13</xdr:row>
                    <xdr:rowOff>579120</xdr:rowOff>
                  </from>
                  <to>
                    <xdr:col>7</xdr:col>
                    <xdr:colOff>1965960</xdr:colOff>
                    <xdr:row>13</xdr:row>
                    <xdr:rowOff>754380</xdr:rowOff>
                  </to>
                </anchor>
              </controlPr>
            </control>
          </mc:Choice>
        </mc:AlternateContent>
        <mc:AlternateContent xmlns:mc="http://schemas.openxmlformats.org/markup-compatibility/2006">
          <mc:Choice Requires="x14">
            <control shapeId="243747" r:id="rId26"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243748" r:id="rId27"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243749" r:id="rId28" name="Option Button 37">
              <controlPr defaultSize="0" autoFill="0" autoLine="0" autoPict="0">
                <anchor moveWithCells="1">
                  <from>
                    <xdr:col>7</xdr:col>
                    <xdr:colOff>114300</xdr:colOff>
                    <xdr:row>28</xdr:row>
                    <xdr:rowOff>205740</xdr:rowOff>
                  </from>
                  <to>
                    <xdr:col>7</xdr:col>
                    <xdr:colOff>1958340</xdr:colOff>
                    <xdr:row>28</xdr:row>
                    <xdr:rowOff>457200</xdr:rowOff>
                  </to>
                </anchor>
              </controlPr>
            </control>
          </mc:Choice>
        </mc:AlternateContent>
        <mc:AlternateContent xmlns:mc="http://schemas.openxmlformats.org/markup-compatibility/2006">
          <mc:Choice Requires="x14">
            <control shapeId="243750" r:id="rId29" name="Option Button 38">
              <controlPr defaultSize="0" autoFill="0" autoLine="0" autoPict="0">
                <anchor moveWithCells="1">
                  <from>
                    <xdr:col>7</xdr:col>
                    <xdr:colOff>114300</xdr:colOff>
                    <xdr:row>28</xdr:row>
                    <xdr:rowOff>449580</xdr:rowOff>
                  </from>
                  <to>
                    <xdr:col>7</xdr:col>
                    <xdr:colOff>1958340</xdr:colOff>
                    <xdr:row>28</xdr:row>
                    <xdr:rowOff>723900</xdr:rowOff>
                  </to>
                </anchor>
              </controlPr>
            </control>
          </mc:Choice>
        </mc:AlternateContent>
        <mc:AlternateContent xmlns:mc="http://schemas.openxmlformats.org/markup-compatibility/2006">
          <mc:Choice Requires="x14">
            <control shapeId="243751" r:id="rId30" name="Option Button 39">
              <controlPr defaultSize="0" autoFill="0" autoLine="0" autoPict="0">
                <anchor moveWithCells="1">
                  <from>
                    <xdr:col>7</xdr:col>
                    <xdr:colOff>114300</xdr:colOff>
                    <xdr:row>28</xdr:row>
                    <xdr:rowOff>716280</xdr:rowOff>
                  </from>
                  <to>
                    <xdr:col>7</xdr:col>
                    <xdr:colOff>1958340</xdr:colOff>
                    <xdr:row>28</xdr:row>
                    <xdr:rowOff>982980</xdr:rowOff>
                  </to>
                </anchor>
              </controlPr>
            </control>
          </mc:Choice>
        </mc:AlternateContent>
        <mc:AlternateContent xmlns:mc="http://schemas.openxmlformats.org/markup-compatibility/2006">
          <mc:Choice Requires="x14">
            <control shapeId="243752" r:id="rId31" name="Option Button 40">
              <controlPr defaultSize="0" autoFill="0" autoLine="0" autoPict="0">
                <anchor moveWithCells="1">
                  <from>
                    <xdr:col>7</xdr:col>
                    <xdr:colOff>114300</xdr:colOff>
                    <xdr:row>28</xdr:row>
                    <xdr:rowOff>975360</xdr:rowOff>
                  </from>
                  <to>
                    <xdr:col>7</xdr:col>
                    <xdr:colOff>1958340</xdr:colOff>
                    <xdr:row>28</xdr:row>
                    <xdr:rowOff>1249680</xdr:rowOff>
                  </to>
                </anchor>
              </controlPr>
            </control>
          </mc:Choice>
        </mc:AlternateContent>
        <mc:AlternateContent xmlns:mc="http://schemas.openxmlformats.org/markup-compatibility/2006">
          <mc:Choice Requires="x14">
            <control shapeId="243753" r:id="rId32"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243754" r:id="rId33" name="Group Box 42">
              <controlPr defaultSize="0" autoFill="0" autoPict="0" altText="">
                <anchor moveWithCells="1">
                  <from>
                    <xdr:col>7</xdr:col>
                    <xdr:colOff>0</xdr:colOff>
                    <xdr:row>32</xdr:row>
                    <xdr:rowOff>0</xdr:rowOff>
                  </from>
                  <to>
                    <xdr:col>8</xdr:col>
                    <xdr:colOff>0</xdr:colOff>
                    <xdr:row>34</xdr:row>
                    <xdr:rowOff>0</xdr:rowOff>
                  </to>
                </anchor>
              </controlPr>
            </control>
          </mc:Choice>
        </mc:AlternateContent>
        <mc:AlternateContent xmlns:mc="http://schemas.openxmlformats.org/markup-compatibility/2006">
          <mc:Choice Requires="x14">
            <control shapeId="243755" r:id="rId34" name="Option Button 43">
              <controlPr defaultSize="0" autoFill="0" autoLine="0" autoPict="0">
                <anchor moveWithCells="1">
                  <from>
                    <xdr:col>7</xdr:col>
                    <xdr:colOff>114300</xdr:colOff>
                    <xdr:row>33</xdr:row>
                    <xdr:rowOff>144780</xdr:rowOff>
                  </from>
                  <to>
                    <xdr:col>7</xdr:col>
                    <xdr:colOff>1958340</xdr:colOff>
                    <xdr:row>33</xdr:row>
                    <xdr:rowOff>320040</xdr:rowOff>
                  </to>
                </anchor>
              </controlPr>
            </control>
          </mc:Choice>
        </mc:AlternateContent>
        <mc:AlternateContent xmlns:mc="http://schemas.openxmlformats.org/markup-compatibility/2006">
          <mc:Choice Requires="x14">
            <control shapeId="243756" r:id="rId35" name="Option Button 44">
              <controlPr defaultSize="0" autoFill="0" autoLine="0" autoPict="0">
                <anchor moveWithCells="1">
                  <from>
                    <xdr:col>7</xdr:col>
                    <xdr:colOff>114300</xdr:colOff>
                    <xdr:row>33</xdr:row>
                    <xdr:rowOff>396240</xdr:rowOff>
                  </from>
                  <to>
                    <xdr:col>7</xdr:col>
                    <xdr:colOff>1958340</xdr:colOff>
                    <xdr:row>33</xdr:row>
                    <xdr:rowOff>586740</xdr:rowOff>
                  </to>
                </anchor>
              </controlPr>
            </control>
          </mc:Choice>
        </mc:AlternateContent>
        <mc:AlternateContent xmlns:mc="http://schemas.openxmlformats.org/markup-compatibility/2006">
          <mc:Choice Requires="x14">
            <control shapeId="243757" r:id="rId36" name="Option Button 45">
              <controlPr defaultSize="0" autoFill="0" autoLine="0" autoPict="0">
                <anchor moveWithCells="1">
                  <from>
                    <xdr:col>7</xdr:col>
                    <xdr:colOff>114300</xdr:colOff>
                    <xdr:row>33</xdr:row>
                    <xdr:rowOff>640080</xdr:rowOff>
                  </from>
                  <to>
                    <xdr:col>7</xdr:col>
                    <xdr:colOff>1958340</xdr:colOff>
                    <xdr:row>33</xdr:row>
                    <xdr:rowOff>830580</xdr:rowOff>
                  </to>
                </anchor>
              </controlPr>
            </control>
          </mc:Choice>
        </mc:AlternateContent>
        <mc:AlternateContent xmlns:mc="http://schemas.openxmlformats.org/markup-compatibility/2006">
          <mc:Choice Requires="x14">
            <control shapeId="243758" r:id="rId37" name="Option Button 46">
              <controlPr defaultSize="0" autoFill="0" autoLine="0" autoPict="0">
                <anchor moveWithCells="1">
                  <from>
                    <xdr:col>7</xdr:col>
                    <xdr:colOff>114300</xdr:colOff>
                    <xdr:row>33</xdr:row>
                    <xdr:rowOff>929640</xdr:rowOff>
                  </from>
                  <to>
                    <xdr:col>7</xdr:col>
                    <xdr:colOff>1958340</xdr:colOff>
                    <xdr:row>33</xdr:row>
                    <xdr:rowOff>1120140</xdr:rowOff>
                  </to>
                </anchor>
              </controlPr>
            </control>
          </mc:Choice>
        </mc:AlternateContent>
        <mc:AlternateContent xmlns:mc="http://schemas.openxmlformats.org/markup-compatibility/2006">
          <mc:Choice Requires="x14">
            <control shapeId="243759" r:id="rId38" name="Group Box 47">
              <controlPr defaultSize="0" autoFill="0" autoPict="0">
                <anchor moveWithCells="1">
                  <from>
                    <xdr:col>7</xdr:col>
                    <xdr:colOff>0</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243760" r:id="rId39"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243761" r:id="rId40"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243762" r:id="rId41"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243763" r:id="rId42"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243764" r:id="rId43"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243765" r:id="rId44" name="Option Button 53">
              <controlPr defaultSize="0" autoFill="0" autoLine="0" autoPict="0">
                <anchor moveWithCells="1">
                  <from>
                    <xdr:col>7</xdr:col>
                    <xdr:colOff>114300</xdr:colOff>
                    <xdr:row>31</xdr:row>
                    <xdr:rowOff>144780</xdr:rowOff>
                  </from>
                  <to>
                    <xdr:col>7</xdr:col>
                    <xdr:colOff>1958340</xdr:colOff>
                    <xdr:row>31</xdr:row>
                    <xdr:rowOff>320040</xdr:rowOff>
                  </to>
                </anchor>
              </controlPr>
            </control>
          </mc:Choice>
        </mc:AlternateContent>
        <mc:AlternateContent xmlns:mc="http://schemas.openxmlformats.org/markup-compatibility/2006">
          <mc:Choice Requires="x14">
            <control shapeId="243766" r:id="rId45" name="Option Button 54">
              <controlPr defaultSize="0" autoFill="0" autoLine="0" autoPict="0">
                <anchor moveWithCells="1">
                  <from>
                    <xdr:col>7</xdr:col>
                    <xdr:colOff>114300</xdr:colOff>
                    <xdr:row>31</xdr:row>
                    <xdr:rowOff>396240</xdr:rowOff>
                  </from>
                  <to>
                    <xdr:col>7</xdr:col>
                    <xdr:colOff>1958340</xdr:colOff>
                    <xdr:row>31</xdr:row>
                    <xdr:rowOff>586740</xdr:rowOff>
                  </to>
                </anchor>
              </controlPr>
            </control>
          </mc:Choice>
        </mc:AlternateContent>
        <mc:AlternateContent xmlns:mc="http://schemas.openxmlformats.org/markup-compatibility/2006">
          <mc:Choice Requires="x14">
            <control shapeId="243767" r:id="rId46" name="Option Button 55">
              <controlPr defaultSize="0" autoFill="0" autoLine="0" autoPict="0">
                <anchor moveWithCells="1">
                  <from>
                    <xdr:col>7</xdr:col>
                    <xdr:colOff>114300</xdr:colOff>
                    <xdr:row>31</xdr:row>
                    <xdr:rowOff>640080</xdr:rowOff>
                  </from>
                  <to>
                    <xdr:col>7</xdr:col>
                    <xdr:colOff>1958340</xdr:colOff>
                    <xdr:row>31</xdr:row>
                    <xdr:rowOff>830580</xdr:rowOff>
                  </to>
                </anchor>
              </controlPr>
            </control>
          </mc:Choice>
        </mc:AlternateContent>
        <mc:AlternateContent xmlns:mc="http://schemas.openxmlformats.org/markup-compatibility/2006">
          <mc:Choice Requires="x14">
            <control shapeId="243768" r:id="rId47" name="Option Button 56">
              <controlPr defaultSize="0" autoFill="0" autoLine="0" autoPict="0">
                <anchor moveWithCells="1">
                  <from>
                    <xdr:col>7</xdr:col>
                    <xdr:colOff>114300</xdr:colOff>
                    <xdr:row>31</xdr:row>
                    <xdr:rowOff>922020</xdr:rowOff>
                  </from>
                  <to>
                    <xdr:col>7</xdr:col>
                    <xdr:colOff>1958340</xdr:colOff>
                    <xdr:row>31</xdr:row>
                    <xdr:rowOff>1120140</xdr:rowOff>
                  </to>
                </anchor>
              </controlPr>
            </control>
          </mc:Choice>
        </mc:AlternateContent>
        <mc:AlternateContent xmlns:mc="http://schemas.openxmlformats.org/markup-compatibility/2006">
          <mc:Choice Requires="x14">
            <control shapeId="243769" r:id="rId48"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243770" r:id="rId49"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243771" r:id="rId50" name="Option Button 59">
              <controlPr defaultSize="0" autoFill="0" autoLine="0" autoPict="0">
                <anchor moveWithCells="1">
                  <from>
                    <xdr:col>7</xdr:col>
                    <xdr:colOff>106680</xdr:colOff>
                    <xdr:row>30</xdr:row>
                    <xdr:rowOff>304800</xdr:rowOff>
                  </from>
                  <to>
                    <xdr:col>7</xdr:col>
                    <xdr:colOff>1950720</xdr:colOff>
                    <xdr:row>30</xdr:row>
                    <xdr:rowOff>502920</xdr:rowOff>
                  </to>
                </anchor>
              </controlPr>
            </control>
          </mc:Choice>
        </mc:AlternateContent>
        <mc:AlternateContent xmlns:mc="http://schemas.openxmlformats.org/markup-compatibility/2006">
          <mc:Choice Requires="x14">
            <control shapeId="243772" r:id="rId51" name="Option Button 60">
              <controlPr defaultSize="0" autoFill="0" autoLine="0" autoPict="0">
                <anchor moveWithCells="1">
                  <from>
                    <xdr:col>7</xdr:col>
                    <xdr:colOff>106680</xdr:colOff>
                    <xdr:row>30</xdr:row>
                    <xdr:rowOff>579120</xdr:rowOff>
                  </from>
                  <to>
                    <xdr:col>7</xdr:col>
                    <xdr:colOff>1958340</xdr:colOff>
                    <xdr:row>30</xdr:row>
                    <xdr:rowOff>754380</xdr:rowOff>
                  </to>
                </anchor>
              </controlPr>
            </control>
          </mc:Choice>
        </mc:AlternateContent>
        <mc:AlternateContent xmlns:mc="http://schemas.openxmlformats.org/markup-compatibility/2006">
          <mc:Choice Requires="x14">
            <control shapeId="243773" r:id="rId52" name="Option Button 61">
              <controlPr defaultSize="0" autoFill="0" autoLine="0" autoPict="0">
                <anchor moveWithCells="1">
                  <from>
                    <xdr:col>7</xdr:col>
                    <xdr:colOff>106680</xdr:colOff>
                    <xdr:row>30</xdr:row>
                    <xdr:rowOff>822960</xdr:rowOff>
                  </from>
                  <to>
                    <xdr:col>7</xdr:col>
                    <xdr:colOff>937260</xdr:colOff>
                    <xdr:row>30</xdr:row>
                    <xdr:rowOff>1013460</xdr:rowOff>
                  </to>
                </anchor>
              </controlPr>
            </control>
          </mc:Choice>
        </mc:AlternateContent>
        <mc:AlternateContent xmlns:mc="http://schemas.openxmlformats.org/markup-compatibility/2006">
          <mc:Choice Requires="x14">
            <control shapeId="243774" r:id="rId53" name="Group Box 62">
              <controlPr defaultSize="0" autoFill="0" autoPict="0">
                <anchor moveWithCells="1">
                  <from>
                    <xdr:col>7</xdr:col>
                    <xdr:colOff>0</xdr:colOff>
                    <xdr:row>30</xdr:row>
                    <xdr:rowOff>0</xdr:rowOff>
                  </from>
                  <to>
                    <xdr:col>7</xdr:col>
                    <xdr:colOff>1958340</xdr:colOff>
                    <xdr:row>31</xdr:row>
                    <xdr:rowOff>0</xdr:rowOff>
                  </to>
                </anchor>
              </controlPr>
            </control>
          </mc:Choice>
        </mc:AlternateContent>
        <mc:AlternateContent xmlns:mc="http://schemas.openxmlformats.org/markup-compatibility/2006">
          <mc:Choice Requires="x14">
            <control shapeId="243775" r:id="rId54"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243776" r:id="rId55" name="Option Button 64">
              <controlPr defaultSize="0" autoFill="0" autoLine="0" autoPict="0">
                <anchor moveWithCells="1">
                  <from>
                    <xdr:col>7</xdr:col>
                    <xdr:colOff>106680</xdr:colOff>
                    <xdr:row>29</xdr:row>
                    <xdr:rowOff>304800</xdr:rowOff>
                  </from>
                  <to>
                    <xdr:col>7</xdr:col>
                    <xdr:colOff>1958340</xdr:colOff>
                    <xdr:row>29</xdr:row>
                    <xdr:rowOff>502920</xdr:rowOff>
                  </to>
                </anchor>
              </controlPr>
            </control>
          </mc:Choice>
        </mc:AlternateContent>
        <mc:AlternateContent xmlns:mc="http://schemas.openxmlformats.org/markup-compatibility/2006">
          <mc:Choice Requires="x14">
            <control shapeId="243777" r:id="rId56" name="Option Button 65">
              <controlPr defaultSize="0" autoFill="0" autoLine="0" autoPict="0">
                <anchor moveWithCells="1">
                  <from>
                    <xdr:col>7</xdr:col>
                    <xdr:colOff>106680</xdr:colOff>
                    <xdr:row>29</xdr:row>
                    <xdr:rowOff>579120</xdr:rowOff>
                  </from>
                  <to>
                    <xdr:col>7</xdr:col>
                    <xdr:colOff>1965960</xdr:colOff>
                    <xdr:row>29</xdr:row>
                    <xdr:rowOff>754380</xdr:rowOff>
                  </to>
                </anchor>
              </controlPr>
            </control>
          </mc:Choice>
        </mc:AlternateContent>
        <mc:AlternateContent xmlns:mc="http://schemas.openxmlformats.org/markup-compatibility/2006">
          <mc:Choice Requires="x14">
            <control shapeId="243778" r:id="rId57"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243779" r:id="rId58"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243780" r:id="rId59"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243781" r:id="rId60" name="Option Button 69">
              <controlPr defaultSize="0" autoFill="0" autoLine="0" autoPict="0">
                <anchor moveWithCells="1">
                  <from>
                    <xdr:col>7</xdr:col>
                    <xdr:colOff>106680</xdr:colOff>
                    <xdr:row>43</xdr:row>
                    <xdr:rowOff>304800</xdr:rowOff>
                  </from>
                  <to>
                    <xdr:col>7</xdr:col>
                    <xdr:colOff>1958340</xdr:colOff>
                    <xdr:row>43</xdr:row>
                    <xdr:rowOff>502920</xdr:rowOff>
                  </to>
                </anchor>
              </controlPr>
            </control>
          </mc:Choice>
        </mc:AlternateContent>
        <mc:AlternateContent xmlns:mc="http://schemas.openxmlformats.org/markup-compatibility/2006">
          <mc:Choice Requires="x14">
            <control shapeId="243782" r:id="rId61" name="Option Button 70">
              <controlPr defaultSize="0" autoFill="0" autoLine="0" autoPict="0">
                <anchor moveWithCells="1">
                  <from>
                    <xdr:col>7</xdr:col>
                    <xdr:colOff>106680</xdr:colOff>
                    <xdr:row>43</xdr:row>
                    <xdr:rowOff>579120</xdr:rowOff>
                  </from>
                  <to>
                    <xdr:col>7</xdr:col>
                    <xdr:colOff>1965960</xdr:colOff>
                    <xdr:row>43</xdr:row>
                    <xdr:rowOff>754380</xdr:rowOff>
                  </to>
                </anchor>
              </controlPr>
            </control>
          </mc:Choice>
        </mc:AlternateContent>
        <mc:AlternateContent xmlns:mc="http://schemas.openxmlformats.org/markup-compatibility/2006">
          <mc:Choice Requires="x14">
            <control shapeId="243783" r:id="rId62"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243784" r:id="rId63"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243785" r:id="rId64" name="Option Button 73">
              <controlPr defaultSize="0" autoFill="0" autoLine="0" autoPict="0">
                <anchor moveWithCells="1">
                  <from>
                    <xdr:col>7</xdr:col>
                    <xdr:colOff>114300</xdr:colOff>
                    <xdr:row>44</xdr:row>
                    <xdr:rowOff>167640</xdr:rowOff>
                  </from>
                  <to>
                    <xdr:col>7</xdr:col>
                    <xdr:colOff>1958340</xdr:colOff>
                    <xdr:row>44</xdr:row>
                    <xdr:rowOff>373380</xdr:rowOff>
                  </to>
                </anchor>
              </controlPr>
            </control>
          </mc:Choice>
        </mc:AlternateContent>
        <mc:AlternateContent xmlns:mc="http://schemas.openxmlformats.org/markup-compatibility/2006">
          <mc:Choice Requires="x14">
            <control shapeId="243786" r:id="rId65" name="Option Button 74">
              <controlPr defaultSize="0" autoFill="0" autoLine="0" autoPict="0">
                <anchor moveWithCells="1">
                  <from>
                    <xdr:col>7</xdr:col>
                    <xdr:colOff>114300</xdr:colOff>
                    <xdr:row>44</xdr:row>
                    <xdr:rowOff>457200</xdr:rowOff>
                  </from>
                  <to>
                    <xdr:col>7</xdr:col>
                    <xdr:colOff>1958340</xdr:colOff>
                    <xdr:row>44</xdr:row>
                    <xdr:rowOff>678180</xdr:rowOff>
                  </to>
                </anchor>
              </controlPr>
            </control>
          </mc:Choice>
        </mc:AlternateContent>
        <mc:AlternateContent xmlns:mc="http://schemas.openxmlformats.org/markup-compatibility/2006">
          <mc:Choice Requires="x14">
            <control shapeId="243787" r:id="rId66" name="Option Button 75">
              <controlPr defaultSize="0" autoFill="0" autoLine="0" autoPict="0">
                <anchor moveWithCells="1">
                  <from>
                    <xdr:col>7</xdr:col>
                    <xdr:colOff>114300</xdr:colOff>
                    <xdr:row>44</xdr:row>
                    <xdr:rowOff>739140</xdr:rowOff>
                  </from>
                  <to>
                    <xdr:col>7</xdr:col>
                    <xdr:colOff>1958340</xdr:colOff>
                    <xdr:row>44</xdr:row>
                    <xdr:rowOff>960120</xdr:rowOff>
                  </to>
                </anchor>
              </controlPr>
            </control>
          </mc:Choice>
        </mc:AlternateContent>
        <mc:AlternateContent xmlns:mc="http://schemas.openxmlformats.org/markup-compatibility/2006">
          <mc:Choice Requires="x14">
            <control shapeId="243788" r:id="rId67" name="Option Button 76">
              <controlPr defaultSize="0" autoFill="0" autoLine="0" autoPict="0">
                <anchor moveWithCells="1">
                  <from>
                    <xdr:col>7</xdr:col>
                    <xdr:colOff>114300</xdr:colOff>
                    <xdr:row>44</xdr:row>
                    <xdr:rowOff>1066800</xdr:rowOff>
                  </from>
                  <to>
                    <xdr:col>7</xdr:col>
                    <xdr:colOff>1958340</xdr:colOff>
                    <xdr:row>44</xdr:row>
                    <xdr:rowOff>1287780</xdr:rowOff>
                  </to>
                </anchor>
              </controlPr>
            </control>
          </mc:Choice>
        </mc:AlternateContent>
        <mc:AlternateContent xmlns:mc="http://schemas.openxmlformats.org/markup-compatibility/2006">
          <mc:Choice Requires="x14">
            <control shapeId="243789" r:id="rId68"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243790" r:id="rId69"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243791" r:id="rId70" name="Option Button 79">
              <controlPr defaultSize="0" autoFill="0" autoLine="0" autoPict="0">
                <anchor moveWithCells="1">
                  <from>
                    <xdr:col>7</xdr:col>
                    <xdr:colOff>106680</xdr:colOff>
                    <xdr:row>46</xdr:row>
                    <xdr:rowOff>281940</xdr:rowOff>
                  </from>
                  <to>
                    <xdr:col>7</xdr:col>
                    <xdr:colOff>1958340</xdr:colOff>
                    <xdr:row>46</xdr:row>
                    <xdr:rowOff>464820</xdr:rowOff>
                  </to>
                </anchor>
              </controlPr>
            </control>
          </mc:Choice>
        </mc:AlternateContent>
        <mc:AlternateContent xmlns:mc="http://schemas.openxmlformats.org/markup-compatibility/2006">
          <mc:Choice Requires="x14">
            <control shapeId="243792" r:id="rId71" name="Option Button 80">
              <controlPr defaultSize="0" autoFill="0" autoLine="0" autoPict="0">
                <anchor moveWithCells="1">
                  <from>
                    <xdr:col>7</xdr:col>
                    <xdr:colOff>106680</xdr:colOff>
                    <xdr:row>46</xdr:row>
                    <xdr:rowOff>533400</xdr:rowOff>
                  </from>
                  <to>
                    <xdr:col>7</xdr:col>
                    <xdr:colOff>1965960</xdr:colOff>
                    <xdr:row>46</xdr:row>
                    <xdr:rowOff>693420</xdr:rowOff>
                  </to>
                </anchor>
              </controlPr>
            </control>
          </mc:Choice>
        </mc:AlternateContent>
        <mc:AlternateContent xmlns:mc="http://schemas.openxmlformats.org/markup-compatibility/2006">
          <mc:Choice Requires="x14">
            <control shapeId="243793" r:id="rId72"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243794" r:id="rId73"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243795" r:id="rId74"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243796" r:id="rId75" name="Option Button 84">
              <controlPr defaultSize="0" autoFill="0" autoLine="0" autoPict="0">
                <anchor moveWithCells="1">
                  <from>
                    <xdr:col>7</xdr:col>
                    <xdr:colOff>106680</xdr:colOff>
                    <xdr:row>45</xdr:row>
                    <xdr:rowOff>304800</xdr:rowOff>
                  </from>
                  <to>
                    <xdr:col>7</xdr:col>
                    <xdr:colOff>1958340</xdr:colOff>
                    <xdr:row>45</xdr:row>
                    <xdr:rowOff>502920</xdr:rowOff>
                  </to>
                </anchor>
              </controlPr>
            </control>
          </mc:Choice>
        </mc:AlternateContent>
        <mc:AlternateContent xmlns:mc="http://schemas.openxmlformats.org/markup-compatibility/2006">
          <mc:Choice Requires="x14">
            <control shapeId="243797" r:id="rId76" name="Option Button 85">
              <controlPr defaultSize="0" autoFill="0" autoLine="0" autoPict="0">
                <anchor moveWithCells="1">
                  <from>
                    <xdr:col>7</xdr:col>
                    <xdr:colOff>106680</xdr:colOff>
                    <xdr:row>45</xdr:row>
                    <xdr:rowOff>579120</xdr:rowOff>
                  </from>
                  <to>
                    <xdr:col>7</xdr:col>
                    <xdr:colOff>1965960</xdr:colOff>
                    <xdr:row>45</xdr:row>
                    <xdr:rowOff>754380</xdr:rowOff>
                  </to>
                </anchor>
              </controlPr>
            </control>
          </mc:Choice>
        </mc:AlternateContent>
        <mc:AlternateContent xmlns:mc="http://schemas.openxmlformats.org/markup-compatibility/2006">
          <mc:Choice Requires="x14">
            <control shapeId="243798" r:id="rId77"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243799" r:id="rId78"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243800" r:id="rId79" name="Option Button 88">
              <controlPr defaultSize="0" autoFill="0" autoLine="0" autoPict="0">
                <anchor moveWithCells="1">
                  <from>
                    <xdr:col>7</xdr:col>
                    <xdr:colOff>114300</xdr:colOff>
                    <xdr:row>60</xdr:row>
                    <xdr:rowOff>144780</xdr:rowOff>
                  </from>
                  <to>
                    <xdr:col>7</xdr:col>
                    <xdr:colOff>1958340</xdr:colOff>
                    <xdr:row>60</xdr:row>
                    <xdr:rowOff>320040</xdr:rowOff>
                  </to>
                </anchor>
              </controlPr>
            </control>
          </mc:Choice>
        </mc:AlternateContent>
        <mc:AlternateContent xmlns:mc="http://schemas.openxmlformats.org/markup-compatibility/2006">
          <mc:Choice Requires="x14">
            <control shapeId="243801" r:id="rId80" name="Option Button 89">
              <controlPr defaultSize="0" autoFill="0" autoLine="0" autoPict="0">
                <anchor moveWithCells="1">
                  <from>
                    <xdr:col>7</xdr:col>
                    <xdr:colOff>114300</xdr:colOff>
                    <xdr:row>60</xdr:row>
                    <xdr:rowOff>396240</xdr:rowOff>
                  </from>
                  <to>
                    <xdr:col>7</xdr:col>
                    <xdr:colOff>1958340</xdr:colOff>
                    <xdr:row>60</xdr:row>
                    <xdr:rowOff>586740</xdr:rowOff>
                  </to>
                </anchor>
              </controlPr>
            </control>
          </mc:Choice>
        </mc:AlternateContent>
        <mc:AlternateContent xmlns:mc="http://schemas.openxmlformats.org/markup-compatibility/2006">
          <mc:Choice Requires="x14">
            <control shapeId="243802" r:id="rId81" name="Option Button 90">
              <controlPr defaultSize="0" autoFill="0" autoLine="0" autoPict="0">
                <anchor moveWithCells="1">
                  <from>
                    <xdr:col>7</xdr:col>
                    <xdr:colOff>114300</xdr:colOff>
                    <xdr:row>60</xdr:row>
                    <xdr:rowOff>640080</xdr:rowOff>
                  </from>
                  <to>
                    <xdr:col>7</xdr:col>
                    <xdr:colOff>1958340</xdr:colOff>
                    <xdr:row>60</xdr:row>
                    <xdr:rowOff>830580</xdr:rowOff>
                  </to>
                </anchor>
              </controlPr>
            </control>
          </mc:Choice>
        </mc:AlternateContent>
        <mc:AlternateContent xmlns:mc="http://schemas.openxmlformats.org/markup-compatibility/2006">
          <mc:Choice Requires="x14">
            <control shapeId="243803" r:id="rId82" name="Option Button 91">
              <controlPr defaultSize="0" autoFill="0" autoLine="0" autoPict="0">
                <anchor moveWithCells="1">
                  <from>
                    <xdr:col>7</xdr:col>
                    <xdr:colOff>114300</xdr:colOff>
                    <xdr:row>60</xdr:row>
                    <xdr:rowOff>922020</xdr:rowOff>
                  </from>
                  <to>
                    <xdr:col>7</xdr:col>
                    <xdr:colOff>1958340</xdr:colOff>
                    <xdr:row>60</xdr:row>
                    <xdr:rowOff>1120140</xdr:rowOff>
                  </to>
                </anchor>
              </controlPr>
            </control>
          </mc:Choice>
        </mc:AlternateContent>
        <mc:AlternateContent xmlns:mc="http://schemas.openxmlformats.org/markup-compatibility/2006">
          <mc:Choice Requires="x14">
            <control shapeId="243804" r:id="rId83"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243805" r:id="rId84"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243806" r:id="rId85" name="Option Button 94">
              <controlPr defaultSize="0" autoFill="0" autoLine="0" autoPict="0">
                <anchor moveWithCells="1">
                  <from>
                    <xdr:col>7</xdr:col>
                    <xdr:colOff>106680</xdr:colOff>
                    <xdr:row>59</xdr:row>
                    <xdr:rowOff>304800</xdr:rowOff>
                  </from>
                  <to>
                    <xdr:col>7</xdr:col>
                    <xdr:colOff>1958340</xdr:colOff>
                    <xdr:row>59</xdr:row>
                    <xdr:rowOff>502920</xdr:rowOff>
                  </to>
                </anchor>
              </controlPr>
            </control>
          </mc:Choice>
        </mc:AlternateContent>
        <mc:AlternateContent xmlns:mc="http://schemas.openxmlformats.org/markup-compatibility/2006">
          <mc:Choice Requires="x14">
            <control shapeId="243807" r:id="rId86" name="Option Button 95">
              <controlPr defaultSize="0" autoFill="0" autoLine="0" autoPict="0">
                <anchor moveWithCells="1">
                  <from>
                    <xdr:col>7</xdr:col>
                    <xdr:colOff>106680</xdr:colOff>
                    <xdr:row>59</xdr:row>
                    <xdr:rowOff>579120</xdr:rowOff>
                  </from>
                  <to>
                    <xdr:col>7</xdr:col>
                    <xdr:colOff>1965960</xdr:colOff>
                    <xdr:row>59</xdr:row>
                    <xdr:rowOff>754380</xdr:rowOff>
                  </to>
                </anchor>
              </controlPr>
            </control>
          </mc:Choice>
        </mc:AlternateContent>
        <mc:AlternateContent xmlns:mc="http://schemas.openxmlformats.org/markup-compatibility/2006">
          <mc:Choice Requires="x14">
            <control shapeId="243808" r:id="rId87"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243809" r:id="rId88"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243811" r:id="rId89" name="Option Button 99">
              <controlPr defaultSize="0" autoFill="0" autoLine="0" autoPict="0">
                <anchor moveWithCells="1">
                  <from>
                    <xdr:col>7</xdr:col>
                    <xdr:colOff>114300</xdr:colOff>
                    <xdr:row>63</xdr:row>
                    <xdr:rowOff>144780</xdr:rowOff>
                  </from>
                  <to>
                    <xdr:col>7</xdr:col>
                    <xdr:colOff>1958340</xdr:colOff>
                    <xdr:row>63</xdr:row>
                    <xdr:rowOff>320040</xdr:rowOff>
                  </to>
                </anchor>
              </controlPr>
            </control>
          </mc:Choice>
        </mc:AlternateContent>
        <mc:AlternateContent xmlns:mc="http://schemas.openxmlformats.org/markup-compatibility/2006">
          <mc:Choice Requires="x14">
            <control shapeId="243812" r:id="rId90" name="Option Button 100">
              <controlPr defaultSize="0" autoFill="0" autoLine="0" autoPict="0">
                <anchor moveWithCells="1">
                  <from>
                    <xdr:col>7</xdr:col>
                    <xdr:colOff>114300</xdr:colOff>
                    <xdr:row>63</xdr:row>
                    <xdr:rowOff>396240</xdr:rowOff>
                  </from>
                  <to>
                    <xdr:col>7</xdr:col>
                    <xdr:colOff>1958340</xdr:colOff>
                    <xdr:row>63</xdr:row>
                    <xdr:rowOff>586740</xdr:rowOff>
                  </to>
                </anchor>
              </controlPr>
            </control>
          </mc:Choice>
        </mc:AlternateContent>
        <mc:AlternateContent xmlns:mc="http://schemas.openxmlformats.org/markup-compatibility/2006">
          <mc:Choice Requires="x14">
            <control shapeId="243813" r:id="rId91" name="Option Button 101">
              <controlPr defaultSize="0" autoFill="0" autoLine="0" autoPict="0">
                <anchor moveWithCells="1">
                  <from>
                    <xdr:col>7</xdr:col>
                    <xdr:colOff>114300</xdr:colOff>
                    <xdr:row>63</xdr:row>
                    <xdr:rowOff>640080</xdr:rowOff>
                  </from>
                  <to>
                    <xdr:col>7</xdr:col>
                    <xdr:colOff>1958340</xdr:colOff>
                    <xdr:row>63</xdr:row>
                    <xdr:rowOff>830580</xdr:rowOff>
                  </to>
                </anchor>
              </controlPr>
            </control>
          </mc:Choice>
        </mc:AlternateContent>
        <mc:AlternateContent xmlns:mc="http://schemas.openxmlformats.org/markup-compatibility/2006">
          <mc:Choice Requires="x14">
            <control shapeId="243814" r:id="rId92" name="Option Button 102">
              <controlPr defaultSize="0" autoFill="0" autoLine="0" autoPict="0">
                <anchor moveWithCells="1">
                  <from>
                    <xdr:col>7</xdr:col>
                    <xdr:colOff>114300</xdr:colOff>
                    <xdr:row>63</xdr:row>
                    <xdr:rowOff>922020</xdr:rowOff>
                  </from>
                  <to>
                    <xdr:col>7</xdr:col>
                    <xdr:colOff>1958340</xdr:colOff>
                    <xdr:row>63</xdr:row>
                    <xdr:rowOff>1120140</xdr:rowOff>
                  </to>
                </anchor>
              </controlPr>
            </control>
          </mc:Choice>
        </mc:AlternateContent>
        <mc:AlternateContent xmlns:mc="http://schemas.openxmlformats.org/markup-compatibility/2006">
          <mc:Choice Requires="x14">
            <control shapeId="243815" r:id="rId93"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243816" r:id="rId94" name="Option Button 104">
              <controlPr defaultSize="0" autoFill="0" autoLine="0" autoPict="0" altText="Case d'option 47">
                <anchor moveWithCells="1">
                  <from>
                    <xdr:col>7</xdr:col>
                    <xdr:colOff>114300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243817" r:id="rId95" name="Option Button 105">
              <controlPr defaultSize="0" autoFill="0" autoLine="0" autoPict="0">
                <anchor moveWithCells="1">
                  <from>
                    <xdr:col>7</xdr:col>
                    <xdr:colOff>114300</xdr:colOff>
                    <xdr:row>62</xdr:row>
                    <xdr:rowOff>304800</xdr:rowOff>
                  </from>
                  <to>
                    <xdr:col>7</xdr:col>
                    <xdr:colOff>1958340</xdr:colOff>
                    <xdr:row>62</xdr:row>
                    <xdr:rowOff>502920</xdr:rowOff>
                  </to>
                </anchor>
              </controlPr>
            </control>
          </mc:Choice>
        </mc:AlternateContent>
        <mc:AlternateContent xmlns:mc="http://schemas.openxmlformats.org/markup-compatibility/2006">
          <mc:Choice Requires="x14">
            <control shapeId="243818" r:id="rId96" name="Option Button 106">
              <controlPr defaultSize="0" autoFill="0" autoLine="0" autoPict="0">
                <anchor moveWithCells="1">
                  <from>
                    <xdr:col>7</xdr:col>
                    <xdr:colOff>114300</xdr:colOff>
                    <xdr:row>62</xdr:row>
                    <xdr:rowOff>579120</xdr:rowOff>
                  </from>
                  <to>
                    <xdr:col>7</xdr:col>
                    <xdr:colOff>1965960</xdr:colOff>
                    <xdr:row>62</xdr:row>
                    <xdr:rowOff>754380</xdr:rowOff>
                  </to>
                </anchor>
              </controlPr>
            </control>
          </mc:Choice>
        </mc:AlternateContent>
        <mc:AlternateContent xmlns:mc="http://schemas.openxmlformats.org/markup-compatibility/2006">
          <mc:Choice Requires="x14">
            <control shapeId="243819" r:id="rId97" name="Option Button 107">
              <controlPr defaultSize="0" autoFill="0" autoLine="0" autoPict="0">
                <anchor moveWithCells="1">
                  <from>
                    <xdr:col>7</xdr:col>
                    <xdr:colOff>114300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243820" r:id="rId98"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243821" r:id="rId99"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243822" r:id="rId100" name="Option Button 110">
              <controlPr defaultSize="0" autoFill="0" autoLine="0" autoPict="0">
                <anchor moveWithCells="1">
                  <from>
                    <xdr:col>7</xdr:col>
                    <xdr:colOff>106680</xdr:colOff>
                    <xdr:row>61</xdr:row>
                    <xdr:rowOff>304800</xdr:rowOff>
                  </from>
                  <to>
                    <xdr:col>7</xdr:col>
                    <xdr:colOff>1958340</xdr:colOff>
                    <xdr:row>61</xdr:row>
                    <xdr:rowOff>502920</xdr:rowOff>
                  </to>
                </anchor>
              </controlPr>
            </control>
          </mc:Choice>
        </mc:AlternateContent>
        <mc:AlternateContent xmlns:mc="http://schemas.openxmlformats.org/markup-compatibility/2006">
          <mc:Choice Requires="x14">
            <control shapeId="243823" r:id="rId101" name="Option Button 111">
              <controlPr defaultSize="0" autoFill="0" autoLine="0" autoPict="0">
                <anchor moveWithCells="1">
                  <from>
                    <xdr:col>7</xdr:col>
                    <xdr:colOff>106680</xdr:colOff>
                    <xdr:row>61</xdr:row>
                    <xdr:rowOff>579120</xdr:rowOff>
                  </from>
                  <to>
                    <xdr:col>7</xdr:col>
                    <xdr:colOff>1965960</xdr:colOff>
                    <xdr:row>61</xdr:row>
                    <xdr:rowOff>754380</xdr:rowOff>
                  </to>
                </anchor>
              </controlPr>
            </control>
          </mc:Choice>
        </mc:AlternateContent>
        <mc:AlternateContent xmlns:mc="http://schemas.openxmlformats.org/markup-compatibility/2006">
          <mc:Choice Requires="x14">
            <control shapeId="243824" r:id="rId102"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243825" r:id="rId103"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243831" r:id="rId104" name="Option Button 119">
              <controlPr defaultSize="0" autoFill="0" autoLine="0" autoPict="0">
                <anchor moveWithCells="1">
                  <from>
                    <xdr:col>7</xdr:col>
                    <xdr:colOff>114300</xdr:colOff>
                    <xdr:row>78</xdr:row>
                    <xdr:rowOff>144780</xdr:rowOff>
                  </from>
                  <to>
                    <xdr:col>7</xdr:col>
                    <xdr:colOff>1958340</xdr:colOff>
                    <xdr:row>78</xdr:row>
                    <xdr:rowOff>320040</xdr:rowOff>
                  </to>
                </anchor>
              </controlPr>
            </control>
          </mc:Choice>
        </mc:AlternateContent>
        <mc:AlternateContent xmlns:mc="http://schemas.openxmlformats.org/markup-compatibility/2006">
          <mc:Choice Requires="x14">
            <control shapeId="243832" r:id="rId105" name="Option Button 120">
              <controlPr defaultSize="0" autoFill="0" autoLine="0" autoPict="0">
                <anchor moveWithCells="1">
                  <from>
                    <xdr:col>7</xdr:col>
                    <xdr:colOff>114300</xdr:colOff>
                    <xdr:row>78</xdr:row>
                    <xdr:rowOff>396240</xdr:rowOff>
                  </from>
                  <to>
                    <xdr:col>7</xdr:col>
                    <xdr:colOff>1958340</xdr:colOff>
                    <xdr:row>78</xdr:row>
                    <xdr:rowOff>586740</xdr:rowOff>
                  </to>
                </anchor>
              </controlPr>
            </control>
          </mc:Choice>
        </mc:AlternateContent>
        <mc:AlternateContent xmlns:mc="http://schemas.openxmlformats.org/markup-compatibility/2006">
          <mc:Choice Requires="x14">
            <control shapeId="243833" r:id="rId106" name="Option Button 121">
              <controlPr defaultSize="0" autoFill="0" autoLine="0" autoPict="0">
                <anchor moveWithCells="1">
                  <from>
                    <xdr:col>7</xdr:col>
                    <xdr:colOff>114300</xdr:colOff>
                    <xdr:row>78</xdr:row>
                    <xdr:rowOff>640080</xdr:rowOff>
                  </from>
                  <to>
                    <xdr:col>7</xdr:col>
                    <xdr:colOff>1958340</xdr:colOff>
                    <xdr:row>78</xdr:row>
                    <xdr:rowOff>830580</xdr:rowOff>
                  </to>
                </anchor>
              </controlPr>
            </control>
          </mc:Choice>
        </mc:AlternateContent>
        <mc:AlternateContent xmlns:mc="http://schemas.openxmlformats.org/markup-compatibility/2006">
          <mc:Choice Requires="x14">
            <control shapeId="243834" r:id="rId107" name="Option Button 122">
              <controlPr defaultSize="0" autoFill="0" autoLine="0" autoPict="0">
                <anchor moveWithCells="1">
                  <from>
                    <xdr:col>7</xdr:col>
                    <xdr:colOff>114300</xdr:colOff>
                    <xdr:row>78</xdr:row>
                    <xdr:rowOff>922020</xdr:rowOff>
                  </from>
                  <to>
                    <xdr:col>7</xdr:col>
                    <xdr:colOff>1958340</xdr:colOff>
                    <xdr:row>78</xdr:row>
                    <xdr:rowOff>1120140</xdr:rowOff>
                  </to>
                </anchor>
              </controlPr>
            </control>
          </mc:Choice>
        </mc:AlternateContent>
        <mc:AlternateContent xmlns:mc="http://schemas.openxmlformats.org/markup-compatibility/2006">
          <mc:Choice Requires="x14">
            <control shapeId="243835" r:id="rId108"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243836" r:id="rId109"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243837" r:id="rId110" name="Option Button 125">
              <controlPr defaultSize="0" autoFill="0" autoLine="0" autoPict="0">
                <anchor moveWithCells="1">
                  <from>
                    <xdr:col>7</xdr:col>
                    <xdr:colOff>106680</xdr:colOff>
                    <xdr:row>77</xdr:row>
                    <xdr:rowOff>304800</xdr:rowOff>
                  </from>
                  <to>
                    <xdr:col>7</xdr:col>
                    <xdr:colOff>1958340</xdr:colOff>
                    <xdr:row>77</xdr:row>
                    <xdr:rowOff>502920</xdr:rowOff>
                  </to>
                </anchor>
              </controlPr>
            </control>
          </mc:Choice>
        </mc:AlternateContent>
        <mc:AlternateContent xmlns:mc="http://schemas.openxmlformats.org/markup-compatibility/2006">
          <mc:Choice Requires="x14">
            <control shapeId="243838" r:id="rId111" name="Option Button 126">
              <controlPr defaultSize="0" autoFill="0" autoLine="0" autoPict="0">
                <anchor moveWithCells="1">
                  <from>
                    <xdr:col>7</xdr:col>
                    <xdr:colOff>106680</xdr:colOff>
                    <xdr:row>77</xdr:row>
                    <xdr:rowOff>579120</xdr:rowOff>
                  </from>
                  <to>
                    <xdr:col>7</xdr:col>
                    <xdr:colOff>1965960</xdr:colOff>
                    <xdr:row>77</xdr:row>
                    <xdr:rowOff>754380</xdr:rowOff>
                  </to>
                </anchor>
              </controlPr>
            </control>
          </mc:Choice>
        </mc:AlternateContent>
        <mc:AlternateContent xmlns:mc="http://schemas.openxmlformats.org/markup-compatibility/2006">
          <mc:Choice Requires="x14">
            <control shapeId="243839" r:id="rId112"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243840" r:id="rId113"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243841" r:id="rId114" name="Option Button 129">
              <controlPr defaultSize="0" autoFill="0" autoLine="0" autoPict="0">
                <anchor moveWithCells="1">
                  <from>
                    <xdr:col>7</xdr:col>
                    <xdr:colOff>114300</xdr:colOff>
                    <xdr:row>81</xdr:row>
                    <xdr:rowOff>144780</xdr:rowOff>
                  </from>
                  <to>
                    <xdr:col>7</xdr:col>
                    <xdr:colOff>1958340</xdr:colOff>
                    <xdr:row>81</xdr:row>
                    <xdr:rowOff>320040</xdr:rowOff>
                  </to>
                </anchor>
              </controlPr>
            </control>
          </mc:Choice>
        </mc:AlternateContent>
        <mc:AlternateContent xmlns:mc="http://schemas.openxmlformats.org/markup-compatibility/2006">
          <mc:Choice Requires="x14">
            <control shapeId="243842" r:id="rId115" name="Option Button 130">
              <controlPr defaultSize="0" autoFill="0" autoLine="0" autoPict="0">
                <anchor moveWithCells="1">
                  <from>
                    <xdr:col>7</xdr:col>
                    <xdr:colOff>114300</xdr:colOff>
                    <xdr:row>81</xdr:row>
                    <xdr:rowOff>396240</xdr:rowOff>
                  </from>
                  <to>
                    <xdr:col>7</xdr:col>
                    <xdr:colOff>1958340</xdr:colOff>
                    <xdr:row>81</xdr:row>
                    <xdr:rowOff>586740</xdr:rowOff>
                  </to>
                </anchor>
              </controlPr>
            </control>
          </mc:Choice>
        </mc:AlternateContent>
        <mc:AlternateContent xmlns:mc="http://schemas.openxmlformats.org/markup-compatibility/2006">
          <mc:Choice Requires="x14">
            <control shapeId="243843" r:id="rId116" name="Option Button 131">
              <controlPr defaultSize="0" autoFill="0" autoLine="0" autoPict="0">
                <anchor moveWithCells="1">
                  <from>
                    <xdr:col>7</xdr:col>
                    <xdr:colOff>114300</xdr:colOff>
                    <xdr:row>81</xdr:row>
                    <xdr:rowOff>640080</xdr:rowOff>
                  </from>
                  <to>
                    <xdr:col>7</xdr:col>
                    <xdr:colOff>1958340</xdr:colOff>
                    <xdr:row>81</xdr:row>
                    <xdr:rowOff>830580</xdr:rowOff>
                  </to>
                </anchor>
              </controlPr>
            </control>
          </mc:Choice>
        </mc:AlternateContent>
        <mc:AlternateContent xmlns:mc="http://schemas.openxmlformats.org/markup-compatibility/2006">
          <mc:Choice Requires="x14">
            <control shapeId="243844" r:id="rId117" name="Option Button 132">
              <controlPr defaultSize="0" autoFill="0" autoLine="0" autoPict="0">
                <anchor moveWithCells="1">
                  <from>
                    <xdr:col>7</xdr:col>
                    <xdr:colOff>114300</xdr:colOff>
                    <xdr:row>81</xdr:row>
                    <xdr:rowOff>922020</xdr:rowOff>
                  </from>
                  <to>
                    <xdr:col>7</xdr:col>
                    <xdr:colOff>1958340</xdr:colOff>
                    <xdr:row>81</xdr:row>
                    <xdr:rowOff>1120140</xdr:rowOff>
                  </to>
                </anchor>
              </controlPr>
            </control>
          </mc:Choice>
        </mc:AlternateContent>
        <mc:AlternateContent xmlns:mc="http://schemas.openxmlformats.org/markup-compatibility/2006">
          <mc:Choice Requires="x14">
            <control shapeId="243845" r:id="rId118"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243846" r:id="rId119" name="Option Button 134">
              <controlPr defaultSize="0" autoFill="0" autoLine="0" autoPict="0" altText="Case d'option 47">
                <anchor moveWithCells="1">
                  <from>
                    <xdr:col>7</xdr:col>
                    <xdr:colOff>114300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243847" r:id="rId120" name="Option Button 135">
              <controlPr defaultSize="0" autoFill="0" autoLine="0" autoPict="0">
                <anchor moveWithCells="1">
                  <from>
                    <xdr:col>7</xdr:col>
                    <xdr:colOff>114300</xdr:colOff>
                    <xdr:row>80</xdr:row>
                    <xdr:rowOff>304800</xdr:rowOff>
                  </from>
                  <to>
                    <xdr:col>7</xdr:col>
                    <xdr:colOff>1958340</xdr:colOff>
                    <xdr:row>80</xdr:row>
                    <xdr:rowOff>502920</xdr:rowOff>
                  </to>
                </anchor>
              </controlPr>
            </control>
          </mc:Choice>
        </mc:AlternateContent>
        <mc:AlternateContent xmlns:mc="http://schemas.openxmlformats.org/markup-compatibility/2006">
          <mc:Choice Requires="x14">
            <control shapeId="243848" r:id="rId121" name="Option Button 136">
              <controlPr defaultSize="0" autoFill="0" autoLine="0" autoPict="0">
                <anchor moveWithCells="1">
                  <from>
                    <xdr:col>7</xdr:col>
                    <xdr:colOff>114300</xdr:colOff>
                    <xdr:row>80</xdr:row>
                    <xdr:rowOff>579120</xdr:rowOff>
                  </from>
                  <to>
                    <xdr:col>7</xdr:col>
                    <xdr:colOff>1965960</xdr:colOff>
                    <xdr:row>80</xdr:row>
                    <xdr:rowOff>754380</xdr:rowOff>
                  </to>
                </anchor>
              </controlPr>
            </control>
          </mc:Choice>
        </mc:AlternateContent>
        <mc:AlternateContent xmlns:mc="http://schemas.openxmlformats.org/markup-compatibility/2006">
          <mc:Choice Requires="x14">
            <control shapeId="243849" r:id="rId122" name="Option Button 137">
              <controlPr defaultSize="0" autoFill="0" autoLine="0" autoPict="0">
                <anchor moveWithCells="1">
                  <from>
                    <xdr:col>7</xdr:col>
                    <xdr:colOff>114300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243850" r:id="rId123"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243851" r:id="rId124"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243852" r:id="rId125" name="Option Button 140">
              <controlPr defaultSize="0" autoFill="0" autoLine="0" autoPict="0">
                <anchor moveWithCells="1">
                  <from>
                    <xdr:col>7</xdr:col>
                    <xdr:colOff>106680</xdr:colOff>
                    <xdr:row>79</xdr:row>
                    <xdr:rowOff>304800</xdr:rowOff>
                  </from>
                  <to>
                    <xdr:col>7</xdr:col>
                    <xdr:colOff>1958340</xdr:colOff>
                    <xdr:row>79</xdr:row>
                    <xdr:rowOff>502920</xdr:rowOff>
                  </to>
                </anchor>
              </controlPr>
            </control>
          </mc:Choice>
        </mc:AlternateContent>
        <mc:AlternateContent xmlns:mc="http://schemas.openxmlformats.org/markup-compatibility/2006">
          <mc:Choice Requires="x14">
            <control shapeId="243853" r:id="rId126" name="Option Button 141">
              <controlPr defaultSize="0" autoFill="0" autoLine="0" autoPict="0">
                <anchor moveWithCells="1">
                  <from>
                    <xdr:col>7</xdr:col>
                    <xdr:colOff>106680</xdr:colOff>
                    <xdr:row>79</xdr:row>
                    <xdr:rowOff>579120</xdr:rowOff>
                  </from>
                  <to>
                    <xdr:col>7</xdr:col>
                    <xdr:colOff>1965960</xdr:colOff>
                    <xdr:row>79</xdr:row>
                    <xdr:rowOff>754380</xdr:rowOff>
                  </to>
                </anchor>
              </controlPr>
            </control>
          </mc:Choice>
        </mc:AlternateContent>
        <mc:AlternateContent xmlns:mc="http://schemas.openxmlformats.org/markup-compatibility/2006">
          <mc:Choice Requires="x14">
            <control shapeId="243854" r:id="rId127"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243855" r:id="rId128"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243856" r:id="rId129"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11" r:id="rId130" name="Option Button 145">
              <controlPr defaultSize="0" autoFill="0" autoLine="0" autoPict="0">
                <anchor moveWithCells="1">
                  <from>
                    <xdr:col>7</xdr:col>
                    <xdr:colOff>114300</xdr:colOff>
                    <xdr:row>27</xdr:row>
                    <xdr:rowOff>144780</xdr:rowOff>
                  </from>
                  <to>
                    <xdr:col>7</xdr:col>
                    <xdr:colOff>1958340</xdr:colOff>
                    <xdr:row>27</xdr:row>
                    <xdr:rowOff>320040</xdr:rowOff>
                  </to>
                </anchor>
              </controlPr>
            </control>
          </mc:Choice>
        </mc:AlternateContent>
        <mc:AlternateContent xmlns:mc="http://schemas.openxmlformats.org/markup-compatibility/2006">
          <mc:Choice Requires="x14">
            <control shapeId="243858" r:id="rId131" name="Option Button 146">
              <controlPr defaultSize="0" autoFill="0" autoLine="0" autoPict="0">
                <anchor moveWithCells="1">
                  <from>
                    <xdr:col>7</xdr:col>
                    <xdr:colOff>114300</xdr:colOff>
                    <xdr:row>27</xdr:row>
                    <xdr:rowOff>396240</xdr:rowOff>
                  </from>
                  <to>
                    <xdr:col>7</xdr:col>
                    <xdr:colOff>1958340</xdr:colOff>
                    <xdr:row>27</xdr:row>
                    <xdr:rowOff>586740</xdr:rowOff>
                  </to>
                </anchor>
              </controlPr>
            </control>
          </mc:Choice>
        </mc:AlternateContent>
        <mc:AlternateContent xmlns:mc="http://schemas.openxmlformats.org/markup-compatibility/2006">
          <mc:Choice Requires="x14">
            <control shapeId="243859" r:id="rId132" name="Option Button 147">
              <controlPr defaultSize="0" autoFill="0" autoLine="0" autoPict="0">
                <anchor moveWithCells="1">
                  <from>
                    <xdr:col>7</xdr:col>
                    <xdr:colOff>114300</xdr:colOff>
                    <xdr:row>27</xdr:row>
                    <xdr:rowOff>640080</xdr:rowOff>
                  </from>
                  <to>
                    <xdr:col>7</xdr:col>
                    <xdr:colOff>1958340</xdr:colOff>
                    <xdr:row>27</xdr:row>
                    <xdr:rowOff>830580</xdr:rowOff>
                  </to>
                </anchor>
              </controlPr>
            </control>
          </mc:Choice>
        </mc:AlternateContent>
        <mc:AlternateContent xmlns:mc="http://schemas.openxmlformats.org/markup-compatibility/2006">
          <mc:Choice Requires="x14">
            <control shapeId="243860" r:id="rId133" name="Option Button 148">
              <controlPr defaultSize="0" autoFill="0" autoLine="0" autoPict="0">
                <anchor moveWithCells="1">
                  <from>
                    <xdr:col>7</xdr:col>
                    <xdr:colOff>114300</xdr:colOff>
                    <xdr:row>27</xdr:row>
                    <xdr:rowOff>922020</xdr:rowOff>
                  </from>
                  <to>
                    <xdr:col>7</xdr:col>
                    <xdr:colOff>1958340</xdr:colOff>
                    <xdr:row>27</xdr:row>
                    <xdr:rowOff>1120140</xdr:rowOff>
                  </to>
                </anchor>
              </controlPr>
            </control>
          </mc:Choice>
        </mc:AlternateContent>
        <mc:AlternateContent xmlns:mc="http://schemas.openxmlformats.org/markup-compatibility/2006">
          <mc:Choice Requires="x14">
            <control shapeId="243861" r:id="rId134"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243867" r:id="rId135"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243868" r:id="rId136" name="Option Button 156">
              <controlPr defaultSize="0" autoFill="0" autoLine="0" autoPict="0">
                <anchor moveWithCells="1">
                  <from>
                    <xdr:col>7</xdr:col>
                    <xdr:colOff>106680</xdr:colOff>
                    <xdr:row>47</xdr:row>
                    <xdr:rowOff>304800</xdr:rowOff>
                  </from>
                  <to>
                    <xdr:col>7</xdr:col>
                    <xdr:colOff>1958340</xdr:colOff>
                    <xdr:row>47</xdr:row>
                    <xdr:rowOff>502920</xdr:rowOff>
                  </to>
                </anchor>
              </controlPr>
            </control>
          </mc:Choice>
        </mc:AlternateContent>
        <mc:AlternateContent xmlns:mc="http://schemas.openxmlformats.org/markup-compatibility/2006">
          <mc:Choice Requires="x14">
            <control shapeId="243869" r:id="rId137" name="Option Button 157">
              <controlPr defaultSize="0" autoFill="0" autoLine="0" autoPict="0">
                <anchor moveWithCells="1">
                  <from>
                    <xdr:col>7</xdr:col>
                    <xdr:colOff>106680</xdr:colOff>
                    <xdr:row>47</xdr:row>
                    <xdr:rowOff>579120</xdr:rowOff>
                  </from>
                  <to>
                    <xdr:col>7</xdr:col>
                    <xdr:colOff>1965960</xdr:colOff>
                    <xdr:row>47</xdr:row>
                    <xdr:rowOff>754380</xdr:rowOff>
                  </to>
                </anchor>
              </controlPr>
            </control>
          </mc:Choice>
        </mc:AlternateContent>
        <mc:AlternateContent xmlns:mc="http://schemas.openxmlformats.org/markup-compatibility/2006">
          <mc:Choice Requires="x14">
            <control shapeId="243870" r:id="rId138"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12" r:id="rId139"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243877" r:id="rId140" name="Option Button 165">
              <controlPr defaultSize="0" autoFill="0" autoLine="0" autoPict="0">
                <anchor moveWithCells="1">
                  <from>
                    <xdr:col>7</xdr:col>
                    <xdr:colOff>114300</xdr:colOff>
                    <xdr:row>83</xdr:row>
                    <xdr:rowOff>144780</xdr:rowOff>
                  </from>
                  <to>
                    <xdr:col>7</xdr:col>
                    <xdr:colOff>1958340</xdr:colOff>
                    <xdr:row>83</xdr:row>
                    <xdr:rowOff>320040</xdr:rowOff>
                  </to>
                </anchor>
              </controlPr>
            </control>
          </mc:Choice>
        </mc:AlternateContent>
        <mc:AlternateContent xmlns:mc="http://schemas.openxmlformats.org/markup-compatibility/2006">
          <mc:Choice Requires="x14">
            <control shapeId="49" r:id="rId141" name="Option Button 166">
              <controlPr defaultSize="0" autoFill="0" autoLine="0" autoPict="0">
                <anchor moveWithCells="1">
                  <from>
                    <xdr:col>7</xdr:col>
                    <xdr:colOff>114300</xdr:colOff>
                    <xdr:row>83</xdr:row>
                    <xdr:rowOff>396240</xdr:rowOff>
                  </from>
                  <to>
                    <xdr:col>7</xdr:col>
                    <xdr:colOff>1958340</xdr:colOff>
                    <xdr:row>83</xdr:row>
                    <xdr:rowOff>586740</xdr:rowOff>
                  </to>
                </anchor>
              </controlPr>
            </control>
          </mc:Choice>
        </mc:AlternateContent>
        <mc:AlternateContent xmlns:mc="http://schemas.openxmlformats.org/markup-compatibility/2006">
          <mc:Choice Requires="x14">
            <control shapeId="243718" r:id="rId142" name="Option Button 167">
              <controlPr defaultSize="0" autoFill="0" autoLine="0" autoPict="0">
                <anchor moveWithCells="1">
                  <from>
                    <xdr:col>7</xdr:col>
                    <xdr:colOff>114300</xdr:colOff>
                    <xdr:row>83</xdr:row>
                    <xdr:rowOff>640080</xdr:rowOff>
                  </from>
                  <to>
                    <xdr:col>7</xdr:col>
                    <xdr:colOff>1958340</xdr:colOff>
                    <xdr:row>83</xdr:row>
                    <xdr:rowOff>830580</xdr:rowOff>
                  </to>
                </anchor>
              </controlPr>
            </control>
          </mc:Choice>
        </mc:AlternateContent>
        <mc:AlternateContent xmlns:mc="http://schemas.openxmlformats.org/markup-compatibility/2006">
          <mc:Choice Requires="x14">
            <control shapeId="243880" r:id="rId143" name="Option Button 168">
              <controlPr defaultSize="0" autoFill="0" autoLine="0" autoPict="0">
                <anchor moveWithCells="1">
                  <from>
                    <xdr:col>7</xdr:col>
                    <xdr:colOff>114300</xdr:colOff>
                    <xdr:row>83</xdr:row>
                    <xdr:rowOff>922020</xdr:rowOff>
                  </from>
                  <to>
                    <xdr:col>7</xdr:col>
                    <xdr:colOff>1958340</xdr:colOff>
                    <xdr:row>83</xdr:row>
                    <xdr:rowOff>1120140</xdr:rowOff>
                  </to>
                </anchor>
              </controlPr>
            </control>
          </mc:Choice>
        </mc:AlternateContent>
        <mc:AlternateContent xmlns:mc="http://schemas.openxmlformats.org/markup-compatibility/2006">
          <mc:Choice Requires="x14">
            <control shapeId="243881" r:id="rId144" name="Group Box 169">
              <controlPr defaultSize="0" autoFill="0" autoPict="0">
                <anchor moveWithCells="1">
                  <from>
                    <xdr:col>7</xdr:col>
                    <xdr:colOff>0</xdr:colOff>
                    <xdr:row>83</xdr:row>
                    <xdr:rowOff>0</xdr:rowOff>
                  </from>
                  <to>
                    <xdr:col>8</xdr:col>
                    <xdr:colOff>0</xdr:colOff>
                    <xdr:row>84</xdr:row>
                    <xdr:rowOff>0</xdr:rowOff>
                  </to>
                </anchor>
              </controlPr>
            </control>
          </mc:Choice>
        </mc:AlternateContent>
        <mc:AlternateContent xmlns:mc="http://schemas.openxmlformats.org/markup-compatibility/2006">
          <mc:Choice Requires="x14">
            <control shapeId="243882" r:id="rId145" name="Option Button 170">
              <controlPr defaultSize="0" autoFill="0" autoLine="0" autoPict="0" altText="Case d'option 47">
                <anchor moveWithCells="1">
                  <from>
                    <xdr:col>7</xdr:col>
                    <xdr:colOff>114300</xdr:colOff>
                    <xdr:row>82</xdr:row>
                    <xdr:rowOff>68580</xdr:rowOff>
                  </from>
                  <to>
                    <xdr:col>7</xdr:col>
                    <xdr:colOff>1501140</xdr:colOff>
                    <xdr:row>82</xdr:row>
                    <xdr:rowOff>259080</xdr:rowOff>
                  </to>
                </anchor>
              </controlPr>
            </control>
          </mc:Choice>
        </mc:AlternateContent>
        <mc:AlternateContent xmlns:mc="http://schemas.openxmlformats.org/markup-compatibility/2006">
          <mc:Choice Requires="x14">
            <control shapeId="243883" r:id="rId146" name="Option Button 171">
              <controlPr defaultSize="0" autoFill="0" autoLine="0" autoPict="0">
                <anchor moveWithCells="1">
                  <from>
                    <xdr:col>7</xdr:col>
                    <xdr:colOff>114300</xdr:colOff>
                    <xdr:row>82</xdr:row>
                    <xdr:rowOff>304800</xdr:rowOff>
                  </from>
                  <to>
                    <xdr:col>7</xdr:col>
                    <xdr:colOff>1958340</xdr:colOff>
                    <xdr:row>82</xdr:row>
                    <xdr:rowOff>502920</xdr:rowOff>
                  </to>
                </anchor>
              </controlPr>
            </control>
          </mc:Choice>
        </mc:AlternateContent>
        <mc:AlternateContent xmlns:mc="http://schemas.openxmlformats.org/markup-compatibility/2006">
          <mc:Choice Requires="x14">
            <control shapeId="243884" r:id="rId147" name="Option Button 172">
              <controlPr defaultSize="0" autoFill="0" autoLine="0" autoPict="0">
                <anchor moveWithCells="1">
                  <from>
                    <xdr:col>7</xdr:col>
                    <xdr:colOff>114300</xdr:colOff>
                    <xdr:row>82</xdr:row>
                    <xdr:rowOff>579120</xdr:rowOff>
                  </from>
                  <to>
                    <xdr:col>7</xdr:col>
                    <xdr:colOff>1965960</xdr:colOff>
                    <xdr:row>82</xdr:row>
                    <xdr:rowOff>754380</xdr:rowOff>
                  </to>
                </anchor>
              </controlPr>
            </control>
          </mc:Choice>
        </mc:AlternateContent>
        <mc:AlternateContent xmlns:mc="http://schemas.openxmlformats.org/markup-compatibility/2006">
          <mc:Choice Requires="x14">
            <control shapeId="243885" r:id="rId148" name="Option Button 173">
              <controlPr defaultSize="0" autoFill="0" autoLine="0" autoPict="0">
                <anchor moveWithCells="1">
                  <from>
                    <xdr:col>7</xdr:col>
                    <xdr:colOff>114300</xdr:colOff>
                    <xdr:row>82</xdr:row>
                    <xdr:rowOff>822960</xdr:rowOff>
                  </from>
                  <to>
                    <xdr:col>7</xdr:col>
                    <xdr:colOff>937260</xdr:colOff>
                    <xdr:row>82</xdr:row>
                    <xdr:rowOff>1005840</xdr:rowOff>
                  </to>
                </anchor>
              </controlPr>
            </control>
          </mc:Choice>
        </mc:AlternateContent>
        <mc:AlternateContent xmlns:mc="http://schemas.openxmlformats.org/markup-compatibility/2006">
          <mc:Choice Requires="x14">
            <control shapeId="243724" r:id="rId149" name="Group Box 174">
              <controlPr defaultSize="0" autoFill="0" autoPict="0">
                <anchor moveWithCells="1">
                  <from>
                    <xdr:col>7</xdr:col>
                    <xdr:colOff>0</xdr:colOff>
                    <xdr:row>82</xdr:row>
                    <xdr:rowOff>0</xdr:rowOff>
                  </from>
                  <to>
                    <xdr:col>8</xdr:col>
                    <xdr:colOff>0</xdr:colOff>
                    <xdr:row>83</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9E0E-16D4-4573-81E7-1091D5290F47}">
  <sheetPr codeName="Feuil23">
    <tabColor rgb="FF1C3D79"/>
  </sheetPr>
  <dimension ref="A1:AI65"/>
  <sheetViews>
    <sheetView showGridLines="0" showRowColHeaders="0" zoomScale="53" zoomScaleNormal="69" workbookViewId="0">
      <selection activeCell="AQ7" sqref="AQ7"/>
    </sheetView>
  </sheetViews>
  <sheetFormatPr baseColWidth="10" defaultColWidth="8.88671875" defaultRowHeight="14.4" x14ac:dyDescent="0.3"/>
  <cols>
    <col min="1" max="2" width="5.77734375" style="31" customWidth="1"/>
    <col min="3" max="5" width="5.77734375" style="31" hidden="1" customWidth="1"/>
    <col min="6" max="6" width="25.554687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307"/>
      <c r="B1" s="299" t="s">
        <v>562</v>
      </c>
      <c r="C1" s="307"/>
      <c r="D1" s="307"/>
      <c r="E1" s="300"/>
      <c r="F1" s="300"/>
      <c r="G1" s="300"/>
      <c r="H1" s="300"/>
      <c r="I1" s="300"/>
      <c r="J1" s="308"/>
      <c r="K1" s="309"/>
      <c r="L1" s="300"/>
      <c r="M1" s="300"/>
      <c r="N1" s="310"/>
      <c r="O1" s="310"/>
      <c r="P1" s="310"/>
      <c r="Q1" s="310" t="str">
        <f>VLOOKUP($E$27,BDD!$A$2:$N$567,3,FALSE)</f>
        <v>Données &amp; IA</v>
      </c>
      <c r="R1" s="298"/>
      <c r="S1" s="312"/>
      <c r="T1" s="312"/>
      <c r="U1" s="312"/>
      <c r="V1" s="312"/>
      <c r="W1" s="312"/>
      <c r="X1" s="312"/>
      <c r="Y1" s="312"/>
      <c r="Z1" s="312"/>
      <c r="AA1" s="312"/>
      <c r="AB1" s="312"/>
      <c r="AC1" s="312"/>
      <c r="AD1" s="312"/>
      <c r="AE1" s="312"/>
      <c r="AF1" s="312"/>
      <c r="AG1" s="312"/>
      <c r="AH1" s="312"/>
      <c r="AI1" s="30"/>
    </row>
    <row r="2" spans="1:35" ht="45" customHeight="1" x14ac:dyDescent="0.3">
      <c r="A2" s="298"/>
      <c r="B2" s="298"/>
      <c r="C2" s="298"/>
      <c r="D2" s="298"/>
      <c r="E2" s="298"/>
      <c r="F2" s="298"/>
      <c r="G2" s="298"/>
      <c r="H2" s="298"/>
      <c r="I2" s="298"/>
      <c r="J2" s="298"/>
      <c r="K2" s="298"/>
      <c r="L2" s="298"/>
      <c r="M2" s="298"/>
      <c r="N2" s="303"/>
      <c r="O2" s="303"/>
      <c r="P2" s="303"/>
      <c r="Q2" s="303" t="str">
        <f>VLOOKUP($E$27,BDD!$A$2:$N$567,4,FALSE)</f>
        <v>Connaître, gérer, valoriser, protéger les données de l'organisation, et tirer profit de l'IA et des data sciences.</v>
      </c>
      <c r="R2" s="298"/>
      <c r="S2" s="313"/>
      <c r="T2" s="313"/>
      <c r="U2" s="313"/>
      <c r="V2" s="313"/>
      <c r="W2" s="313"/>
      <c r="X2" s="313"/>
      <c r="Y2" s="313"/>
      <c r="Z2" s="313"/>
      <c r="AA2" s="313"/>
      <c r="AB2" s="313"/>
      <c r="AC2" s="313"/>
      <c r="AD2" s="313"/>
      <c r="AE2" s="313"/>
      <c r="AF2" s="313"/>
      <c r="AG2" s="313"/>
      <c r="AH2" s="313"/>
      <c r="AI2" s="30"/>
    </row>
    <row r="3" spans="1:35" ht="45" customHeight="1" thickBot="1" x14ac:dyDescent="0.35">
      <c r="A3" s="311"/>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311"/>
      <c r="AI3" s="30"/>
    </row>
    <row r="4" spans="1:35" ht="26.4" thickBot="1" x14ac:dyDescent="0.55000000000000004">
      <c r="A4" s="311"/>
      <c r="B4" s="30"/>
      <c r="C4" s="30"/>
      <c r="D4" s="30"/>
      <c r="E4" s="30"/>
      <c r="F4" s="30"/>
      <c r="G4" s="36" t="s">
        <v>1</v>
      </c>
      <c r="H4" s="34"/>
      <c r="I4" s="32"/>
      <c r="J4" s="34"/>
      <c r="K4" s="34"/>
      <c r="L4" s="34"/>
      <c r="M4" s="34"/>
      <c r="N4" s="30"/>
      <c r="O4" s="30"/>
      <c r="P4" s="30"/>
      <c r="Q4" s="30"/>
      <c r="R4" s="30"/>
      <c r="S4" s="30"/>
      <c r="T4" s="30"/>
      <c r="U4" s="30"/>
      <c r="V4" s="30"/>
      <c r="W4" s="108" t="s">
        <v>0</v>
      </c>
      <c r="X4" s="30"/>
      <c r="Y4" s="30"/>
      <c r="Z4" s="30"/>
      <c r="AA4" s="417"/>
      <c r="AB4" s="418" t="s">
        <v>1079</v>
      </c>
      <c r="AC4" s="30"/>
      <c r="AD4" s="30"/>
      <c r="AE4" s="30"/>
      <c r="AF4" s="35"/>
      <c r="AG4" s="35"/>
      <c r="AH4" s="315"/>
      <c r="AI4" s="30"/>
    </row>
    <row r="5" spans="1:35" ht="30" customHeight="1" thickBot="1" x14ac:dyDescent="0.35">
      <c r="A5" s="311"/>
      <c r="B5" s="30"/>
      <c r="C5" s="30"/>
      <c r="D5" s="30"/>
      <c r="E5" s="30" t="str">
        <f>RIGHT($B$1,1)&amp;"11"</f>
        <v>511</v>
      </c>
      <c r="F5" s="30"/>
      <c r="G5" s="196" t="str">
        <f>IF(VLOOKUP(E5,BDD!$A$2:$N$567,13,FALSE)=0,"",VLOOKUP(E5,BDD!$A$2:$N$567,13,FALSE))</f>
        <v>Gouverner les données comme un actif stratégique de l’organisation.</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311"/>
      <c r="AI5" s="30"/>
    </row>
    <row r="6" spans="1:35" ht="30" customHeight="1" x14ac:dyDescent="0.3">
      <c r="A6" s="314"/>
      <c r="B6" s="38"/>
      <c r="C6" s="38"/>
      <c r="D6" s="38"/>
      <c r="E6" s="38" t="str">
        <f>RIGHT($B$1,1)&amp;"12"</f>
        <v>512</v>
      </c>
      <c r="F6" s="38"/>
      <c r="G6" s="196" t="str">
        <f>IF(VLOOKUP(E6,BDD!$A$2:$N$567,13,FALSE)=0,"",VLOOKUP(E6,BDD!$A$2:$N$567,13,FALSE))</f>
        <v>Exploiter les données pour développer de nouveaux produits et services et renforcer la différenciation concurrentielle. </v>
      </c>
      <c r="H6" s="39"/>
      <c r="I6" s="32"/>
      <c r="K6" s="39"/>
      <c r="L6" s="505"/>
      <c r="M6" s="506"/>
      <c r="N6" s="507"/>
      <c r="O6" s="508"/>
      <c r="P6" s="508"/>
      <c r="Q6" s="508"/>
      <c r="R6" s="508"/>
      <c r="S6" s="508"/>
      <c r="T6" s="508"/>
      <c r="U6" s="508"/>
      <c r="V6" s="508"/>
      <c r="W6" s="508"/>
      <c r="X6" s="508"/>
      <c r="Y6" s="508"/>
      <c r="Z6" s="508"/>
      <c r="AA6" s="508"/>
      <c r="AB6" s="509"/>
      <c r="AC6" s="35"/>
      <c r="AD6" s="35"/>
      <c r="AE6" s="35"/>
      <c r="AF6" s="32"/>
      <c r="AG6" s="32"/>
      <c r="AH6" s="316"/>
      <c r="AI6" s="38"/>
    </row>
    <row r="7" spans="1:35" ht="31.8" thickBot="1" x14ac:dyDescent="0.35">
      <c r="A7" s="314"/>
      <c r="B7" s="38"/>
      <c r="C7" s="38" t="s">
        <v>164</v>
      </c>
      <c r="D7" s="38"/>
      <c r="E7" s="38" t="str">
        <f>RIGHT($B$1,1)&amp;"13"</f>
        <v>513</v>
      </c>
      <c r="F7" s="38"/>
      <c r="G7" s="196" t="str">
        <f>IF(VLOOKUP(E7,BDD!$A$2:$N$567,13,FALSE)=0,"",VLOOKUP(E7,BDD!$A$2:$N$567,13,FALSE))</f>
        <v>Tirer profit de l'IA pour améliorer la performance et générer de nouveaux usages ou offres de produits ou services. </v>
      </c>
      <c r="H7" s="39"/>
      <c r="I7" s="32"/>
      <c r="K7" s="39"/>
      <c r="L7" s="510"/>
      <c r="M7" s="511"/>
      <c r="N7" s="420" t="s">
        <v>2</v>
      </c>
      <c r="O7" s="421" t="s">
        <v>3</v>
      </c>
      <c r="P7" s="421" t="s">
        <v>4</v>
      </c>
      <c r="Q7" s="421" t="s">
        <v>5</v>
      </c>
      <c r="R7" s="421" t="s">
        <v>6</v>
      </c>
      <c r="S7" s="421" t="s">
        <v>7</v>
      </c>
      <c r="T7" s="421" t="s">
        <v>8</v>
      </c>
      <c r="U7" s="421" t="s">
        <v>9</v>
      </c>
      <c r="V7" s="512"/>
      <c r="W7" s="460" t="s">
        <v>10</v>
      </c>
      <c r="X7" s="461" t="s">
        <v>11</v>
      </c>
      <c r="Y7" s="513"/>
      <c r="Z7" s="463" t="s">
        <v>12</v>
      </c>
      <c r="AA7" s="464" t="s">
        <v>13</v>
      </c>
      <c r="AB7" s="514"/>
      <c r="AC7" s="40"/>
      <c r="AD7" s="637" t="s">
        <v>14</v>
      </c>
      <c r="AE7" s="41" t="s">
        <v>15</v>
      </c>
      <c r="AF7" s="32"/>
      <c r="AG7" s="32"/>
      <c r="AH7" s="316"/>
      <c r="AI7" s="38"/>
    </row>
    <row r="8" spans="1:35" ht="41.4" x14ac:dyDescent="0.3">
      <c r="A8" s="314"/>
      <c r="B8" s="38"/>
      <c r="C8" s="38"/>
      <c r="D8" s="38"/>
      <c r="E8" s="38" t="str">
        <f>RIGHT($B$1,1)&amp;"14"</f>
        <v>514</v>
      </c>
      <c r="F8" s="38"/>
      <c r="G8" s="196" t="str">
        <f>IF(VLOOKUP(E8,BDD!$A$2:$N$567,13,FALSE)=0,"",VLOOKUP(E8,BDD!$A$2:$N$567,13,FALSE))</f>
        <v>Permettre une prise de décision éclairée et proactive, et améliorer l’efficacité des processus.</v>
      </c>
      <c r="H8" s="39"/>
      <c r="I8" s="32"/>
      <c r="K8" s="39"/>
      <c r="L8" s="510"/>
      <c r="M8" s="419" t="str">
        <f>IF(LEFT(RIGHT($B$1,2),1)=" ",RIGHT($B$1,1),RIGHT($B$1,2))&amp;1</f>
        <v>51</v>
      </c>
      <c r="N8" s="422" t="str">
        <f>RIGHT(M8,1)&amp;" : "&amp;VLOOKUP($M8&amp;"1",BDD!$A$2:$N$567,6,FALSE)</f>
        <v>1 : Stratégie et gouvernance</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23" t="str">
        <f>IF(VLOOKUP($M8&amp;RIGHT(Q$7,1),BDD!$A$1:$S$428,15,FALSE)=4,"NE",IF(VLOOKUP($M8&amp;RIGHT(Q$7,1),BDD!$A$1:$S$428,15,FALSE)=0,"NE",VLOOKUP($M8&amp;RIGHT(Q$7,1),BDD!$A$1:$S$428,15,FALSE)))</f>
        <v>NE</v>
      </c>
      <c r="R8" s="423" t="str">
        <f>IF(VLOOKUP($M8&amp;RIGHT(R$7,1),BDD!$A$1:$S$428,15,FALSE)=4,"NE",IF(VLOOKUP($M8&amp;RIGHT(R$7,1),BDD!$A$1:$S$428,15,FALSE)=0,"NE",VLOOKUP($M8&amp;RIGHT(R$7,1),BDD!$A$1:$S$428,15,FALSE)))</f>
        <v>NE</v>
      </c>
      <c r="S8" s="423" t="str">
        <f>IF(VLOOKUP($M8&amp;RIGHT(S$7,1),BDD!$A$1:$S$428,15,FALSE)=4,"NE",IF(VLOOKUP($M8&amp;RIGHT(S$7,1),BDD!$A$1:$S$428,15,FALSE)=0,"NE",VLOOKUP($M8&amp;RIGHT(S$7,1),BDD!$A$1:$S$428,15,FALSE)))</f>
        <v>NE</v>
      </c>
      <c r="T8" s="475"/>
      <c r="U8" s="475"/>
      <c r="V8" s="512"/>
      <c r="W8" s="441" t="s">
        <v>16</v>
      </c>
      <c r="X8" s="442"/>
      <c r="Y8" s="515"/>
      <c r="Z8" s="468">
        <f>O25</f>
        <v>0</v>
      </c>
      <c r="AA8" s="469">
        <f>S25</f>
        <v>0</v>
      </c>
      <c r="AB8" s="514"/>
      <c r="AC8" s="40"/>
      <c r="AD8" s="638"/>
      <c r="AE8" s="44" t="s">
        <v>17</v>
      </c>
      <c r="AF8" s="32"/>
      <c r="AG8" s="32"/>
      <c r="AH8" s="316"/>
      <c r="AI8" s="38"/>
    </row>
    <row r="9" spans="1:35" ht="30" customHeight="1" x14ac:dyDescent="0.3">
      <c r="A9" s="314"/>
      <c r="B9" s="38"/>
      <c r="C9" s="38"/>
      <c r="D9" s="38"/>
      <c r="E9" s="38" t="str">
        <f>RIGHT($B$1,1)&amp;"15"</f>
        <v>515</v>
      </c>
      <c r="F9" s="38"/>
      <c r="G9" s="196" t="str">
        <f>IF(VLOOKUP(E9,BDD!$A$2:$N$567,13,FALSE)=0,"",VLOOKUP(E9,BDD!$A$2:$N$567,13,FALSE))</f>
        <v>Instaurer et maintenir la confiance dans l’utilisation des données (internes et externes).</v>
      </c>
      <c r="H9" s="39"/>
      <c r="I9" s="32"/>
      <c r="K9" s="39"/>
      <c r="L9" s="510"/>
      <c r="M9" s="419" t="str">
        <f>IF(LEFT(RIGHT($B$1,2),1)=" ",RIGHT($B$1,1),RIGHT($B$1,2))&amp;2</f>
        <v>52</v>
      </c>
      <c r="N9" s="424" t="str">
        <f>RIGHT(M9,1)&amp;" : "&amp;VLOOKUP($M9&amp;"1",BDD!$A$2:$N$567,6,FALSE)</f>
        <v>2 : Processus</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5" t="str">
        <f>IF(VLOOKUP($M9&amp;RIGHT(R$7,1),BDD!$A$1:$S$428,15,FALSE)=4,"NE",IF(VLOOKUP($M9&amp;RIGHT(R$7,1),BDD!$A$1:$S$428,15,FALSE)=0,"NE",VLOOKUP($M9&amp;RIGHT(R$7,1),BDD!$A$1:$S$428,15,FALSE)))</f>
        <v>NE</v>
      </c>
      <c r="S9" s="425" t="str">
        <f>IF(VLOOKUP($M9&amp;RIGHT(S$7,1),BDD!$A$1:$S$428,15,FALSE)=4,"NE",IF(VLOOKUP($M9&amp;RIGHT(S$7,1),BDD!$A$1:$S$428,15,FALSE)=0,"NE",VLOOKUP($M9&amp;RIGHT(S$7,1),BDD!$A$1:$S$428,15,FALSE)))</f>
        <v>NE</v>
      </c>
      <c r="T9" s="425" t="str">
        <f>IF(VLOOKUP($M9&amp;RIGHT(T$7,1),BDD!$A$1:$S$428,15,FALSE)=4,"NE",IF(VLOOKUP($M9&amp;RIGHT(T$7,1),BDD!$A$1:$S$428,15,FALSE)=0,"NE",VLOOKUP($M9&amp;RIGHT(T$7,1),BDD!$A$1:$S$428,15,FALSE)))</f>
        <v>NE</v>
      </c>
      <c r="U9" s="470" t="str">
        <f>IF(VLOOKUP($M9&amp;RIGHT(U$7,1),BDD!$A$1:$S$428,15,FALSE)=4,"NE",IF(VLOOKUP($M9&amp;RIGHT(U$7,1),BDD!$A$1:$S$428,15,FALSE)=0,"NE",VLOOKUP($M9&amp;RIGHT(U$7,1),BDD!$A$1:$S$428,15,FALSE)))</f>
        <v>NE</v>
      </c>
      <c r="V9" s="512"/>
      <c r="W9" s="443" t="s">
        <v>16</v>
      </c>
      <c r="X9" s="444"/>
      <c r="Y9" s="516"/>
      <c r="Z9" s="472">
        <f>O32</f>
        <v>0</v>
      </c>
      <c r="AA9" s="473">
        <f>S32</f>
        <v>0</v>
      </c>
      <c r="AB9" s="514"/>
      <c r="AC9" s="40"/>
      <c r="AD9" s="638"/>
      <c r="AE9" s="48" t="s">
        <v>18</v>
      </c>
      <c r="AF9" s="32"/>
      <c r="AG9" s="32"/>
      <c r="AH9" s="316"/>
      <c r="AI9" s="38"/>
    </row>
    <row r="10" spans="1:35" ht="30" customHeight="1" x14ac:dyDescent="0.3">
      <c r="A10" s="314"/>
      <c r="B10" s="38"/>
      <c r="C10" s="38"/>
      <c r="D10" s="38"/>
      <c r="E10" s="38" t="str">
        <f>RIGHT($B$1,1)&amp;"16"</f>
        <v>516</v>
      </c>
      <c r="F10" s="38"/>
      <c r="G10" s="31" t="str">
        <f>IF(VLOOKUP(E10,BDD!$A$2:$N$567,13,FALSE)=0,"",VLOOKUP(E10,BDD!$A$2:$N$567,13,FALSE))</f>
        <v/>
      </c>
      <c r="H10" s="39"/>
      <c r="I10" s="32"/>
      <c r="K10" s="39"/>
      <c r="L10" s="510"/>
      <c r="M10" s="419" t="str">
        <f>IF(LEFT(RIGHT($B$1,2),1)=" ",RIGHT($B$1,1),RIGHT($B$1,2))&amp;3</f>
        <v>53</v>
      </c>
      <c r="N10" s="422" t="str">
        <f>RIGHT(M10,1)&amp;" : "&amp;VLOOKUP($M10&amp;"1",BDD!$A$2:$N$567,6,FALSE)</f>
        <v>3 : Valorisation</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23" t="str">
        <f>IF(VLOOKUP($M10&amp;RIGHT(Q$7,1),BDD!$A$1:$S$428,15,FALSE)=4,"NE",IF(VLOOKUP($M10&amp;RIGHT(Q$7,1),BDD!$A$1:$S$428,15,FALSE)=0,"NE",VLOOKUP($M10&amp;RIGHT(Q$7,1),BDD!$A$1:$S$428,15,FALSE)))</f>
        <v>NE</v>
      </c>
      <c r="R10" s="428" t="str">
        <f>IF(VLOOKUP($M10&amp;RIGHT(R$7,1),BDD!$A$1:$S$428,15,FALSE)=4,"NE",IF(VLOOKUP($M10&amp;RIGHT(R$7,1),BDD!$A$1:$S$428,15,FALSE)=0,"NE",VLOOKUP($M10&amp;RIGHT(R$7,1),BDD!$A$1:$S$428,15,FALSE)))</f>
        <v>NE</v>
      </c>
      <c r="S10" s="423" t="str">
        <f>IF(VLOOKUP($M10&amp;RIGHT(S$7,1),BDD!$A$1:$S$428,15,FALSE)=4,"NE",IF(VLOOKUP($M10&amp;RIGHT(S$7,1),BDD!$A$1:$S$428,15,FALSE)=0,"NE",VLOOKUP($M10&amp;RIGHT(S$7,1),BDD!$A$1:$S$428,15,FALSE)))</f>
        <v>NE</v>
      </c>
      <c r="T10" s="475"/>
      <c r="U10" s="430"/>
      <c r="V10" s="512"/>
      <c r="W10" s="445" t="s">
        <v>16</v>
      </c>
      <c r="X10" s="446"/>
      <c r="Y10" s="515"/>
      <c r="Z10" s="468">
        <f>O41</f>
        <v>0</v>
      </c>
      <c r="AA10" s="469">
        <f>S41</f>
        <v>0</v>
      </c>
      <c r="AB10" s="514"/>
      <c r="AC10" s="40"/>
      <c r="AD10" s="638"/>
      <c r="AE10" s="53" t="s">
        <v>19</v>
      </c>
      <c r="AF10" s="51"/>
      <c r="AG10" s="52"/>
      <c r="AH10" s="317"/>
      <c r="AI10" s="38"/>
    </row>
    <row r="11" spans="1:35" ht="30" customHeight="1" x14ac:dyDescent="0.3">
      <c r="A11" s="311"/>
      <c r="B11" s="30"/>
      <c r="C11" s="30"/>
      <c r="D11" s="30"/>
      <c r="E11" s="30" t="str">
        <f>RIGHT($B$1,1)&amp;"17"</f>
        <v>517</v>
      </c>
      <c r="F11" s="30"/>
      <c r="G11" s="31" t="str">
        <f>IF(VLOOKUP(E11,BDD!$A$2:$N$567,13,FALSE)=0,"",VLOOKUP(E11,BDD!$A$2:$N$567,13,FALSE))</f>
        <v/>
      </c>
      <c r="H11" s="52"/>
      <c r="I11" s="32"/>
      <c r="K11" s="52"/>
      <c r="L11" s="517"/>
      <c r="M11" s="419" t="str">
        <f>IF(LEFT(RIGHT($B$1,2),1)=" ",RIGHT($B$1,1),RIGHT($B$1,2))&amp;4</f>
        <v>54</v>
      </c>
      <c r="N11" s="424" t="str">
        <f>RIGHT(M11,1)&amp;" : "&amp;VLOOKUP($M11&amp;"1",BDD!$A$2:$N$567,6,FALSE)</f>
        <v>4 : Sécurisation</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5" t="str">
        <f>IF(VLOOKUP($M11&amp;RIGHT(Q$7,1),BDD!$A$1:$S$428,15,FALSE)=4,"NE",IF(VLOOKUP($M11&amp;RIGHT(Q$7,1),BDD!$A$1:$S$428,15,FALSE)=0,"NE",VLOOKUP($M11&amp;RIGHT(Q$7,1),BDD!$A$1:$S$428,15,FALSE)))</f>
        <v>NE</v>
      </c>
      <c r="R11" s="425" t="str">
        <f>IF(VLOOKUP($M11&amp;RIGHT(R$7,1),BDD!$A$1:$S$428,15,FALSE)=4,"NE",IF(VLOOKUP($M11&amp;RIGHT(R$7,1),BDD!$A$1:$S$428,15,FALSE)=0,"NE",VLOOKUP($M11&amp;RIGHT(R$7,1),BDD!$A$1:$S$428,15,FALSE)))</f>
        <v>NE</v>
      </c>
      <c r="S11" s="425" t="str">
        <f>IF(VLOOKUP($M11&amp;RIGHT(S$7,1),BDD!$A$1:$S$428,15,FALSE)=4,"NE",IF(VLOOKUP($M11&amp;RIGHT(S$7,1),BDD!$A$1:$S$428,15,FALSE)=0,"NE",VLOOKUP($M11&amp;RIGHT(S$7,1),BDD!$A$1:$S$428,15,FALSE)))</f>
        <v>NE</v>
      </c>
      <c r="T11" s="426"/>
      <c r="U11" s="427"/>
      <c r="V11" s="512"/>
      <c r="W11" s="443" t="s">
        <v>16</v>
      </c>
      <c r="X11" s="444"/>
      <c r="Y11" s="515"/>
      <c r="Z11" s="472">
        <f>O48</f>
        <v>0</v>
      </c>
      <c r="AA11" s="473">
        <f>S48</f>
        <v>0</v>
      </c>
      <c r="AB11" s="514"/>
      <c r="AC11" s="40"/>
      <c r="AD11" s="212"/>
      <c r="AF11" s="51"/>
      <c r="AG11" s="52"/>
      <c r="AH11" s="317"/>
      <c r="AI11" s="30"/>
    </row>
    <row r="12" spans="1:35" ht="30" customHeight="1" thickBot="1" x14ac:dyDescent="0.35">
      <c r="A12" s="311"/>
      <c r="B12" s="30"/>
      <c r="C12" s="30"/>
      <c r="D12" s="30"/>
      <c r="E12" s="30"/>
      <c r="F12" s="30"/>
      <c r="G12" s="54" t="s">
        <v>20</v>
      </c>
      <c r="H12" s="32"/>
      <c r="I12" s="32"/>
      <c r="K12" s="32"/>
      <c r="L12" s="518"/>
      <c r="M12" s="419" t="str">
        <f>IF(LEFT(RIGHT($B$1,2),1)=" ",RIGHT($B$1,1),RIGHT($B$1,2))&amp;5</f>
        <v>55</v>
      </c>
      <c r="N12" s="422" t="str">
        <f>RIGHT(M12,1)&amp;" : "&amp;VLOOKUP($M12&amp;"1",BDD!$A$2:$N$567,6,FALSE)</f>
        <v>5 : Intelligence artificielle</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23" t="str">
        <f>IF(VLOOKUP($M12&amp;RIGHT(R$7,1),BDD!$A$1:$S$428,15,FALSE)=4,"NE",IF(VLOOKUP($M12&amp;RIGHT(R$7,1),BDD!$A$1:$S$428,15,FALSE)=0,"NE",VLOOKUP($M12&amp;RIGHT(R$7,1),BDD!$A$1:$S$428,15,FALSE)))</f>
        <v>NE</v>
      </c>
      <c r="S12" s="423" t="str">
        <f>IF(VLOOKUP($M12&amp;RIGHT(S$7,1),BDD!$A$1:$S$428,15,FALSE)=4,"NE",IF(VLOOKUP($M12&amp;RIGHT(S$7,1),BDD!$A$1:$S$428,15,FALSE)=0,"NE",VLOOKUP($M12&amp;RIGHT(S$7,1),BDD!$A$1:$S$428,15,FALSE)))</f>
        <v>NE</v>
      </c>
      <c r="T12" s="423" t="str">
        <f>IF(VLOOKUP($M12&amp;RIGHT(T$7,1),BDD!$A$1:$S$428,15,FALSE)=4,"NE",IF(VLOOKUP($M12&amp;RIGHT(T$7,1),BDD!$A$1:$S$428,15,FALSE)=0,"NE",VLOOKUP($M12&amp;RIGHT(T$7,1),BDD!$A$1:$S$428,15,FALSE)))</f>
        <v>NE</v>
      </c>
      <c r="U12" s="429" t="str">
        <f>IF(VLOOKUP($M12&amp;RIGHT(U$7,1),BDD!$A$1:$S$428,15,FALSE)=4,"NE",IF(VLOOKUP($M12&amp;RIGHT(U$7,1),BDD!$A$1:$S$428,15,FALSE)=0,"NE",VLOOKUP($M12&amp;RIGHT(U$7,1),BDD!$A$1:$S$428,15,FALSE)))</f>
        <v>NE</v>
      </c>
      <c r="V12" s="512"/>
      <c r="W12" s="500" t="s">
        <v>16</v>
      </c>
      <c r="X12" s="501"/>
      <c r="Y12" s="515"/>
      <c r="Z12" s="468">
        <f>O55</f>
        <v>0</v>
      </c>
      <c r="AA12" s="469">
        <f>S55</f>
        <v>0</v>
      </c>
      <c r="AB12" s="514"/>
      <c r="AC12" s="40"/>
      <c r="AD12" s="213"/>
      <c r="AF12" s="55"/>
      <c r="AG12" s="30"/>
      <c r="AH12" s="311"/>
      <c r="AI12" s="30"/>
    </row>
    <row r="13" spans="1:35" ht="30" customHeight="1" x14ac:dyDescent="0.3">
      <c r="A13" s="311"/>
      <c r="B13" s="30"/>
      <c r="C13" s="30"/>
      <c r="D13" s="30"/>
      <c r="E13" s="30" t="str">
        <f>RIGHT($B$1,1)&amp;"11"</f>
        <v>511</v>
      </c>
      <c r="F13" s="30"/>
      <c r="G13" s="197" t="str">
        <f>IF(VLOOKUP(E13,BDD!$A$2:$N$567,14,FALSE)=0,"",VLOOKUP(E13,BDD!$A$2:$N$567,14,FALSE))</f>
        <v>Perte de compétitivité, affaiblissement de la réputation ou de l’image.</v>
      </c>
      <c r="H13" s="34"/>
      <c r="I13" s="32"/>
      <c r="K13" s="34"/>
      <c r="L13" s="519"/>
      <c r="M13" s="520"/>
      <c r="N13" s="521"/>
      <c r="O13" s="521"/>
      <c r="P13" s="521"/>
      <c r="Q13" s="521"/>
      <c r="R13" s="521"/>
      <c r="S13" s="521"/>
      <c r="T13" s="521"/>
      <c r="U13" s="521"/>
      <c r="V13" s="521"/>
      <c r="W13" s="522"/>
      <c r="X13" s="522"/>
      <c r="Y13" s="522"/>
      <c r="Z13" s="522"/>
      <c r="AA13" s="522"/>
      <c r="AB13" s="523"/>
      <c r="AC13" s="55"/>
      <c r="AD13" s="30"/>
      <c r="AE13" s="55"/>
      <c r="AF13" s="56"/>
      <c r="AG13" s="40"/>
      <c r="AH13" s="318"/>
      <c r="AI13" s="30"/>
    </row>
    <row r="14" spans="1:35" ht="30" customHeight="1" thickBot="1" x14ac:dyDescent="0.35">
      <c r="A14" s="311"/>
      <c r="B14" s="30"/>
      <c r="C14" s="30"/>
      <c r="D14" s="30"/>
      <c r="E14" s="30" t="str">
        <f>RIGHT($B$1,1)&amp;"12"</f>
        <v>512</v>
      </c>
      <c r="F14" s="30"/>
      <c r="G14" s="197" t="str">
        <f>IF(VLOOKUP(E14,BDD!$A$2:$N$567,14,FALSE)=0,"",VLOOKUP(E14,BDD!$A$2:$N$567,14,FALSE))</f>
        <v>Perturbation ou blocage de l’activité de l’organisation.</v>
      </c>
      <c r="H14" s="57"/>
      <c r="I14" s="32"/>
      <c r="K14" s="58"/>
      <c r="L14" s="524"/>
      <c r="M14" s="520"/>
      <c r="N14" s="525" t="str">
        <f>"Evaluation globale du vecteur "&amp;RIGHT(B1,2)</f>
        <v>Evaluation globale du vecteur  5</v>
      </c>
      <c r="O14" s="526"/>
      <c r="P14" s="526"/>
      <c r="Q14" s="526"/>
      <c r="R14" s="526"/>
      <c r="S14" s="526"/>
      <c r="T14" s="526"/>
      <c r="U14" s="526"/>
      <c r="V14" s="526"/>
      <c r="W14" s="527"/>
      <c r="X14" s="522"/>
      <c r="Y14" s="515"/>
      <c r="Z14" s="528" t="s">
        <v>642</v>
      </c>
      <c r="AA14" s="529" t="s">
        <v>643</v>
      </c>
      <c r="AB14" s="523"/>
      <c r="AC14" s="30"/>
      <c r="AD14" s="56"/>
      <c r="AE14" s="56"/>
      <c r="AF14" s="30"/>
      <c r="AG14" s="30"/>
      <c r="AH14" s="311"/>
      <c r="AI14" s="30"/>
    </row>
    <row r="15" spans="1:35" ht="30" customHeight="1" thickBot="1" x14ac:dyDescent="0.35">
      <c r="A15" s="311"/>
      <c r="B15" s="30"/>
      <c r="C15" s="30"/>
      <c r="D15" s="30"/>
      <c r="E15" s="30" t="str">
        <f>RIGHT($B$1,1)&amp;"13"</f>
        <v>513</v>
      </c>
      <c r="F15" s="30"/>
      <c r="G15" s="197" t="str">
        <f>IF(VLOOKUP(E15,BDD!$A$2:$N$567,14,FALSE)=0,"",VLOOKUP(E15,BDD!$A$2:$N$567,14,FALSE))</f>
        <v>Perte financière ou diminution du chiffre d’affaires.</v>
      </c>
      <c r="H15" s="58"/>
      <c r="I15" s="32"/>
      <c r="K15" s="32"/>
      <c r="L15" s="518"/>
      <c r="M15" s="520"/>
      <c r="N15" s="451"/>
      <c r="O15" s="526"/>
      <c r="P15" s="526"/>
      <c r="Q15" s="526"/>
      <c r="R15" s="526"/>
      <c r="S15" s="526"/>
      <c r="T15" s="526"/>
      <c r="U15" s="526"/>
      <c r="V15" s="526"/>
      <c r="W15" s="449" t="s">
        <v>16</v>
      </c>
      <c r="X15" s="450"/>
      <c r="Y15" s="522"/>
      <c r="Z15" s="530">
        <f>O22</f>
        <v>0</v>
      </c>
      <c r="AA15" s="531">
        <f>SUM($W$27:$W$65)</f>
        <v>0</v>
      </c>
      <c r="AB15" s="523"/>
      <c r="AC15" s="30"/>
      <c r="AD15" s="30"/>
      <c r="AE15" s="30"/>
      <c r="AF15" s="30"/>
      <c r="AG15" s="30"/>
      <c r="AH15" s="311"/>
      <c r="AI15" s="30"/>
    </row>
    <row r="16" spans="1:35" ht="30" customHeight="1" thickBot="1" x14ac:dyDescent="0.35">
      <c r="A16" s="311"/>
      <c r="B16" s="30"/>
      <c r="C16" s="30"/>
      <c r="D16" s="30"/>
      <c r="E16" s="30" t="str">
        <f>RIGHT($B$1,1)&amp;"14"</f>
        <v>514</v>
      </c>
      <c r="F16" s="30"/>
      <c r="G16" s="197" t="str">
        <f>IF(VLOOKUP(E16,BDD!$A$2:$N$567,14,FALSE)=0,"",VLOOKUP(E16,BDD!$A$2:$N$567,14,FALSE))</f>
        <v>Divulgation non souhaitée d’informations sensibles (intelligence économique, données personnelles, sécurité, etc.).</v>
      </c>
      <c r="H16" s="58"/>
      <c r="I16" s="32"/>
      <c r="K16" s="58"/>
      <c r="L16" s="532"/>
      <c r="M16" s="533"/>
      <c r="N16" s="534"/>
      <c r="O16" s="534"/>
      <c r="P16" s="534"/>
      <c r="Q16" s="534"/>
      <c r="R16" s="534"/>
      <c r="S16" s="534"/>
      <c r="T16" s="534"/>
      <c r="U16" s="534"/>
      <c r="V16" s="534"/>
      <c r="W16" s="535"/>
      <c r="X16" s="534"/>
      <c r="Y16" s="534"/>
      <c r="Z16" s="534"/>
      <c r="AA16" s="534"/>
      <c r="AB16" s="536"/>
      <c r="AC16" s="30"/>
      <c r="AD16" s="30"/>
      <c r="AE16" s="30"/>
      <c r="AF16" s="30"/>
      <c r="AG16" s="30"/>
      <c r="AH16" s="311"/>
      <c r="AI16" s="30"/>
    </row>
    <row r="17" spans="1:35" ht="41.4" customHeight="1" x14ac:dyDescent="0.3">
      <c r="A17" s="311"/>
      <c r="B17" s="30"/>
      <c r="C17" s="30"/>
      <c r="D17" s="30"/>
      <c r="E17" s="30" t="str">
        <f>RIGHT($B$1,1)&amp;"15"</f>
        <v>515</v>
      </c>
      <c r="F17" s="30"/>
      <c r="G17" s="197" t="str">
        <f>IF(VLOOKUP(E17,BDD!$A$2:$N$567,14,FALSE)=0,"",VLOOKUP(E17,BDD!$A$2:$N$567,14,FALSE))</f>
        <v>Dévalorisation du patrimoine immatériel de l’organisation.</v>
      </c>
      <c r="H17" s="58"/>
      <c r="I17" s="32"/>
      <c r="K17" s="58"/>
      <c r="L17" s="571"/>
      <c r="M17" s="572"/>
      <c r="N17" s="569"/>
      <c r="O17" s="569"/>
      <c r="P17" s="569"/>
      <c r="Q17" s="569"/>
      <c r="R17" s="569"/>
      <c r="S17" s="569"/>
      <c r="T17" s="569"/>
      <c r="U17" s="569"/>
      <c r="V17" s="569"/>
      <c r="W17" s="569"/>
      <c r="X17" s="569"/>
      <c r="Y17" s="569"/>
      <c r="Z17" s="569"/>
      <c r="AA17" s="569"/>
      <c r="AB17" s="569"/>
      <c r="AC17" s="30"/>
      <c r="AD17" s="30"/>
      <c r="AE17" s="30"/>
      <c r="AF17" s="30"/>
      <c r="AG17" s="30"/>
      <c r="AH17" s="311"/>
      <c r="AI17" s="30"/>
    </row>
    <row r="18" spans="1:35" ht="41.4" hidden="1" customHeight="1" x14ac:dyDescent="0.3">
      <c r="A18" s="311"/>
      <c r="B18" s="30"/>
      <c r="C18" s="30"/>
      <c r="D18" s="30"/>
      <c r="E18" s="30"/>
      <c r="F18" s="30"/>
      <c r="G18" s="197"/>
      <c r="H18" s="58"/>
      <c r="I18" s="32"/>
      <c r="K18" s="58"/>
      <c r="L18" s="571"/>
      <c r="M18" s="572"/>
      <c r="N18" s="569"/>
      <c r="O18" s="569"/>
      <c r="P18" s="569"/>
      <c r="Q18" s="569"/>
      <c r="R18" s="569"/>
      <c r="S18" s="569"/>
      <c r="T18" s="569"/>
      <c r="U18" s="569"/>
      <c r="V18" s="569"/>
      <c r="W18" s="569"/>
      <c r="X18" s="569"/>
      <c r="Y18" s="569"/>
      <c r="Z18" s="569"/>
      <c r="AA18" s="569"/>
      <c r="AB18" s="569"/>
      <c r="AC18" s="30"/>
      <c r="AD18" s="30"/>
      <c r="AE18" s="30"/>
      <c r="AF18" s="30"/>
      <c r="AG18" s="30"/>
      <c r="AH18" s="311"/>
      <c r="AI18" s="30"/>
    </row>
    <row r="19" spans="1:35" ht="41.4" hidden="1" customHeight="1" x14ac:dyDescent="0.3">
      <c r="A19" s="311"/>
      <c r="B19" s="30"/>
      <c r="C19" s="30"/>
      <c r="D19" s="30"/>
      <c r="E19" s="30"/>
      <c r="F19" s="30"/>
      <c r="G19" s="197"/>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311"/>
      <c r="AI19" s="30"/>
    </row>
    <row r="20" spans="1:35" ht="30" customHeight="1" x14ac:dyDescent="0.3">
      <c r="A20" s="311"/>
      <c r="B20" s="30"/>
      <c r="C20" s="30"/>
      <c r="D20" s="30"/>
      <c r="E20" s="30"/>
      <c r="F20" s="30"/>
      <c r="G20" s="197"/>
      <c r="H20" s="58"/>
      <c r="I20" s="32"/>
      <c r="K20" s="58"/>
      <c r="L20" s="58"/>
      <c r="M20" s="32"/>
      <c r="N20" s="215" t="s">
        <v>855</v>
      </c>
      <c r="O20" s="641">
        <f>COUNTIF(N27:N100,"Non renseigné")</f>
        <v>29</v>
      </c>
      <c r="P20" s="642"/>
      <c r="Q20" s="642"/>
      <c r="R20" s="643"/>
      <c r="S20" s="30"/>
      <c r="T20" s="30"/>
      <c r="U20" s="30"/>
      <c r="V20" s="30"/>
      <c r="W20" s="30"/>
      <c r="X20" s="30"/>
      <c r="Y20" s="30"/>
      <c r="Z20" s="30"/>
      <c r="AA20" s="30"/>
      <c r="AB20" s="30"/>
      <c r="AC20" s="30"/>
      <c r="AD20" s="30"/>
      <c r="AE20" s="30"/>
      <c r="AF20" s="30"/>
      <c r="AG20" s="30"/>
      <c r="AH20" s="311"/>
      <c r="AI20" s="30"/>
    </row>
    <row r="21" spans="1:35" ht="30" customHeight="1" x14ac:dyDescent="0.3">
      <c r="A21" s="311"/>
      <c r="B21" s="30"/>
      <c r="C21" s="30"/>
      <c r="D21" s="30"/>
      <c r="E21" s="30" t="str">
        <f>RIGHT($B$1,1)&amp;"17"</f>
        <v>517</v>
      </c>
      <c r="F21" s="30"/>
      <c r="G21" s="197" t="str">
        <f>IF(VLOOKUP(E21,BDD!$A$2:$N$567,14,FALSE)=0,"",VLOOKUP(E21,BDD!$A$2:$N$567,14,FALSE))</f>
        <v/>
      </c>
      <c r="H21" s="58"/>
      <c r="I21" s="58"/>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311"/>
      <c r="AI21" s="30"/>
    </row>
    <row r="22" spans="1:35" ht="50.4" customHeight="1" x14ac:dyDescent="0.3">
      <c r="A22" s="311"/>
      <c r="B22" s="30"/>
      <c r="C22" s="30"/>
      <c r="D22" s="30"/>
      <c r="E22" s="30" t="str">
        <f>RIGHT($B$1,1)&amp;"17"</f>
        <v>517</v>
      </c>
      <c r="F22" s="30"/>
      <c r="G22" s="197" t="str">
        <f>IF(VLOOKUP(E22,BDD!$A$2:$N$567,14,FALSE)=0,"",VLOOKUP(E22,BDD!$A$2:$N$567,14,FALSE))</f>
        <v/>
      </c>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311"/>
      <c r="AI22" s="30"/>
    </row>
    <row r="23" spans="1:35" ht="30" customHeight="1" x14ac:dyDescent="0.3">
      <c r="A23" s="311"/>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311"/>
      <c r="AI23" s="30"/>
    </row>
    <row r="24" spans="1:35" ht="39.6" customHeight="1" x14ac:dyDescent="0.3">
      <c r="A24" s="311"/>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311"/>
      <c r="AI24" s="30"/>
    </row>
    <row r="25" spans="1:35" ht="30" customHeight="1" x14ac:dyDescent="0.3">
      <c r="A25" s="311"/>
      <c r="B25" s="30"/>
      <c r="C25" s="30" t="str">
        <f>IF(LEFT(RIGHT($B$1,2),1)=" ",RIGHT($B$1,1),RIGHT($B$1,2))</f>
        <v>5</v>
      </c>
      <c r="D25" s="32">
        <f>IF(LEFT(F25,5)="Bonne",B23+1,D24)</f>
        <v>1</v>
      </c>
      <c r="E25" s="32"/>
      <c r="F25" s="191" t="s">
        <v>499</v>
      </c>
      <c r="G25" s="192" t="str">
        <f>VLOOKUP(E27,BDD!$A$2:$N$567,6,FALSE)</f>
        <v>Stratégie et gouvernance</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311"/>
      <c r="AI25" s="30"/>
    </row>
    <row r="26" spans="1:35" ht="30" customHeight="1" x14ac:dyDescent="0.3">
      <c r="A26" s="311"/>
      <c r="B26" s="30"/>
      <c r="C26" s="30" t="str">
        <f t="shared" ref="C26:C63" si="0">IF(LEFT(RIGHT($B$1,2),1)=" ",RIGHT($B$1,1),RIGHT($B$1,2))</f>
        <v>5</v>
      </c>
      <c r="D26" s="32">
        <f>IF(LEFT(F26,5)="Bonne",D24+1,D25)</f>
        <v>1</v>
      </c>
      <c r="F26" s="211" t="s">
        <v>550</v>
      </c>
      <c r="G26" s="620" t="str">
        <f>VLOOKUP(E28,BDD!$A$2:$N$567,7,FALSE)</f>
        <v>L'organisation dispose d'une stratégie claire pour la gestion des données et d'un cadre de gouvernance associé visant à traiter les données comme un actif majeur. Cette stratégie inclut l'usage de l'IA.</v>
      </c>
      <c r="H26" s="621"/>
      <c r="I26" s="621"/>
      <c r="J26" s="621"/>
      <c r="K26" s="621"/>
      <c r="L26" s="621"/>
      <c r="M26" s="621"/>
      <c r="N26" s="62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311"/>
      <c r="AI26" s="30"/>
    </row>
    <row r="27" spans="1:35" ht="27.6" x14ac:dyDescent="0.3">
      <c r="A27" s="311"/>
      <c r="B27" s="30"/>
      <c r="C27" s="30" t="str">
        <f t="shared" si="0"/>
        <v>5</v>
      </c>
      <c r="D27" s="32">
        <f>IF(LEFT(F27,5)="Bonne",D25+1,D26)</f>
        <v>1</v>
      </c>
      <c r="E27" s="32" t="str">
        <f>C27&amp;D27&amp;RIGHT(F27,1)</f>
        <v>511</v>
      </c>
      <c r="F27" s="143" t="s">
        <v>27</v>
      </c>
      <c r="G27" s="144" t="str">
        <f>VLOOKUP(E27,BDD!$A$2:$N$567,MATCH(G$24,BDD!$A$1:$P$1,0),FALSE)</f>
        <v>L'organisation cartographie les données et identifie leur contribution à sa chaîne de valeur de l'organisation (a minima pour les obligations légales et réglementaires...).</v>
      </c>
      <c r="H27" s="149" t="str">
        <f>IF(VLOOKUP($E27,BDD!$A$2:$N$567,MATCH($H$23,BDD!$A$1:$P$1,0),FALSE)=H$24,'V5_Données&amp;IA'!H$24,"")</f>
        <v>N1</v>
      </c>
      <c r="I27" s="150" t="str">
        <f>IF(VLOOKUP($E27,BDD!$A$2:$N$567,MATCH($H$23,BDD!$A$1:$P$1,0),FALSE)=I$24,'V5_Données&amp;IA'!I$24,"")</f>
        <v/>
      </c>
      <c r="J27" s="150" t="str">
        <f>IF(VLOOKUP($E27,BDD!$A$2:$N$567,MATCH($H$23,BDD!$A$1:$P$1,0),FALSE)=J$24,'V5_Données&amp;IA'!J$24,"")</f>
        <v/>
      </c>
      <c r="K27" s="150" t="str">
        <f>IF(VLOOKUP($E27,BDD!$A$2:$N$567,MATCH($H$23,BDD!$A$1:$P$1,0),FALSE)=K$24,'V5_Données&amp;IA'!K$24,"")</f>
        <v/>
      </c>
      <c r="L27" s="151" t="str">
        <f>IF(VLOOKUP($E27,BDD!$A$2:$N$567,MATCH($H$23,BDD!$A$1:$P$1,0),FALSE)=L$24,'V5_Données&amp;IA'!L$24,"")</f>
        <v/>
      </c>
      <c r="M27" s="63">
        <f t="shared" ref="M27:M31"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311"/>
      <c r="AI27" s="30"/>
    </row>
    <row r="28" spans="1:35" ht="30" customHeight="1" x14ac:dyDescent="0.3">
      <c r="A28" s="311"/>
      <c r="B28" s="30"/>
      <c r="C28" s="30" t="str">
        <f t="shared" si="0"/>
        <v>5</v>
      </c>
      <c r="D28" s="32">
        <f t="shared" ref="D28:D31" si="2">IF(LEFT(F28,5)="Bonne",D26+1,D27)</f>
        <v>1</v>
      </c>
      <c r="E28" s="32" t="str">
        <f t="shared" ref="E28:E31" si="3">C28&amp;D28&amp;RIGHT(F28,1)</f>
        <v>512</v>
      </c>
      <c r="F28" s="145" t="s">
        <v>28</v>
      </c>
      <c r="G28" s="146" t="str">
        <f>VLOOKUP(E28,BDD!$A$2:$N$567,MATCH(G$24,BDD!$A$1:$P$1,0),FALSE)</f>
        <v>L'organisation documente une politique de gouvernance des données intégrant les exigences réglementaires et contractuelles applicables. </v>
      </c>
      <c r="H28" s="149" t="str">
        <f>IF(VLOOKUP($E28,BDD!$A$2:$N$567,MATCH($H$23,BDD!$A$1:$P$1,0),FALSE)=H$24,'V5_Données&amp;IA'!H$24,"")</f>
        <v/>
      </c>
      <c r="I28" s="150" t="str">
        <f>IF(VLOOKUP($E28,BDD!$A$2:$N$567,MATCH($H$23,BDD!$A$1:$P$1,0),FALSE)=I$24,'V5_Données&amp;IA'!I$24,"")</f>
        <v>N2</v>
      </c>
      <c r="J28" s="150" t="str">
        <f>IF(VLOOKUP($E28,BDD!$A$2:$N$567,MATCH($H$23,BDD!$A$1:$P$1,0),FALSE)=J$24,'V5_Données&amp;IA'!J$24,"")</f>
        <v/>
      </c>
      <c r="K28" s="150" t="str">
        <f>IF(VLOOKUP($E28,BDD!$A$2:$N$567,MATCH($H$23,BDD!$A$1:$P$1,0),FALSE)=K$24,'V5_Données&amp;IA'!K$24,"")</f>
        <v/>
      </c>
      <c r="L28" s="151" t="str">
        <f>IF(VLOOKUP($E28,BDD!$A$2:$N$567,MATCH($H$23,BDD!$A$1:$P$1,0),FALSE)=L$24,'V5_Données&amp;IA'!L$24,"")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311"/>
      <c r="AI28" s="30"/>
    </row>
    <row r="29" spans="1:35" ht="60.6" customHeight="1" x14ac:dyDescent="0.3">
      <c r="A29" s="311"/>
      <c r="B29" s="30"/>
      <c r="C29" s="30" t="str">
        <f t="shared" si="0"/>
        <v>5</v>
      </c>
      <c r="D29" s="32">
        <f>IF(LEFT(F29,5)="Bonne",D27+1,D28)</f>
        <v>1</v>
      </c>
      <c r="E29" s="32" t="str">
        <f t="shared" si="3"/>
        <v>513</v>
      </c>
      <c r="F29" s="143" t="s">
        <v>30</v>
      </c>
      <c r="G29" s="144" t="str">
        <f>VLOOKUP(E29,BDD!$A$2:$N$567,MATCH(G$24,BDD!$A$1:$P$1,0),FALSE)</f>
        <v>L’organisation a mis en place une stratégie cohérente pour l'utilisation et la valorisation des données en prenant en compte les opportunités offertes par les nouvelles technologies ainsi que les contraintes techniques, juridiques et réglementaires.</v>
      </c>
      <c r="H29" s="149" t="str">
        <f>IF(VLOOKUP($E29,BDD!$A$2:$N$567,MATCH($H$23,BDD!$A$1:$P$1,0),FALSE)=H$24,'V5_Données&amp;IA'!H$24,"")</f>
        <v/>
      </c>
      <c r="I29" s="150" t="str">
        <f>IF(VLOOKUP($E29,BDD!$A$2:$N$567,MATCH($H$23,BDD!$A$1:$P$1,0),FALSE)=I$24,'V5_Données&amp;IA'!I$24,"")</f>
        <v/>
      </c>
      <c r="J29" s="150" t="str">
        <f>IF(VLOOKUP($E29,BDD!$A$2:$N$567,MATCH($H$23,BDD!$A$1:$P$1,0),FALSE)=J$24,'V5_Données&amp;IA'!J$24,"")</f>
        <v/>
      </c>
      <c r="K29" s="150" t="str">
        <f>IF(VLOOKUP($E29,BDD!$A$2:$N$567,MATCH($H$23,BDD!$A$1:$P$1,0),FALSE)=K$24,'V5_Données&amp;IA'!K$24,"")</f>
        <v>N4</v>
      </c>
      <c r="L29" s="151" t="str">
        <f>IF(VLOOKUP($E29,BDD!$A$2:$N$567,MATCH($H$23,BDD!$A$1:$P$1,0),FALSE)=L$24,'V5_Données&amp;IA'!L$24,"")</f>
        <v/>
      </c>
      <c r="M29" s="63">
        <f t="shared" si="1"/>
        <v>0</v>
      </c>
      <c r="N29" s="144" t="str">
        <f>VLOOKUP(VLOOKUP(E29,BDD!$A$2:$P$428,15,FALSE),Suppl!$D$64:$E$68,2,FALSE)</f>
        <v>Non renseigné</v>
      </c>
      <c r="O29" s="629"/>
      <c r="P29" s="629"/>
      <c r="Q29" s="629"/>
      <c r="R29" s="629"/>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311"/>
      <c r="AI29" s="30"/>
    </row>
    <row r="30" spans="1:35" ht="30" customHeight="1" x14ac:dyDescent="0.3">
      <c r="A30" s="311"/>
      <c r="B30" s="30"/>
      <c r="C30" s="30" t="str">
        <f t="shared" si="0"/>
        <v>5</v>
      </c>
      <c r="D30" s="32">
        <f t="shared" si="2"/>
        <v>1</v>
      </c>
      <c r="E30" s="32" t="str">
        <f t="shared" si="3"/>
        <v>514</v>
      </c>
      <c r="F30" s="145" t="s">
        <v>32</v>
      </c>
      <c r="G30" s="146" t="str">
        <f>VLOOKUP(E30,BDD!$A$2:$N$567,MATCH(G$24,BDD!$A$1:$P$1,0),FALSE)</f>
        <v>La direction générale est responsable de l'exécution de la stratégie « données » de l'organisation. </v>
      </c>
      <c r="H30" s="149" t="str">
        <f>IF(VLOOKUP($E30,BDD!$A$2:$N$567,MATCH($H$23,BDD!$A$1:$P$1,0),FALSE)=H$24,'V5_Données&amp;IA'!H$24,"")</f>
        <v/>
      </c>
      <c r="I30" s="150" t="str">
        <f>IF(VLOOKUP($E30,BDD!$A$2:$N$567,MATCH($H$23,BDD!$A$1:$P$1,0),FALSE)=I$24,'V5_Données&amp;IA'!I$24,"")</f>
        <v/>
      </c>
      <c r="J30" s="150" t="str">
        <f>IF(VLOOKUP($E30,BDD!$A$2:$N$567,MATCH($H$23,BDD!$A$1:$P$1,0),FALSE)=J$24,'V5_Données&amp;IA'!J$24,"")</f>
        <v/>
      </c>
      <c r="K30" s="150" t="str">
        <f>IF(VLOOKUP($E30,BDD!$A$2:$N$567,MATCH($H$23,BDD!$A$1:$P$1,0),FALSE)=K$24,'V5_Données&amp;IA'!K$24,"")</f>
        <v>N4</v>
      </c>
      <c r="L30" s="151" t="str">
        <f>IF(VLOOKUP($E30,BDD!$A$2:$N$567,MATCH($H$23,BDD!$A$1:$P$1,0),FALSE)=L$24,'V5_Données&amp;IA'!L$24,"")</f>
        <v/>
      </c>
      <c r="M30" s="63">
        <f t="shared" si="1"/>
        <v>0</v>
      </c>
      <c r="N30" s="146" t="str">
        <f>VLOOKUP(VLOOKUP(E30,BDD!$A$2:$P$428,15,FALSE),Suppl!$D$64:$E$68,2,FALSE)</f>
        <v>Non renseigné</v>
      </c>
      <c r="O30" s="629"/>
      <c r="P30" s="629"/>
      <c r="Q30" s="629"/>
      <c r="R30" s="629"/>
      <c r="S30" s="627">
        <f>IF(N30=Suppl!$E$65,0,IF(N30=Suppl!$E$66,1/2/(COUNTIFS($D:$D,D30,$N:$N,"Exigences"&amp;"*",G:G,"&lt;&gt;0")+COUNTIFS($D:$D,D30,$N:$N,"Non"&amp;"*",G:G,"&lt;&gt;0")),IF(N30=Suppl!$E$67,1/(COUNTIFS($D:$D,D30,$N:$N,"Exigences"&amp;"*",G:G,"&lt;&gt;0")+COUNTIFS($D:$D,D30,$N:$N,"Non"&amp;"*",G:G,"&lt;&gt;0")),0)))</f>
        <v>0</v>
      </c>
      <c r="T30" s="627"/>
      <c r="U30" s="627"/>
      <c r="V30" s="628"/>
      <c r="W30" s="356">
        <f>IFERROR(IF(N30=Suppl!$E$65,0,IF(N30=Suppl!$E$66,1/2/(COUNTIFS($N:$N,"Exigences"&amp;"*")+COUNTIFS($N:$N,"Non"&amp;"*")),IF(N30=Suppl!$E$67,1/(COUNTIFS($N:$N,"Exigences"&amp;"*")+COUNTIFS($N:$N,"Non"&amp;"*")),0))),0)</f>
        <v>0</v>
      </c>
      <c r="X30" s="30" t="s">
        <v>164</v>
      </c>
      <c r="Y30" s="30"/>
      <c r="Z30" s="30"/>
      <c r="AA30" s="30"/>
      <c r="AB30" s="30"/>
      <c r="AC30" s="30"/>
      <c r="AD30" s="30"/>
      <c r="AE30" s="30"/>
      <c r="AF30" s="30"/>
      <c r="AG30" s="30"/>
      <c r="AH30" s="311"/>
      <c r="AI30" s="30"/>
    </row>
    <row r="31" spans="1:35" ht="30" customHeight="1" x14ac:dyDescent="0.3">
      <c r="A31" s="311"/>
      <c r="B31" s="30"/>
      <c r="C31" s="30" t="str">
        <f t="shared" si="0"/>
        <v>5</v>
      </c>
      <c r="D31" s="32">
        <f t="shared" si="2"/>
        <v>1</v>
      </c>
      <c r="E31" s="32" t="str">
        <f t="shared" si="3"/>
        <v>515</v>
      </c>
      <c r="F31" s="143" t="s">
        <v>33</v>
      </c>
      <c r="G31" s="144" t="str">
        <f>VLOOKUP(E31,BDD!$A$2:$N$567,MATCH(G$24,BDD!$A$1:$P$1,0),FALSE)</f>
        <v>Un bilan évaluant le respect de la politique de gouvernance des données est présenté à la direction générale permettant d'identifier les axes de progression.</v>
      </c>
      <c r="H31" s="149" t="str">
        <f>IF(VLOOKUP($E31,BDD!$A$2:$N$567,MATCH($H$23,BDD!$A$1:$P$1,0),FALSE)=H$24,'V5_Données&amp;IA'!H$24,"")</f>
        <v/>
      </c>
      <c r="I31" s="150" t="str">
        <f>IF(VLOOKUP($E31,BDD!$A$2:$N$567,MATCH($H$23,BDD!$A$1:$P$1,0),FALSE)=I$24,'V5_Données&amp;IA'!I$24,"")</f>
        <v/>
      </c>
      <c r="J31" s="150" t="str">
        <f>IF(VLOOKUP($E31,BDD!$A$2:$N$567,MATCH($H$23,BDD!$A$1:$P$1,0),FALSE)=J$24,'V5_Données&amp;IA'!J$24,"")</f>
        <v/>
      </c>
      <c r="K31" s="150" t="str">
        <f>IF(VLOOKUP($E31,BDD!$A$2:$N$567,MATCH($H$23,BDD!$A$1:$P$1,0),FALSE)=K$24,'V5_Données&amp;IA'!K$24,"")</f>
        <v/>
      </c>
      <c r="L31" s="151" t="str">
        <f>IF(VLOOKUP($E31,BDD!$A$2:$N$567,MATCH($H$23,BDD!$A$1:$P$1,0),FALSE)=L$24,'V5_Données&amp;IA'!L$24,"")</f>
        <v>N5</v>
      </c>
      <c r="M31" s="63">
        <f t="shared" si="1"/>
        <v>0</v>
      </c>
      <c r="N31" s="144" t="str">
        <f>VLOOKUP(VLOOKUP(E31,BDD!$A$2:$P$428,15,FALSE),Suppl!$D$64:$E$68,2,FALSE)</f>
        <v>Non renseigné</v>
      </c>
      <c r="O31" s="629"/>
      <c r="P31" s="629"/>
      <c r="Q31" s="629"/>
      <c r="R31" s="629"/>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311"/>
      <c r="AI31" s="30"/>
    </row>
    <row r="32" spans="1:35" ht="30" customHeight="1" x14ac:dyDescent="0.3">
      <c r="A32" s="311"/>
      <c r="B32" s="30"/>
      <c r="C32" s="30" t="str">
        <f t="shared" si="0"/>
        <v>5</v>
      </c>
      <c r="D32" s="32">
        <f t="shared" ref="D32:D47" si="4">IF(LEFT(F32,5)="Bonne",D30+1,D31)</f>
        <v>2</v>
      </c>
      <c r="E32" s="32" t="str">
        <f t="shared" ref="E32:E47" si="5">C32&amp;D32&amp;RIGHT(F32,1)</f>
        <v>522</v>
      </c>
      <c r="F32" s="191" t="s">
        <v>500</v>
      </c>
      <c r="G32" s="192" t="str">
        <f>VLOOKUP(E34,BDD!$A$2:$N$567,6,FALSE)</f>
        <v>Processus</v>
      </c>
      <c r="H32" s="190" t="str">
        <f>VLOOKUP(E34,BDD!$A$2:$N$567,6,FALSE)</f>
        <v>Processus</v>
      </c>
      <c r="I32" s="135"/>
      <c r="J32" s="135"/>
      <c r="K32" s="135"/>
      <c r="L32" s="136"/>
      <c r="M32" s="137"/>
      <c r="N32" s="138"/>
      <c r="O32" s="630">
        <v>0</v>
      </c>
      <c r="P32" s="630"/>
      <c r="Q32" s="630"/>
      <c r="R32" s="630"/>
      <c r="S32" s="632">
        <f>SUMIFS(S:S,$D:$D,D32,$N:$N,"Exigences"&amp;"*")</f>
        <v>0</v>
      </c>
      <c r="T32" s="632"/>
      <c r="U32" s="632"/>
      <c r="V32" s="633"/>
      <c r="W32" s="356">
        <f>IFERROR(IF(N32=Suppl!$E$65,0,IF(N32=Suppl!$E$66,1/2/(COUNTIFS($N:$N,"Exigences"&amp;"*")+COUNTIFS($N:$N,"Non"&amp;"*")),IF(N32=Suppl!$E$67,1/(COUNTIFS($N:$N,"Exigences"&amp;"*")+COUNTIFS($N:$N,"Non"&amp;"*")),0))),0)</f>
        <v>0</v>
      </c>
      <c r="X32" s="30"/>
      <c r="Y32" s="30"/>
      <c r="Z32" s="30"/>
      <c r="AA32" s="30"/>
      <c r="AB32" s="30"/>
      <c r="AC32" s="30"/>
      <c r="AD32" s="30"/>
      <c r="AE32" s="30"/>
      <c r="AF32" s="30"/>
      <c r="AG32" s="30"/>
      <c r="AH32" s="311"/>
      <c r="AI32" s="30"/>
    </row>
    <row r="33" spans="1:35" ht="30" customHeight="1" x14ac:dyDescent="0.3">
      <c r="A33" s="311"/>
      <c r="B33" s="30"/>
      <c r="C33" s="30" t="str">
        <f t="shared" si="0"/>
        <v>5</v>
      </c>
      <c r="D33" s="32">
        <f t="shared" si="4"/>
        <v>2</v>
      </c>
      <c r="E33" s="32" t="str">
        <f t="shared" si="5"/>
        <v>521</v>
      </c>
      <c r="F33" s="211" t="s">
        <v>550</v>
      </c>
      <c r="G33" s="193" t="str">
        <f>VLOOKUP(E35,BDD!$A$2:$N$567,7,FALSE)</f>
        <v>L'organisation dispose d'un processus de gestion de la donnée.</v>
      </c>
      <c r="H33" s="139"/>
      <c r="I33" s="139"/>
      <c r="J33" s="139"/>
      <c r="K33" s="139"/>
      <c r="L33" s="140"/>
      <c r="M33" s="141"/>
      <c r="N33" s="142"/>
      <c r="O33" s="631"/>
      <c r="P33" s="631"/>
      <c r="Q33" s="631"/>
      <c r="R33" s="631"/>
      <c r="S33" s="634"/>
      <c r="T33" s="634"/>
      <c r="U33" s="634"/>
      <c r="V33" s="635"/>
      <c r="W33" s="356">
        <f>IFERROR(IF(N33=Suppl!$E$65,0,IF(N33=Suppl!$E$66,1/2/(COUNTIFS($N:$N,"Exigences"&amp;"*")+COUNTIFS($N:$N,"Non"&amp;"*")),IF(N33=Suppl!$E$67,1/(COUNTIFS($N:$N,"Exigences"&amp;"*")+COUNTIFS($N:$N,"Non"&amp;"*")),0))),0)</f>
        <v>0</v>
      </c>
      <c r="X33" s="30"/>
      <c r="Y33" s="30"/>
      <c r="Z33" s="30"/>
      <c r="AA33" s="30"/>
      <c r="AB33" s="30"/>
      <c r="AC33" s="30"/>
      <c r="AD33" s="30"/>
      <c r="AE33" s="30"/>
      <c r="AF33" s="30"/>
      <c r="AG33" s="30"/>
      <c r="AH33" s="311"/>
      <c r="AI33" s="30"/>
    </row>
    <row r="34" spans="1:35" ht="41.4" x14ac:dyDescent="0.3">
      <c r="A34" s="311"/>
      <c r="B34" s="30"/>
      <c r="C34" s="30" t="str">
        <f t="shared" si="0"/>
        <v>5</v>
      </c>
      <c r="D34" s="32">
        <f t="shared" si="4"/>
        <v>2</v>
      </c>
      <c r="E34" s="32" t="str">
        <f t="shared" si="5"/>
        <v>521</v>
      </c>
      <c r="F34" s="143" t="s">
        <v>27</v>
      </c>
      <c r="G34" s="144" t="str">
        <f>VLOOKUP(E34,BDD!$A$2:$N$567,MATCH(G$24,BDD!$A$1:$P$1,0),FALSE)</f>
        <v>L'organisation établit et maintient un référentiel des données cartographiées incluant les applications associées, les droits d'accès, la durée de conservation, le niveau de sécurité requis, etc.</v>
      </c>
      <c r="H34" s="149" t="str">
        <f>IF(VLOOKUP($E34,BDD!$A$2:$N$567,MATCH($H$23,BDD!$A$1:$P$1,0),FALSE)=H$24,'V5_Données&amp;IA'!H$24,"")</f>
        <v>N1</v>
      </c>
      <c r="I34" s="150" t="str">
        <f>IF(VLOOKUP($E34,BDD!$A$2:$N$567,MATCH($H$23,BDD!$A$1:$P$1,0),FALSE)=I$24,'V5_Données&amp;IA'!I$24,"")</f>
        <v/>
      </c>
      <c r="J34" s="150" t="str">
        <f>IF(VLOOKUP($E34,BDD!$A$2:$N$567,MATCH($H$23,BDD!$A$1:$P$1,0),FALSE)=J$24,'V5_Données&amp;IA'!J$24,"")</f>
        <v/>
      </c>
      <c r="K34" s="150" t="str">
        <f>IF(VLOOKUP($E34,BDD!$A$2:$N$567,MATCH($H$23,BDD!$A$1:$P$1,0),FALSE)=K$24,'V5_Données&amp;IA'!K$24,"")</f>
        <v/>
      </c>
      <c r="L34" s="151" t="str">
        <f>IF(VLOOKUP($E34,BDD!$A$2:$N$567,MATCH($H$23,BDD!$A$1:$P$1,0),FALSE)=L$24,'V5_Données&amp;IA'!L$24,"")</f>
        <v/>
      </c>
      <c r="M34" s="63">
        <f>IF(N34="Exigences partiellement respectées",1,IF(N34="Exigences respectées",2,0))</f>
        <v>0</v>
      </c>
      <c r="N34" s="144" t="str">
        <f>VLOOKUP(VLOOKUP(E34,BDD!$A$2:$P$428,15,FALSE),Suppl!$D$64:$E$68,2,FALSE)</f>
        <v>Non renseigné</v>
      </c>
      <c r="O34" s="626"/>
      <c r="P34" s="626"/>
      <c r="Q34" s="626"/>
      <c r="R34" s="626"/>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311"/>
      <c r="AI34" s="30"/>
    </row>
    <row r="35" spans="1:35" ht="55.2" x14ac:dyDescent="0.3">
      <c r="A35" s="311"/>
      <c r="B35" s="30"/>
      <c r="C35" s="30" t="str">
        <f t="shared" si="0"/>
        <v>5</v>
      </c>
      <c r="D35" s="32">
        <f t="shared" si="4"/>
        <v>2</v>
      </c>
      <c r="E35" s="32" t="str">
        <f t="shared" si="5"/>
        <v>522</v>
      </c>
      <c r="F35" s="145" t="s">
        <v>28</v>
      </c>
      <c r="G35" s="146" t="str">
        <f>VLOOKUP(E35,BDD!$A$2:$N$567,MATCH(G$24,BDD!$A$1:$P$1,0),FALSE)</f>
        <v>Un dispositif conforme à la politique de gouvernance des données est mis en place pour l'utilisation et la mise à jour du référentiel et du dictionnaire de données, impliquant l'ensemble des parties concernées (métiers, fonctions). Ce dispositif couvre l'ensemble du cycle de vie des données.</v>
      </c>
      <c r="H35" s="149" t="str">
        <f>IF(VLOOKUP($E35,BDD!$A$2:$N$567,MATCH($H$23,BDD!$A$1:$P$1,0),FALSE)=H$24,'V5_Données&amp;IA'!H$24,"")</f>
        <v/>
      </c>
      <c r="I35" s="150" t="str">
        <f>IF(VLOOKUP($E35,BDD!$A$2:$N$567,MATCH($H$23,BDD!$A$1:$P$1,0),FALSE)=I$24,'V5_Données&amp;IA'!I$24,"")</f>
        <v>N2</v>
      </c>
      <c r="J35" s="150" t="str">
        <f>IF(VLOOKUP($E35,BDD!$A$2:$N$567,MATCH($H$23,BDD!$A$1:$P$1,0),FALSE)=J$24,'V5_Données&amp;IA'!J$24,"")</f>
        <v/>
      </c>
      <c r="K35" s="150" t="str">
        <f>IF(VLOOKUP($E35,BDD!$A$2:$N$567,MATCH($H$23,BDD!$A$1:$P$1,0),FALSE)=K$24,'V5_Données&amp;IA'!K$24,"")</f>
        <v/>
      </c>
      <c r="L35" s="151" t="str">
        <f>IF(VLOOKUP($E35,BDD!$A$2:$N$567,MATCH($H$23,BDD!$A$1:$P$1,0),FALSE)=L$24,'V5_Données&amp;IA'!L$24,"")</f>
        <v/>
      </c>
      <c r="M35" s="63">
        <f t="shared" ref="M35:M40" si="6">IF(N35="Exigences partiellement respectées",1,IF(N35="Exigences respectées",2,0))</f>
        <v>0</v>
      </c>
      <c r="N35" s="146" t="str">
        <f>VLOOKUP(VLOOKUP(E35,BDD!$A$2:$P$428,15,FALSE),Suppl!$D$64:$E$68,2,FALSE)</f>
        <v>Non renseigné</v>
      </c>
      <c r="O35" s="629"/>
      <c r="P35" s="629"/>
      <c r="Q35" s="629"/>
      <c r="R35" s="629"/>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311"/>
      <c r="AI35" s="30"/>
    </row>
    <row r="36" spans="1:35" ht="30" customHeight="1" x14ac:dyDescent="0.3">
      <c r="A36" s="311"/>
      <c r="B36" s="30"/>
      <c r="C36" s="30" t="str">
        <f t="shared" si="0"/>
        <v>5</v>
      </c>
      <c r="D36" s="32">
        <f t="shared" si="4"/>
        <v>2</v>
      </c>
      <c r="E36" s="32" t="str">
        <f t="shared" si="5"/>
        <v>523</v>
      </c>
      <c r="F36" s="143" t="s">
        <v>30</v>
      </c>
      <c r="G36" s="144" t="str">
        <f>VLOOKUP(E36,BDD!$A$2:$N$567,MATCH(G$24,BDD!$A$1:$P$1,0),FALSE)</f>
        <v>Le processus de gestion de la donnée est animé par une personne ou une instance désignée qui rend compte à la direction générale. </v>
      </c>
      <c r="H36" s="149" t="str">
        <f>IF(VLOOKUP($E36,BDD!$A$2:$N$567,MATCH($H$23,BDD!$A$1:$P$1,0),FALSE)=H$24,'V5_Données&amp;IA'!H$24,"")</f>
        <v/>
      </c>
      <c r="I36" s="150" t="str">
        <f>IF(VLOOKUP($E36,BDD!$A$2:$N$567,MATCH($H$23,BDD!$A$1:$P$1,0),FALSE)=I$24,'V5_Données&amp;IA'!I$24,"")</f>
        <v/>
      </c>
      <c r="J36" s="150" t="str">
        <f>IF(VLOOKUP($E36,BDD!$A$2:$N$567,MATCH($H$23,BDD!$A$1:$P$1,0),FALSE)=J$24,'V5_Données&amp;IA'!J$24,"")</f>
        <v>N3</v>
      </c>
      <c r="K36" s="150" t="str">
        <f>IF(VLOOKUP($E36,BDD!$A$2:$N$567,MATCH($H$23,BDD!$A$1:$P$1,0),FALSE)=K$24,'V5_Données&amp;IA'!K$24,"")</f>
        <v/>
      </c>
      <c r="L36" s="151" t="str">
        <f>IF(VLOOKUP($E36,BDD!$A$2:$N$567,MATCH($H$23,BDD!$A$1:$P$1,0),FALSE)=L$24,'V5_Données&amp;IA'!L$24,"")</f>
        <v/>
      </c>
      <c r="M36" s="63">
        <f t="shared" si="6"/>
        <v>0</v>
      </c>
      <c r="N36" s="144" t="str">
        <f>VLOOKUP(VLOOKUP(E36,BDD!$A$2:$P$428,15,FALSE),Suppl!$D$64:$E$68,2,FALSE)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311"/>
      <c r="AI36" s="30"/>
    </row>
    <row r="37" spans="1:35" ht="30" customHeight="1" x14ac:dyDescent="0.3">
      <c r="A37" s="311"/>
      <c r="B37" s="30"/>
      <c r="C37" s="30" t="str">
        <f t="shared" si="0"/>
        <v>5</v>
      </c>
      <c r="D37" s="32">
        <f t="shared" si="4"/>
        <v>2</v>
      </c>
      <c r="E37" s="32" t="str">
        <f t="shared" si="5"/>
        <v>524</v>
      </c>
      <c r="F37" s="145" t="s">
        <v>32</v>
      </c>
      <c r="G37" s="146" t="str">
        <f>VLOOKUP(E37,BDD!$A$2:$N$567,MATCH(G$24,BDD!$A$1:$P$1,0),FALSE)</f>
        <v>Un plan de sensibilisation et de communication est déployé au sein de l'organisation. </v>
      </c>
      <c r="H37" s="149" t="str">
        <f>IF(VLOOKUP($E37,BDD!$A$2:$N$567,MATCH($H$23,BDD!$A$1:$P$1,0),FALSE)=H$24,'V5_Données&amp;IA'!H$24,"")</f>
        <v/>
      </c>
      <c r="I37" s="150" t="str">
        <f>IF(VLOOKUP($E37,BDD!$A$2:$N$567,MATCH($H$23,BDD!$A$1:$P$1,0),FALSE)=I$24,'V5_Données&amp;IA'!I$24,"")</f>
        <v/>
      </c>
      <c r="J37" s="150" t="str">
        <f>IF(VLOOKUP($E37,BDD!$A$2:$N$567,MATCH($H$23,BDD!$A$1:$P$1,0),FALSE)=J$24,'V5_Données&amp;IA'!J$24,"")</f>
        <v>N3</v>
      </c>
      <c r="K37" s="150" t="str">
        <f>IF(VLOOKUP($E37,BDD!$A$2:$N$567,MATCH($H$23,BDD!$A$1:$P$1,0),FALSE)=K$24,'V5_Données&amp;IA'!K$24,"")</f>
        <v/>
      </c>
      <c r="L37" s="151" t="str">
        <f>IF(VLOOKUP($E37,BDD!$A$2:$N$567,MATCH($H$23,BDD!$A$1:$P$1,0),FALSE)=L$24,'V5_Données&amp;IA'!L$24,"")</f>
        <v/>
      </c>
      <c r="M37" s="63">
        <f t="shared" si="6"/>
        <v>0</v>
      </c>
      <c r="N37" s="146" t="str">
        <f>VLOOKUP(VLOOKUP(E37,BDD!$A$2:$P$428,15,FALSE),Suppl!$D$64:$E$68,2,FALSE)</f>
        <v>Non renseigné</v>
      </c>
      <c r="O37" s="629"/>
      <c r="P37" s="629"/>
      <c r="Q37" s="629"/>
      <c r="R37" s="629"/>
      <c r="S37" s="627">
        <f>IF(N37=Suppl!$E$65,0,IF(N37=Suppl!$E$66,1/2/(COUNTIFS($D:$D,D37,$N:$N,"Exigences"&amp;"*",G:G,"&lt;&gt;0")+COUNTIFS($D:$D,D37,$N:$N,"Non"&amp;"*",G:G,"&lt;&gt;0")),IF(N37=Suppl!$E$67,1/(COUNTIFS($D:$D,D37,$N:$N,"Exigences"&amp;"*",G:G,"&lt;&gt;0")+COUNTIFS($D:$D,D37,$N:$N,"Non"&amp;"*",G:G,"&lt;&gt;0")),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311"/>
      <c r="AI37" s="30"/>
    </row>
    <row r="38" spans="1:35" ht="41.4" x14ac:dyDescent="0.3">
      <c r="A38" s="311"/>
      <c r="B38" s="30"/>
      <c r="C38" s="30" t="str">
        <f t="shared" si="0"/>
        <v>5</v>
      </c>
      <c r="D38" s="32">
        <f t="shared" si="4"/>
        <v>2</v>
      </c>
      <c r="E38" s="32" t="str">
        <f t="shared" si="5"/>
        <v>525</v>
      </c>
      <c r="F38" s="143" t="s">
        <v>33</v>
      </c>
      <c r="G38" s="144" t="str">
        <f>VLOOKUP(E38,BDD!$A$2:$N$567,MATCH(G$24,BDD!$A$1:$P$1,0),FALSE)</f>
        <v>Un point de contrôle est mis en place pour vérifier que les référentiels et dictionnaires de données sont bien utilisés dans les nouveaux projets et tout au long du cycle de vie des applications.</v>
      </c>
      <c r="H38" s="149" t="str">
        <f>IF(VLOOKUP($E38,BDD!$A$2:$N$567,MATCH($H$23,BDD!$A$1:$P$1,0),FALSE)=H$24,'V5_Données&amp;IA'!H$24,"")</f>
        <v/>
      </c>
      <c r="I38" s="150" t="str">
        <f>IF(VLOOKUP($E38,BDD!$A$2:$N$567,MATCH($H$23,BDD!$A$1:$P$1,0),FALSE)=I$24,'V5_Données&amp;IA'!I$24,"")</f>
        <v>N2</v>
      </c>
      <c r="J38" s="150" t="str">
        <f>IF(VLOOKUP($E38,BDD!$A$2:$N$567,MATCH($H$23,BDD!$A$1:$P$1,0),FALSE)=J$24,'V5_Données&amp;IA'!J$24,"")</f>
        <v/>
      </c>
      <c r="K38" s="150" t="str">
        <f>IF(VLOOKUP($E38,BDD!$A$2:$N$567,MATCH($H$23,BDD!$A$1:$P$1,0),FALSE)=K$24,'V5_Données&amp;IA'!K$24,"")</f>
        <v/>
      </c>
      <c r="L38" s="151" t="str">
        <f>IF(VLOOKUP($E38,BDD!$A$2:$N$567,MATCH($H$23,BDD!$A$1:$P$1,0),FALSE)=L$24,'V5_Données&amp;IA'!L$24,"")</f>
        <v/>
      </c>
      <c r="M38" s="63">
        <f t="shared" si="6"/>
        <v>0</v>
      </c>
      <c r="N38" s="144" t="str">
        <f>VLOOKUP(VLOOKUP(E38,BDD!$A$2:$P$428,15,FALSE),Suppl!$D$64:$E$68,2,FALSE)</f>
        <v>Non renseigné</v>
      </c>
      <c r="O38" s="629"/>
      <c r="P38" s="629"/>
      <c r="Q38" s="629"/>
      <c r="R38" s="629"/>
      <c r="S38" s="627">
        <f>IF(N38=Suppl!$E$65,0,IF(N38=Suppl!$E$66,1/2/(COUNTIFS($D:$D,D38,$N:$N,"Exigences"&amp;"*",G:G,"&lt;&gt;0")+COUNTIFS($D:$D,D38,$N:$N,"Non"&amp;"*",G:G,"&lt;&gt;0")),IF(N38=Suppl!$E$67,1/(COUNTIFS($D:$D,D38,$N:$N,"Exigences"&amp;"*",G:G,"&lt;&gt;0")+COUNTIFS($D:$D,D38,$N:$N,"Non"&amp;"*",G:G,"&lt;&gt;0")),0)))</f>
        <v>0</v>
      </c>
      <c r="T38" s="627"/>
      <c r="U38" s="627"/>
      <c r="V38" s="628"/>
      <c r="W38" s="356">
        <f>IFERROR(IF(N38=Suppl!$E$65,0,IF(N38=Suppl!$E$66,1/2/(COUNTIFS($N:$N,"Exigences"&amp;"*")+COUNTIFS($N:$N,"Non"&amp;"*")),IF(N38=Suppl!$E$67,1/(COUNTIFS($N:$N,"Exigences"&amp;"*")+COUNTIFS($N:$N,"Non"&amp;"*")),0))),0)</f>
        <v>0</v>
      </c>
      <c r="X38" s="30"/>
      <c r="Y38" s="30"/>
      <c r="Z38" s="30"/>
      <c r="AA38" s="30"/>
      <c r="AB38" s="30"/>
      <c r="AC38" s="30"/>
      <c r="AD38" s="30"/>
      <c r="AE38" s="30"/>
      <c r="AF38" s="30"/>
      <c r="AG38" s="30"/>
      <c r="AH38" s="311"/>
      <c r="AI38" s="30"/>
    </row>
    <row r="39" spans="1:35" ht="30" customHeight="1" x14ac:dyDescent="0.3">
      <c r="A39" s="311"/>
      <c r="B39" s="30"/>
      <c r="C39" s="30" t="str">
        <f t="shared" si="0"/>
        <v>5</v>
      </c>
      <c r="D39" s="32">
        <f t="shared" si="4"/>
        <v>2</v>
      </c>
      <c r="E39" s="32" t="str">
        <f t="shared" si="5"/>
        <v>526</v>
      </c>
      <c r="F39" s="147" t="s">
        <v>34</v>
      </c>
      <c r="G39" s="148" t="str">
        <f>VLOOKUP(E39,BDD!$A$2:$N$567,MATCH(G$24,BDD!$A$1:$P$1,0),FALSE)</f>
        <v>L’organisation met en œuvre des processus de vérification, soutenus par des indicateurs de qualité des données.</v>
      </c>
      <c r="H39" s="149" t="str">
        <f>IF(VLOOKUP($E39,BDD!$A$2:$N$567,MATCH($H$23,BDD!$A$1:$P$1,0),FALSE)=H$24,'V5_Données&amp;IA'!H$24,"")</f>
        <v/>
      </c>
      <c r="I39" s="150" t="str">
        <f>IF(VLOOKUP($E39,BDD!$A$2:$N$567,MATCH($H$23,BDD!$A$1:$P$1,0),FALSE)=I$24,'V5_Données&amp;IA'!I$24,"")</f>
        <v/>
      </c>
      <c r="J39" s="150" t="str">
        <f>IF(VLOOKUP($E39,BDD!$A$2:$N$567,MATCH($H$23,BDD!$A$1:$P$1,0),FALSE)=J$24,'V5_Données&amp;IA'!J$24,"")</f>
        <v/>
      </c>
      <c r="K39" s="150" t="str">
        <f>IF(VLOOKUP($E39,BDD!$A$2:$N$567,MATCH($H$23,BDD!$A$1:$P$1,0),FALSE)=K$24,'V5_Données&amp;IA'!K$24,"")</f>
        <v>N4</v>
      </c>
      <c r="L39" s="151" t="str">
        <f>IF(VLOOKUP($E39,BDD!$A$2:$N$567,MATCH($H$23,BDD!$A$1:$P$1,0),FALSE)=L$24,'V5_Données&amp;IA'!L$24,"")</f>
        <v/>
      </c>
      <c r="M39" s="63">
        <f t="shared" si="6"/>
        <v>0</v>
      </c>
      <c r="N39" s="148" t="str">
        <f>VLOOKUP(VLOOKUP(E39,BDD!$A$2:$P$428,15,FALSE),Suppl!$D$64:$E$68,2,FALSE)</f>
        <v>Non renseigné</v>
      </c>
      <c r="O39" s="629"/>
      <c r="P39" s="629"/>
      <c r="Q39" s="629"/>
      <c r="R39" s="629"/>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311"/>
      <c r="AI39" s="30"/>
    </row>
    <row r="40" spans="1:35" ht="30" customHeight="1" x14ac:dyDescent="0.3">
      <c r="A40" s="311"/>
      <c r="B40" s="30"/>
      <c r="C40" s="30" t="str">
        <f t="shared" si="0"/>
        <v>5</v>
      </c>
      <c r="D40" s="32">
        <f t="shared" si="4"/>
        <v>2</v>
      </c>
      <c r="E40" s="32" t="str">
        <f t="shared" si="5"/>
        <v>527</v>
      </c>
      <c r="F40" s="143" t="s">
        <v>36</v>
      </c>
      <c r="G40" s="144" t="str">
        <f>VLOOKUP(E40,BDD!$A$2:$N$567,MATCH(G$24,BDD!$A$1:$P$1,0),FALSE)</f>
        <v>Le dispositif est audité régulièrement et évolue en intégrant les préconisations issues de ces audits.</v>
      </c>
      <c r="H40" s="149" t="str">
        <f>IF(VLOOKUP($E40,BDD!$A$2:$N$567,MATCH($H$23,BDD!$A$1:$P$1,0),FALSE)=H$24,'V5_Données&amp;IA'!H$24,"")</f>
        <v/>
      </c>
      <c r="I40" s="150" t="str">
        <f>IF(VLOOKUP($E40,BDD!$A$2:$N$567,MATCH($H$23,BDD!$A$1:$P$1,0),FALSE)=I$24,'V5_Données&amp;IA'!I$24,"")</f>
        <v/>
      </c>
      <c r="J40" s="150" t="str">
        <f>IF(VLOOKUP($E40,BDD!$A$2:$N$567,MATCH($H$23,BDD!$A$1:$P$1,0),FALSE)=J$24,'V5_Données&amp;IA'!J$24,"")</f>
        <v/>
      </c>
      <c r="K40" s="150" t="str">
        <f>IF(VLOOKUP($E40,BDD!$A$2:$N$567,MATCH($H$23,BDD!$A$1:$P$1,0),FALSE)=K$24,'V5_Données&amp;IA'!K$24,"")</f>
        <v/>
      </c>
      <c r="L40" s="151" t="str">
        <f>IF(VLOOKUP($E40,BDD!$A$2:$N$567,MATCH($H$23,BDD!$A$1:$P$1,0),FALSE)=L$24,'V5_Données&amp;IA'!L$24,"")</f>
        <v>N5</v>
      </c>
      <c r="M40" s="63">
        <f t="shared" si="6"/>
        <v>0</v>
      </c>
      <c r="N40" s="144" t="str">
        <f>VLOOKUP(VLOOKUP(E40,BDD!$A$2:$P$428,15,FALSE),Suppl!$D$64:$E$68,2,FALSE)</f>
        <v>Non renseigné</v>
      </c>
      <c r="O40" s="636"/>
      <c r="P40" s="636"/>
      <c r="Q40" s="636"/>
      <c r="R40" s="636"/>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311"/>
      <c r="AI40" s="30"/>
    </row>
    <row r="41" spans="1:35" ht="30" customHeight="1" x14ac:dyDescent="0.3">
      <c r="A41" s="311"/>
      <c r="B41" s="30"/>
      <c r="C41" s="30" t="str">
        <f t="shared" si="0"/>
        <v>5</v>
      </c>
      <c r="D41" s="32">
        <f t="shared" si="4"/>
        <v>3</v>
      </c>
      <c r="E41" s="32" t="str">
        <f t="shared" si="5"/>
        <v>533</v>
      </c>
      <c r="F41" s="191" t="s">
        <v>501</v>
      </c>
      <c r="G41" s="192" t="str">
        <f>VLOOKUP(E43,BDD!$A$2:$N$567,6,FALSE)</f>
        <v>Valorisation</v>
      </c>
      <c r="H41" s="190"/>
      <c r="I41" s="135"/>
      <c r="J41" s="135"/>
      <c r="K41" s="135"/>
      <c r="L41" s="136"/>
      <c r="M41" s="137"/>
      <c r="N41" s="138"/>
      <c r="O41" s="630">
        <v>0</v>
      </c>
      <c r="P41" s="630"/>
      <c r="Q41" s="630"/>
      <c r="R41" s="630"/>
      <c r="S41" s="632">
        <f>SUMIFS(S:S,$D:$D,D41,$N:$N,"Exigences"&amp;"*")</f>
        <v>0</v>
      </c>
      <c r="T41" s="632"/>
      <c r="U41" s="632"/>
      <c r="V41" s="633"/>
      <c r="W41" s="356">
        <f>IFERROR(IF(N41=Suppl!$E$65,0,IF(N41=Suppl!$E$66,1/2/(COUNTIFS($N:$N,"Exigences"&amp;"*")+COUNTIFS($N:$N,"Non"&amp;"*")),IF(N41=Suppl!$E$67,1/(COUNTIFS($N:$N,"Exigences"&amp;"*")+COUNTIFS($N:$N,"Non"&amp;"*")),0))),0)</f>
        <v>0</v>
      </c>
      <c r="X41" s="30"/>
      <c r="Y41" s="30"/>
      <c r="Z41" s="30"/>
      <c r="AA41" s="30"/>
      <c r="AB41" s="30"/>
      <c r="AC41" s="30"/>
      <c r="AD41" s="30"/>
      <c r="AE41" s="30"/>
      <c r="AF41" s="30"/>
      <c r="AG41" s="30"/>
      <c r="AH41" s="311"/>
      <c r="AI41" s="30"/>
    </row>
    <row r="42" spans="1:35" ht="30" customHeight="1" x14ac:dyDescent="0.3">
      <c r="A42" s="311"/>
      <c r="B42" s="30"/>
      <c r="C42" s="30" t="str">
        <f t="shared" si="0"/>
        <v>5</v>
      </c>
      <c r="D42" s="32">
        <f t="shared" si="4"/>
        <v>3</v>
      </c>
      <c r="E42" s="32" t="str">
        <f t="shared" si="5"/>
        <v>531</v>
      </c>
      <c r="F42" s="211" t="s">
        <v>550</v>
      </c>
      <c r="G42" s="193" t="str">
        <f>VLOOKUP(E44,BDD!$A$2:$N$567,7,FALSE)</f>
        <v xml:space="preserve">L'organisation met en place les dispositifs nécessaires pour atteindre les objectifs stratégiques liés aux données, en s’appuyant sur la cartographie réalisée. </v>
      </c>
      <c r="H42" s="139"/>
      <c r="I42" s="139"/>
      <c r="J42" s="139"/>
      <c r="K42" s="139"/>
      <c r="L42" s="140"/>
      <c r="M42" s="141"/>
      <c r="N42" s="142"/>
      <c r="O42" s="631"/>
      <c r="P42" s="631"/>
      <c r="Q42" s="631"/>
      <c r="R42" s="631"/>
      <c r="S42" s="634"/>
      <c r="T42" s="634"/>
      <c r="U42" s="634"/>
      <c r="V42" s="635"/>
      <c r="W42" s="356">
        <f>IFERROR(IF(N42=Suppl!$E$65,0,IF(N42=Suppl!$E$66,1/2/(COUNTIFS($N:$N,"Exigences"&amp;"*")+COUNTIFS($N:$N,"Non"&amp;"*")),IF(N42=Suppl!$E$67,1/(COUNTIFS($N:$N,"Exigences"&amp;"*")+COUNTIFS($N:$N,"Non"&amp;"*")),0))),0)</f>
        <v>0</v>
      </c>
      <c r="X42" s="30"/>
      <c r="Y42" s="30"/>
      <c r="Z42" s="30"/>
      <c r="AA42" s="30"/>
      <c r="AB42" s="30"/>
      <c r="AC42" s="30"/>
      <c r="AD42" s="30"/>
      <c r="AE42" s="30"/>
      <c r="AF42" s="30"/>
      <c r="AG42" s="30"/>
      <c r="AH42" s="311"/>
      <c r="AI42" s="30"/>
    </row>
    <row r="43" spans="1:35" ht="41.4" x14ac:dyDescent="0.3">
      <c r="A43" s="311"/>
      <c r="B43" s="30"/>
      <c r="C43" s="30" t="str">
        <f t="shared" si="0"/>
        <v>5</v>
      </c>
      <c r="D43" s="32">
        <f t="shared" si="4"/>
        <v>3</v>
      </c>
      <c r="E43" s="32" t="str">
        <f t="shared" si="5"/>
        <v>531</v>
      </c>
      <c r="F43" s="143" t="s">
        <v>27</v>
      </c>
      <c r="G43" s="144" t="str">
        <f>VLOOKUP(E43,BDD!$A$2:$N$567,MATCH(G$24,BDD!$A$1:$P$1,0),FALSE)</f>
        <v>L'organisation attribue les rôles spécifiques pour exploiter ses données : Directeur des données (Chief Data Officer), Délégué à la protection des données, Data scientist, Responsable des données, Chef de projet, etc.).</v>
      </c>
      <c r="H43" s="149" t="str">
        <f>IF(VLOOKUP($E43,BDD!$A$2:$N$567,MATCH($H$23,BDD!$A$1:$P$1,0),FALSE)=H$24,'V5_Données&amp;IA'!H$24,"")</f>
        <v/>
      </c>
      <c r="I43" s="150" t="str">
        <f>IF(VLOOKUP($E43,BDD!$A$2:$N$567,MATCH($H$23,BDD!$A$1:$P$1,0),FALSE)=I$24,'V5_Données&amp;IA'!I$24,"")</f>
        <v>N2</v>
      </c>
      <c r="J43" s="150" t="str">
        <f>IF(VLOOKUP($E43,BDD!$A$2:$N$567,MATCH($H$23,BDD!$A$1:$P$1,0),FALSE)=J$24,'V5_Données&amp;IA'!J$24,"")</f>
        <v/>
      </c>
      <c r="K43" s="150" t="str">
        <f>IF(VLOOKUP($E43,BDD!$A$2:$N$567,MATCH($H$23,BDD!$A$1:$P$1,0),FALSE)=K$24,'V5_Données&amp;IA'!K$24,"")</f>
        <v/>
      </c>
      <c r="L43" s="151" t="str">
        <f>IF(VLOOKUP($E43,BDD!$A$2:$N$567,MATCH($H$23,BDD!$A$1:$P$1,0),FALSE)=L$24,'V5_Données&amp;IA'!L$24,"")</f>
        <v/>
      </c>
      <c r="M43" s="63">
        <f t="shared" ref="M43:M47" si="7">IF(N43="Exigences partiellement respectées",1,IF(N43="Exigences respectées",2,0))</f>
        <v>0</v>
      </c>
      <c r="N43" s="144" t="str">
        <f>VLOOKUP(VLOOKUP(E43,BDD!$A$2:$P$428,15,FALSE),Suppl!$D$64:$E$68,2,FALSE)</f>
        <v>Non renseigné</v>
      </c>
      <c r="O43" s="626"/>
      <c r="P43" s="626"/>
      <c r="Q43" s="626"/>
      <c r="R43" s="626"/>
      <c r="S43" s="627">
        <f>IF(N43=Suppl!$E$65,0,IF(N43=Suppl!$E$66,1/2/(COUNTIFS($D:$D,D43,$N:$N,"Exigences"&amp;"*",G:G,"&lt;&gt;0")+COUNTIFS($D:$D,D43,$N:$N,"Non"&amp;"*",G:G,"&lt;&gt;0")),IF(N43=Suppl!$E$67,1/(COUNTIFS($D:$D,D43,$N:$N,"Exigences"&amp;"*",G:G,"&lt;&gt;0")+COUNTIFS($D:$D,D43,$N:$N,"Non"&amp;"*",G:G,"&lt;&gt;0")),0)))</f>
        <v>0</v>
      </c>
      <c r="T43" s="627"/>
      <c r="U43" s="627"/>
      <c r="V43" s="628"/>
      <c r="W43" s="356">
        <f>IFERROR(IF(N43=Suppl!$E$65,0,IF(N43=Suppl!$E$66,1/2/(COUNTIFS($N:$N,"Exigences"&amp;"*")+COUNTIFS($N:$N,"Non"&amp;"*")),IF(N43=Suppl!$E$67,1/(COUNTIFS($N:$N,"Exigences"&amp;"*")+COUNTIFS($N:$N,"Non"&amp;"*")),0))),0)</f>
        <v>0</v>
      </c>
      <c r="X43" s="30"/>
      <c r="Y43" s="30"/>
      <c r="Z43" s="30"/>
      <c r="AA43" s="30"/>
      <c r="AB43" s="30"/>
      <c r="AC43" s="30"/>
      <c r="AD43" s="30"/>
      <c r="AE43" s="30"/>
      <c r="AF43" s="30"/>
      <c r="AG43" s="30"/>
      <c r="AH43" s="311"/>
      <c r="AI43" s="30"/>
    </row>
    <row r="44" spans="1:35" ht="30" customHeight="1" x14ac:dyDescent="0.3">
      <c r="A44" s="311"/>
      <c r="B44" s="30"/>
      <c r="C44" s="30" t="str">
        <f t="shared" si="0"/>
        <v>5</v>
      </c>
      <c r="D44" s="32">
        <f t="shared" si="4"/>
        <v>3</v>
      </c>
      <c r="E44" s="32" t="str">
        <f t="shared" si="5"/>
        <v>532</v>
      </c>
      <c r="F44" s="145" t="s">
        <v>28</v>
      </c>
      <c r="G44" s="146" t="str">
        <f>VLOOKUP(E44,BDD!$A$2:$N$567,MATCH(G$24,BDD!$A$1:$P$1,0),FALSE)</f>
        <v>L'organisation a mis en place des initiatives, des méthodes et des outils pour valoriser ses données. Celles-ci sont utilisées pour anticiper et réaliser des projections.</v>
      </c>
      <c r="H44" s="149" t="str">
        <f>IF(VLOOKUP($E44,BDD!$A$2:$N$567,MATCH($H$23,BDD!$A$1:$P$1,0),FALSE)=H$24,'V5_Données&amp;IA'!H$24,"")</f>
        <v/>
      </c>
      <c r="I44" s="150" t="str">
        <f>IF(VLOOKUP($E44,BDD!$A$2:$N$567,MATCH($H$23,BDD!$A$1:$P$1,0),FALSE)=I$24,'V5_Données&amp;IA'!I$24,"")</f>
        <v/>
      </c>
      <c r="J44" s="150" t="str">
        <f>IF(VLOOKUP($E44,BDD!$A$2:$N$567,MATCH($H$23,BDD!$A$1:$P$1,0),FALSE)=J$24,'V5_Données&amp;IA'!J$24,"")</f>
        <v>N3</v>
      </c>
      <c r="K44" s="150" t="str">
        <f>IF(VLOOKUP($E44,BDD!$A$2:$N$567,MATCH($H$23,BDD!$A$1:$P$1,0),FALSE)=K$24,'V5_Données&amp;IA'!K$24,"")</f>
        <v/>
      </c>
      <c r="L44" s="151" t="str">
        <f>IF(VLOOKUP($E44,BDD!$A$2:$N$567,MATCH($H$23,BDD!$A$1:$P$1,0),FALSE)=L$24,'V5_Données&amp;IA'!L$24,"")</f>
        <v/>
      </c>
      <c r="M44" s="63">
        <f t="shared" si="7"/>
        <v>0</v>
      </c>
      <c r="N44" s="146" t="str">
        <f>VLOOKUP(VLOOKUP(E44,BDD!$A$2:$P$428,15,FALSE),Suppl!$D$64:$E$68,2,FALSE)</f>
        <v>Non renseigné</v>
      </c>
      <c r="O44" s="629"/>
      <c r="P44" s="629"/>
      <c r="Q44" s="629"/>
      <c r="R44" s="629"/>
      <c r="S44" s="627">
        <f>IF(N44=Suppl!$E$65,0,IF(N44=Suppl!$E$66,1/2/(COUNTIFS($D:$D,D44,$N:$N,"Exigences"&amp;"*",G:G,"&lt;&gt;0")+COUNTIFS($D:$D,D44,$N:$N,"Non"&amp;"*",G:G,"&lt;&gt;0")),IF(N44=Suppl!$E$67,1/(COUNTIFS($D:$D,D44,$N:$N,"Exigences"&amp;"*",G:G,"&lt;&gt;0")+COUNTIFS($D:$D,D44,$N:$N,"Non"&amp;"*",G:G,"&lt;&gt;0")),0)))</f>
        <v>0</v>
      </c>
      <c r="T44" s="627"/>
      <c r="U44" s="627"/>
      <c r="V44" s="628"/>
      <c r="W44" s="356">
        <f>IFERROR(IF(N44=Suppl!$E$65,0,IF(N44=Suppl!$E$66,1/2/(COUNTIFS($N:$N,"Exigences"&amp;"*")+COUNTIFS($N:$N,"Non"&amp;"*")),IF(N44=Suppl!$E$67,1/(COUNTIFS($N:$N,"Exigences"&amp;"*")+COUNTIFS($N:$N,"Non"&amp;"*")),0))),0)</f>
        <v>0</v>
      </c>
      <c r="X44" s="30"/>
      <c r="Y44" s="30"/>
      <c r="Z44" s="30"/>
      <c r="AA44" s="30"/>
      <c r="AB44" s="30"/>
      <c r="AC44" s="30"/>
      <c r="AD44" s="30"/>
      <c r="AE44" s="30"/>
      <c r="AF44" s="30"/>
      <c r="AG44" s="30"/>
      <c r="AH44" s="311"/>
      <c r="AI44" s="30"/>
    </row>
    <row r="45" spans="1:35" ht="30" customHeight="1" x14ac:dyDescent="0.3">
      <c r="A45" s="311"/>
      <c r="B45" s="30"/>
      <c r="C45" s="30" t="str">
        <f t="shared" si="0"/>
        <v>5</v>
      </c>
      <c r="D45" s="32">
        <f t="shared" si="4"/>
        <v>3</v>
      </c>
      <c r="E45" s="32" t="str">
        <f t="shared" si="5"/>
        <v>533</v>
      </c>
      <c r="F45" s="143" t="s">
        <v>30</v>
      </c>
      <c r="G45" s="144" t="str">
        <f>VLOOKUP(E45,BDD!$A$2:$N$567,MATCH(G$24,BDD!$A$1:$P$1,0),FALSE)</f>
        <v>Les différentes directions de l'organisation sont activement impliquées dans les initiatives et outils et se les sont appropriés.</v>
      </c>
      <c r="H45" s="149" t="str">
        <f>IF(VLOOKUP($E45,BDD!$A$2:$N$567,MATCH($H$23,BDD!$A$1:$P$1,0),FALSE)=H$24,'V5_Données&amp;IA'!H$24,"")</f>
        <v/>
      </c>
      <c r="I45" s="150" t="str">
        <f>IF(VLOOKUP($E45,BDD!$A$2:$N$567,MATCH($H$23,BDD!$A$1:$P$1,0),FALSE)=I$24,'V5_Données&amp;IA'!I$24,"")</f>
        <v/>
      </c>
      <c r="J45" s="150" t="str">
        <f>IF(VLOOKUP($E45,BDD!$A$2:$N$567,MATCH($H$23,BDD!$A$1:$P$1,0),FALSE)=J$24,'V5_Données&amp;IA'!J$24,"")</f>
        <v>N3</v>
      </c>
      <c r="K45" s="150" t="str">
        <f>IF(VLOOKUP($E45,BDD!$A$2:$N$567,MATCH($H$23,BDD!$A$1:$P$1,0),FALSE)=K$24,'V5_Données&amp;IA'!K$24,"")</f>
        <v/>
      </c>
      <c r="L45" s="151" t="str">
        <f>IF(VLOOKUP($E45,BDD!$A$2:$N$567,MATCH($H$23,BDD!$A$1:$P$1,0),FALSE)=L$24,'V5_Données&amp;IA'!L$24,"")</f>
        <v/>
      </c>
      <c r="M45" s="63">
        <f t="shared" si="7"/>
        <v>0</v>
      </c>
      <c r="N45" s="144" t="str">
        <f>VLOOKUP(VLOOKUP(E45,BDD!$A$2:$P$428,15,FALSE),Suppl!$D$64:$E$68,2,FALSE)</f>
        <v>Non renseigné</v>
      </c>
      <c r="O45" s="629"/>
      <c r="P45" s="629"/>
      <c r="Q45" s="629"/>
      <c r="R45" s="629"/>
      <c r="S45" s="627">
        <f>IF(N45=Suppl!$E$65,0,IF(N45=Suppl!$E$66,1/2/(COUNTIFS($D:$D,D45,$N:$N,"Exigences"&amp;"*",G:G,"&lt;&gt;0")+COUNTIFS($D:$D,D45,$N:$N,"Non"&amp;"*",G:G,"&lt;&gt;0")),IF(N45=Suppl!$E$67,1/(COUNTIFS($D:$D,D45,$N:$N,"Exigences"&amp;"*",G:G,"&lt;&gt;0")+COUNTIFS($D:$D,D45,$N:$N,"Non"&amp;"*",G:G,"&lt;&gt;0")),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311"/>
      <c r="AI45" s="30"/>
    </row>
    <row r="46" spans="1:35" ht="30" customHeight="1" x14ac:dyDescent="0.3">
      <c r="A46" s="311"/>
      <c r="B46" s="30"/>
      <c r="C46" s="30" t="str">
        <f t="shared" si="0"/>
        <v>5</v>
      </c>
      <c r="D46" s="32">
        <f t="shared" si="4"/>
        <v>3</v>
      </c>
      <c r="E46" s="32" t="str">
        <f t="shared" si="5"/>
        <v>534</v>
      </c>
      <c r="F46" s="145" t="s">
        <v>32</v>
      </c>
      <c r="G46" s="146" t="str">
        <f>VLOOKUP(E46,BDD!$A$2:$N$567,MATCH(G$24,BDD!$A$1:$P$1,0),FALSE)</f>
        <v>L'efficacité de ces initiatives et outils est mesurée périodiquement y compris la manière dont l'IA est utilisée.</v>
      </c>
      <c r="H46" s="149" t="str">
        <f>IF(VLOOKUP($E46,BDD!$A$2:$N$567,MATCH($H$23,BDD!$A$1:$P$1,0),FALSE)=H$24,'V5_Données&amp;IA'!H$24,"")</f>
        <v/>
      </c>
      <c r="I46" s="150" t="str">
        <f>IF(VLOOKUP($E46,BDD!$A$2:$N$567,MATCH($H$23,BDD!$A$1:$P$1,0),FALSE)=I$24,'V5_Données&amp;IA'!I$24,"")</f>
        <v/>
      </c>
      <c r="J46" s="150" t="str">
        <f>IF(VLOOKUP($E46,BDD!$A$2:$N$567,MATCH($H$23,BDD!$A$1:$P$1,0),FALSE)=J$24,'V5_Données&amp;IA'!J$24,"")</f>
        <v/>
      </c>
      <c r="K46" s="150" t="str">
        <f>IF(VLOOKUP($E46,BDD!$A$2:$N$567,MATCH($H$23,BDD!$A$1:$P$1,0),FALSE)=K$24,'V5_Données&amp;IA'!K$24,"")</f>
        <v/>
      </c>
      <c r="L46" s="151" t="str">
        <f>IF(VLOOKUP($E46,BDD!$A$2:$N$567,MATCH($H$23,BDD!$A$1:$P$1,0),FALSE)=L$24,'V5_Données&amp;IA'!L$24,"")</f>
        <v>N5</v>
      </c>
      <c r="M46" s="63">
        <f t="shared" si="7"/>
        <v>0</v>
      </c>
      <c r="N46" s="146" t="str">
        <f>VLOOKUP(VLOOKUP(E46,BDD!$A$2:$P$428,15,FALSE),Suppl!$D$64:$E$68,2,FALSE)</f>
        <v>Non renseigné</v>
      </c>
      <c r="O46" s="629"/>
      <c r="P46" s="629"/>
      <c r="Q46" s="629"/>
      <c r="R46" s="629"/>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311"/>
      <c r="AI46" s="30"/>
    </row>
    <row r="47" spans="1:35" ht="41.4" x14ac:dyDescent="0.3">
      <c r="A47" s="311"/>
      <c r="B47" s="30"/>
      <c r="C47" s="30" t="str">
        <f t="shared" si="0"/>
        <v>5</v>
      </c>
      <c r="D47" s="32">
        <f t="shared" si="4"/>
        <v>3</v>
      </c>
      <c r="E47" s="32" t="str">
        <f t="shared" si="5"/>
        <v>535</v>
      </c>
      <c r="F47" s="143" t="s">
        <v>33</v>
      </c>
      <c r="G47" s="144" t="str">
        <f>VLOOKUP(E47,BDD!$A$2:$N$567,MATCH(G$24,BDD!$A$1:$P$1,0),FALSE)</f>
        <v>Les organisations qui ont l'obligation de mettre à disposition certaines données en open data (conformité à la loi Lemaire), ont identifié les impacts de cette démarche sur la valorisation de leurs données.</v>
      </c>
      <c r="H47" s="149" t="str">
        <f>IF(VLOOKUP($E47,BDD!$A$2:$N$567,MATCH($H$23,BDD!$A$1:$P$1,0),FALSE)=H$24,'V5_Données&amp;IA'!H$24,"")</f>
        <v/>
      </c>
      <c r="I47" s="150" t="str">
        <f>IF(VLOOKUP($E47,BDD!$A$2:$N$567,MATCH($H$23,BDD!$A$1:$P$1,0),FALSE)=I$24,'V5_Données&amp;IA'!I$24,"")</f>
        <v/>
      </c>
      <c r="J47" s="150" t="str">
        <f>IF(VLOOKUP($E47,BDD!$A$2:$N$567,MATCH($H$23,BDD!$A$1:$P$1,0),FALSE)=J$24,'V5_Données&amp;IA'!J$24,"")</f>
        <v>N3</v>
      </c>
      <c r="K47" s="150" t="str">
        <f>IF(VLOOKUP($E47,BDD!$A$2:$N$567,MATCH($H$23,BDD!$A$1:$P$1,0),FALSE)=K$24,'V5_Données&amp;IA'!K$24,"")</f>
        <v/>
      </c>
      <c r="L47" s="151" t="str">
        <f>IF(VLOOKUP($E47,BDD!$A$2:$N$567,MATCH($H$23,BDD!$A$1:$P$1,0),FALSE)=L$24,'V5_Données&amp;IA'!L$24,"")</f>
        <v/>
      </c>
      <c r="M47" s="63">
        <f t="shared" si="7"/>
        <v>0</v>
      </c>
      <c r="N47" s="144"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311"/>
      <c r="AI47" s="30"/>
    </row>
    <row r="48" spans="1:35" ht="30" customHeight="1" x14ac:dyDescent="0.3">
      <c r="A48" s="311"/>
      <c r="B48" s="30"/>
      <c r="C48" s="30" t="str">
        <f t="shared" si="0"/>
        <v>5</v>
      </c>
      <c r="D48" s="32">
        <f t="shared" ref="D48:D54" si="8">IF(LEFT(F48,5)="Bonne",D46+1,D47)</f>
        <v>4</v>
      </c>
      <c r="E48" s="32" t="str">
        <f t="shared" ref="E48:E54" si="9">C48&amp;D48&amp;RIGHT(F48,1)</f>
        <v>544</v>
      </c>
      <c r="F48" s="191" t="s">
        <v>502</v>
      </c>
      <c r="G48" s="192" t="str">
        <f>VLOOKUP(E50,BDD!$A$2:$N$567,6,FALSE)</f>
        <v>Sécurisation</v>
      </c>
      <c r="H48" s="190"/>
      <c r="I48" s="135"/>
      <c r="J48" s="135"/>
      <c r="K48" s="135"/>
      <c r="L48" s="136"/>
      <c r="M48" s="137"/>
      <c r="N48" s="138"/>
      <c r="O48" s="630">
        <v>0</v>
      </c>
      <c r="P48" s="630"/>
      <c r="Q48" s="630"/>
      <c r="R48" s="630"/>
      <c r="S48" s="632">
        <f>SUMIFS(S:S,$D:$D,D48,$N:$N,"Exigences"&amp;"*")</f>
        <v>0</v>
      </c>
      <c r="T48" s="632"/>
      <c r="U48" s="632"/>
      <c r="V48" s="633"/>
      <c r="W48" s="356">
        <f>IFERROR(IF(N48=Suppl!$E$65,0,IF(N48=Suppl!$E$66,1/2/(COUNTIFS($N:$N,"Exigences"&amp;"*")+COUNTIFS($N:$N,"Non"&amp;"*")),IF(N48=Suppl!$E$67,1/(COUNTIFS($N:$N,"Exigences"&amp;"*")+COUNTIFS($N:$N,"Non"&amp;"*")),0))),0)</f>
        <v>0</v>
      </c>
      <c r="X48" s="30"/>
      <c r="Y48" s="30"/>
      <c r="Z48" s="30"/>
      <c r="AA48" s="30"/>
      <c r="AB48" s="30"/>
      <c r="AC48" s="30"/>
      <c r="AD48" s="30"/>
      <c r="AE48" s="30"/>
      <c r="AF48" s="30"/>
      <c r="AG48" s="30"/>
      <c r="AH48" s="311"/>
      <c r="AI48" s="30"/>
    </row>
    <row r="49" spans="1:35" ht="30" customHeight="1" x14ac:dyDescent="0.3">
      <c r="A49" s="311"/>
      <c r="B49" s="30"/>
      <c r="C49" s="30" t="str">
        <f t="shared" si="0"/>
        <v>5</v>
      </c>
      <c r="D49" s="32">
        <f t="shared" si="8"/>
        <v>4</v>
      </c>
      <c r="E49" s="32" t="str">
        <f t="shared" si="9"/>
        <v>541</v>
      </c>
      <c r="F49" s="211" t="s">
        <v>550</v>
      </c>
      <c r="G49" s="193" t="str">
        <f>VLOOKUP(E51,BDD!$A$2:$N$567,7,FALSE)</f>
        <v>L’organisation a mis en place un dispositif pour protéger ses données.</v>
      </c>
      <c r="H49" s="139"/>
      <c r="I49" s="139"/>
      <c r="J49" s="139"/>
      <c r="K49" s="139"/>
      <c r="L49" s="140"/>
      <c r="M49" s="141"/>
      <c r="N49" s="142"/>
      <c r="O49" s="631"/>
      <c r="P49" s="631"/>
      <c r="Q49" s="631"/>
      <c r="R49" s="631"/>
      <c r="S49" s="634"/>
      <c r="T49" s="634"/>
      <c r="U49" s="634"/>
      <c r="V49" s="635"/>
      <c r="W49" s="356">
        <f>IFERROR(IF(N49=Suppl!$E$65,0,IF(N49=Suppl!$E$66,1/2/(COUNTIFS($N:$N,"Exigences"&amp;"*")+COUNTIFS($N:$N,"Non"&amp;"*")),IF(N49=Suppl!$E$67,1/(COUNTIFS($N:$N,"Exigences"&amp;"*")+COUNTIFS($N:$N,"Non"&amp;"*")),0))),0)</f>
        <v>0</v>
      </c>
      <c r="X49" s="30"/>
      <c r="Y49" s="30"/>
      <c r="Z49" s="30"/>
      <c r="AA49" s="30"/>
      <c r="AB49" s="30"/>
      <c r="AC49" s="30"/>
      <c r="AD49" s="30"/>
      <c r="AE49" s="30"/>
      <c r="AF49" s="30"/>
      <c r="AG49" s="30"/>
      <c r="AH49" s="311"/>
      <c r="AI49" s="30"/>
    </row>
    <row r="50" spans="1:35" ht="30" customHeight="1" x14ac:dyDescent="0.3">
      <c r="A50" s="311"/>
      <c r="B50" s="30"/>
      <c r="C50" s="30" t="str">
        <f t="shared" si="0"/>
        <v>5</v>
      </c>
      <c r="D50" s="32">
        <f t="shared" si="8"/>
        <v>4</v>
      </c>
      <c r="E50" s="32" t="str">
        <f t="shared" si="9"/>
        <v>541</v>
      </c>
      <c r="F50" s="143" t="s">
        <v>27</v>
      </c>
      <c r="G50" s="144" t="str">
        <f>VLOOKUP(E50,BDD!$A$2:$N$567,MATCH(G$24,BDD!$A$1:$P$1,0),FALSE)</f>
        <v>Une cartographie des risques est élaborée en fonction de la criticité des données.</v>
      </c>
      <c r="H50" s="149" t="str">
        <f>IF(VLOOKUP($E50,BDD!$A$2:$N$567,MATCH($H$23,BDD!$A$1:$P$1,0),FALSE)=H$24,'V5_Données&amp;IA'!H$24,"")</f>
        <v/>
      </c>
      <c r="I50" s="150" t="str">
        <f>IF(VLOOKUP($E50,BDD!$A$2:$N$567,MATCH($H$23,BDD!$A$1:$P$1,0),FALSE)=I$24,'V5_Données&amp;IA'!I$24,"")</f>
        <v>N2</v>
      </c>
      <c r="J50" s="150" t="str">
        <f>IF(VLOOKUP($E50,BDD!$A$2:$N$567,MATCH($H$23,BDD!$A$1:$P$1,0),FALSE)=J$24,'V5_Données&amp;IA'!J$24,"")</f>
        <v/>
      </c>
      <c r="K50" s="150" t="str">
        <f>IF(VLOOKUP($E50,BDD!$A$2:$N$567,MATCH($H$23,BDD!$A$1:$P$1,0),FALSE)=K$24,'V5_Données&amp;IA'!K$24,"")</f>
        <v/>
      </c>
      <c r="L50" s="151" t="str">
        <f>IF(VLOOKUP($E50,BDD!$A$2:$N$567,MATCH($H$23,BDD!$A$1:$P$1,0),FALSE)=L$24,'V5_Données&amp;IA'!L$24,"")</f>
        <v/>
      </c>
      <c r="M50" s="63">
        <f t="shared" ref="M50:M54" si="10">IF(N50="Exigences partiellement respectées",1,IF(N50="Exigences respectées",2,0))</f>
        <v>0</v>
      </c>
      <c r="N50" s="144" t="str">
        <f>VLOOKUP(VLOOKUP(E50,BDD!$A$2:$P$428,15,FALSE),Suppl!$D$64:$E$68,2,FALSE)</f>
        <v>Non renseigné</v>
      </c>
      <c r="O50" s="626"/>
      <c r="P50" s="626"/>
      <c r="Q50" s="626"/>
      <c r="R50" s="626"/>
      <c r="S50" s="627">
        <f>IF(N50=Suppl!$E$65,0,IF(N50=Suppl!$E$66,1/2/(COUNTIFS($D:$D,D50,$N:$N,"Exigences"&amp;"*",G:G,"&lt;&gt;0")+COUNTIFS($D:$D,D50,$N:$N,"Non"&amp;"*",G:G,"&lt;&gt;0")),IF(N50=Suppl!$E$67,1/(COUNTIFS($D:$D,D50,$N:$N,"Exigences"&amp;"*",G:G,"&lt;&gt;0")+COUNTIFS($D:$D,D50,$N:$N,"Non"&amp;"*",G:G,"&lt;&gt;0")),0)))</f>
        <v>0</v>
      </c>
      <c r="T50" s="627"/>
      <c r="U50" s="627"/>
      <c r="V50" s="628"/>
      <c r="W50" s="356">
        <f>IFERROR(IF(N50=Suppl!$E$65,0,IF(N50=Suppl!$E$66,1/2/(COUNTIFS($N:$N,"Exigences"&amp;"*")+COUNTIFS($N:$N,"Non"&amp;"*")),IF(N50=Suppl!$E$67,1/(COUNTIFS($N:$N,"Exigences"&amp;"*")+COUNTIFS($N:$N,"Non"&amp;"*")),0))),0)</f>
        <v>0</v>
      </c>
      <c r="X50" s="30"/>
      <c r="Y50" s="30"/>
      <c r="Z50" s="30"/>
      <c r="AA50" s="30"/>
      <c r="AB50" s="30"/>
      <c r="AC50" s="30"/>
      <c r="AD50" s="30"/>
      <c r="AE50" s="30"/>
      <c r="AF50" s="30"/>
      <c r="AG50" s="30"/>
      <c r="AH50" s="311"/>
      <c r="AI50" s="30"/>
    </row>
    <row r="51" spans="1:35" ht="41.4" x14ac:dyDescent="0.3">
      <c r="A51" s="311"/>
      <c r="B51" s="30"/>
      <c r="C51" s="30" t="str">
        <f t="shared" si="0"/>
        <v>5</v>
      </c>
      <c r="D51" s="32">
        <f t="shared" si="8"/>
        <v>4</v>
      </c>
      <c r="E51" s="32" t="str">
        <f t="shared" si="9"/>
        <v>542</v>
      </c>
      <c r="F51" s="145" t="s">
        <v>28</v>
      </c>
      <c r="G51" s="146" t="str">
        <f>VLOOKUP(E51,BDD!$A$2:$N$567,MATCH(G$24,BDD!$A$1:$P$1,0),FALSE)</f>
        <v>L'organisation s'assure de la conformité avec l'ensemble des réglementations relatives aux données (par exemple : Data Act, RGPD, DORA, NIS 2, IA Act, et toutes les réglementations sectorielles spécifiques).</v>
      </c>
      <c r="H51" s="149" t="str">
        <f>IF(VLOOKUP($E51,BDD!$A$2:$N$567,MATCH($H$23,BDD!$A$1:$P$1,0),FALSE)=H$24,'V5_Données&amp;IA'!H$24,"")</f>
        <v>N1</v>
      </c>
      <c r="I51" s="150" t="str">
        <f>IF(VLOOKUP($E51,BDD!$A$2:$N$567,MATCH($H$23,BDD!$A$1:$P$1,0),FALSE)=I$24,'V5_Données&amp;IA'!I$24,"")</f>
        <v/>
      </c>
      <c r="J51" s="150" t="str">
        <f>IF(VLOOKUP($E51,BDD!$A$2:$N$567,MATCH($H$23,BDD!$A$1:$P$1,0),FALSE)=J$24,'V5_Données&amp;IA'!J$24,"")</f>
        <v/>
      </c>
      <c r="K51" s="150" t="str">
        <f>IF(VLOOKUP($E51,BDD!$A$2:$N$567,MATCH($H$23,BDD!$A$1:$P$1,0),FALSE)=K$24,'V5_Données&amp;IA'!K$24,"")</f>
        <v/>
      </c>
      <c r="L51" s="151" t="str">
        <f>IF(VLOOKUP($E51,BDD!$A$2:$N$567,MATCH($H$23,BDD!$A$1:$P$1,0),FALSE)=L$24,'V5_Données&amp;IA'!L$24,"")</f>
        <v/>
      </c>
      <c r="M51" s="63">
        <f t="shared" si="10"/>
        <v>0</v>
      </c>
      <c r="N51" s="146" t="str">
        <f>VLOOKUP(VLOOKUP(E51,BDD!$A$2:$P$428,15,FALSE),Suppl!$D$64:$E$68,2,FALSE)</f>
        <v>Non renseigné</v>
      </c>
      <c r="O51" s="629"/>
      <c r="P51" s="629"/>
      <c r="Q51" s="629"/>
      <c r="R51" s="629"/>
      <c r="S51" s="627">
        <f>IF(N51=Suppl!$E$65,0,IF(N51=Suppl!$E$66,1/2/(COUNTIFS($D:$D,D51,$N:$N,"Exigences"&amp;"*",G:G,"&lt;&gt;0")+COUNTIFS($D:$D,D51,$N:$N,"Non"&amp;"*",G:G,"&lt;&gt;0")),IF(N51=Suppl!$E$67,1/(COUNTIFS($D:$D,D51,$N:$N,"Exigences"&amp;"*",G:G,"&lt;&gt;0")+COUNTIFS($D:$D,D51,$N:$N,"Non"&amp;"*",G:G,"&lt;&gt;0")),0)))</f>
        <v>0</v>
      </c>
      <c r="T51" s="627"/>
      <c r="U51" s="627"/>
      <c r="V51" s="628"/>
      <c r="W51" s="356">
        <f>IFERROR(IF(N51=Suppl!$E$65,0,IF(N51=Suppl!$E$66,1/2/(COUNTIFS($N:$N,"Exigences"&amp;"*")+COUNTIFS($N:$N,"Non"&amp;"*")),IF(N51=Suppl!$E$67,1/(COUNTIFS($N:$N,"Exigences"&amp;"*")+COUNTIFS($N:$N,"Non"&amp;"*")),0))),0)</f>
        <v>0</v>
      </c>
      <c r="X51" s="30"/>
      <c r="Y51" s="30"/>
      <c r="Z51" s="30"/>
      <c r="AA51" s="30"/>
      <c r="AB51" s="30"/>
      <c r="AC51" s="30"/>
      <c r="AD51" s="30"/>
      <c r="AE51" s="30"/>
      <c r="AF51" s="30"/>
      <c r="AG51" s="30"/>
      <c r="AH51" s="311"/>
      <c r="AI51" s="30"/>
    </row>
    <row r="52" spans="1:35" ht="30" customHeight="1" x14ac:dyDescent="0.3">
      <c r="A52" s="311"/>
      <c r="B52" s="30"/>
      <c r="C52" s="30" t="str">
        <f t="shared" si="0"/>
        <v>5</v>
      </c>
      <c r="D52" s="32">
        <f t="shared" si="8"/>
        <v>4</v>
      </c>
      <c r="E52" s="32" t="str">
        <f t="shared" si="9"/>
        <v>543</v>
      </c>
      <c r="F52" s="143" t="s">
        <v>30</v>
      </c>
      <c r="G52" s="144" t="str">
        <f>VLOOKUP(E52,BDD!$A$2:$N$567,MATCH(G$24,BDD!$A$1:$P$1,0),FALSE)</f>
        <v>Des dispositifs de couverture des risques sont mis en place en fonction de la criticité et de l'évaluation des menaces sur les données. </v>
      </c>
      <c r="H52" s="149" t="str">
        <f>IF(VLOOKUP($E52,BDD!$A$2:$N$567,MATCH($H$23,BDD!$A$1:$P$1,0),FALSE)=H$24,'V5_Données&amp;IA'!H$24,"")</f>
        <v/>
      </c>
      <c r="I52" s="150" t="str">
        <f>IF(VLOOKUP($E52,BDD!$A$2:$N$567,MATCH($H$23,BDD!$A$1:$P$1,0),FALSE)=I$24,'V5_Données&amp;IA'!I$24,"")</f>
        <v/>
      </c>
      <c r="J52" s="150" t="str">
        <f>IF(VLOOKUP($E52,BDD!$A$2:$N$567,MATCH($H$23,BDD!$A$1:$P$1,0),FALSE)=J$24,'V5_Données&amp;IA'!J$24,"")</f>
        <v>N3</v>
      </c>
      <c r="K52" s="150" t="str">
        <f>IF(VLOOKUP($E52,BDD!$A$2:$N$567,MATCH($H$23,BDD!$A$1:$P$1,0),FALSE)=K$24,'V5_Données&amp;IA'!K$24,"")</f>
        <v/>
      </c>
      <c r="L52" s="151" t="str">
        <f>IF(VLOOKUP($E52,BDD!$A$2:$N$567,MATCH($H$23,BDD!$A$1:$P$1,0),FALSE)=L$24,'V5_Données&amp;IA'!L$24,"")</f>
        <v/>
      </c>
      <c r="M52" s="63">
        <f t="shared" si="10"/>
        <v>0</v>
      </c>
      <c r="N52" s="144" t="str">
        <f>VLOOKUP(VLOOKUP(E52,BDD!$A$2:$P$428,15,FALSE),Suppl!$D$64:$E$68,2,FALSE)</f>
        <v>Non renseigné</v>
      </c>
      <c r="O52" s="629"/>
      <c r="P52" s="629"/>
      <c r="Q52" s="629"/>
      <c r="R52" s="629"/>
      <c r="S52" s="627">
        <f>IF(N52=Suppl!$E$65,0,IF(N52=Suppl!$E$66,1/2/(COUNTIFS($D:$D,D52,$N:$N,"Exigences"&amp;"*",G:G,"&lt;&gt;0")+COUNTIFS($D:$D,D52,$N:$N,"Non"&amp;"*",G:G,"&lt;&gt;0")),IF(N52=Suppl!$E$67,1/(COUNTIFS($D:$D,D52,$N:$N,"Exigences"&amp;"*",G:G,"&lt;&gt;0")+COUNTIFS($D:$D,D52,$N:$N,"Non"&amp;"*",G:G,"&lt;&gt;0")),0)))</f>
        <v>0</v>
      </c>
      <c r="T52" s="627"/>
      <c r="U52" s="627"/>
      <c r="V52" s="628"/>
      <c r="W52" s="356">
        <f>IFERROR(IF(N52=Suppl!$E$65,0,IF(N52=Suppl!$E$66,1/2/(COUNTIFS($N:$N,"Exigences"&amp;"*")+COUNTIFS($N:$N,"Non"&amp;"*")),IF(N52=Suppl!$E$67,1/(COUNTIFS($N:$N,"Exigences"&amp;"*")+COUNTIFS($N:$N,"Non"&amp;"*")),0))),0)</f>
        <v>0</v>
      </c>
      <c r="X52" s="30"/>
      <c r="Y52" s="30"/>
      <c r="Z52" s="30"/>
      <c r="AA52" s="30"/>
      <c r="AB52" s="30"/>
      <c r="AC52" s="30"/>
      <c r="AD52" s="30"/>
      <c r="AE52" s="30"/>
      <c r="AF52" s="30"/>
      <c r="AG52" s="30"/>
      <c r="AH52" s="311"/>
      <c r="AI52" s="30"/>
    </row>
    <row r="53" spans="1:35" ht="30" customHeight="1" x14ac:dyDescent="0.3">
      <c r="A53" s="311"/>
      <c r="B53" s="30"/>
      <c r="C53" s="30" t="str">
        <f t="shared" si="0"/>
        <v>5</v>
      </c>
      <c r="D53" s="32">
        <f t="shared" si="8"/>
        <v>4</v>
      </c>
      <c r="E53" s="32" t="str">
        <f t="shared" si="9"/>
        <v>544</v>
      </c>
      <c r="F53" s="145" t="s">
        <v>32</v>
      </c>
      <c r="G53" s="146" t="str">
        <f>VLOOKUP(E53,BDD!$A$2:$N$567,MATCH(G$24,BDD!$A$1:$P$1,0),FALSE)</f>
        <v>L'organisation sensibilise ses collaborateurs, y compris la direction générale, à la protection des données et aux dispositifs de couverture de risques.</v>
      </c>
      <c r="H53" s="149" t="str">
        <f>IF(VLOOKUP($E53,BDD!$A$2:$N$567,MATCH($H$23,BDD!$A$1:$P$1,0),FALSE)=H$24,'V5_Données&amp;IA'!H$24,"")</f>
        <v>N1</v>
      </c>
      <c r="I53" s="150" t="str">
        <f>IF(VLOOKUP($E53,BDD!$A$2:$N$567,MATCH($H$23,BDD!$A$1:$P$1,0),FALSE)=I$24,'V5_Données&amp;IA'!I$24,"")</f>
        <v/>
      </c>
      <c r="J53" s="150" t="str">
        <f>IF(VLOOKUP($E53,BDD!$A$2:$N$567,MATCH($H$23,BDD!$A$1:$P$1,0),FALSE)=J$24,'V5_Données&amp;IA'!J$24,"")</f>
        <v/>
      </c>
      <c r="K53" s="150" t="str">
        <f>IF(VLOOKUP($E53,BDD!$A$2:$N$567,MATCH($H$23,BDD!$A$1:$P$1,0),FALSE)=K$24,'V5_Données&amp;IA'!K$24,"")</f>
        <v/>
      </c>
      <c r="L53" s="151" t="str">
        <f>IF(VLOOKUP($E53,BDD!$A$2:$N$567,MATCH($H$23,BDD!$A$1:$P$1,0),FALSE)=L$24,'V5_Données&amp;IA'!L$24,"")</f>
        <v/>
      </c>
      <c r="M53" s="63">
        <f t="shared" si="10"/>
        <v>0</v>
      </c>
      <c r="N53" s="146" t="str">
        <f>VLOOKUP(VLOOKUP(E53,BDD!$A$2:$P$428,15,FALSE),Suppl!$D$64:$E$68,2,FALSE)</f>
        <v>Non renseigné</v>
      </c>
      <c r="O53" s="629"/>
      <c r="P53" s="629"/>
      <c r="Q53" s="629"/>
      <c r="R53" s="629"/>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311"/>
      <c r="AI53" s="30"/>
    </row>
    <row r="54" spans="1:35" ht="55.2" x14ac:dyDescent="0.3">
      <c r="A54" s="311"/>
      <c r="B54" s="30"/>
      <c r="C54" s="30" t="str">
        <f t="shared" si="0"/>
        <v>5</v>
      </c>
      <c r="D54" s="32">
        <f t="shared" si="8"/>
        <v>4</v>
      </c>
      <c r="E54" s="32" t="str">
        <f t="shared" si="9"/>
        <v>545</v>
      </c>
      <c r="F54" s="143" t="s">
        <v>33</v>
      </c>
      <c r="G54" s="144" t="str">
        <f>VLOOKUP(E54,BDD!$A$2:$N$567,MATCH(G$24,BDD!$A$1:$P$1,0),FALSE)</f>
        <v>L'organisation prend en compte les aspects de sécurité et de conformité des données, quelle que soit leur localisation, et en particulier lorsqu'elle utilise le cloud (sauvegarde, propriété des données, contractualisation, type de cloud, criticité des données, réversibilité, audit, localisation des données, etc.). </v>
      </c>
      <c r="H54" s="149" t="str">
        <f>IF(VLOOKUP($E54,BDD!$A$2:$N$567,MATCH($H$23,BDD!$A$1:$P$1,0),FALSE)=H$24,'V5_Données&amp;IA'!H$24,"")</f>
        <v>N1</v>
      </c>
      <c r="I54" s="150" t="str">
        <f>IF(VLOOKUP($E54,BDD!$A$2:$N$567,MATCH($H$23,BDD!$A$1:$P$1,0),FALSE)=I$24,'V5_Données&amp;IA'!I$24,"")</f>
        <v/>
      </c>
      <c r="J54" s="150" t="str">
        <f>IF(VLOOKUP($E54,BDD!$A$2:$N$567,MATCH($H$23,BDD!$A$1:$P$1,0),FALSE)=J$24,'V5_Données&amp;IA'!J$24,"")</f>
        <v/>
      </c>
      <c r="K54" s="150" t="str">
        <f>IF(VLOOKUP($E54,BDD!$A$2:$N$567,MATCH($H$23,BDD!$A$1:$P$1,0),FALSE)=K$24,'V5_Données&amp;IA'!K$24,"")</f>
        <v/>
      </c>
      <c r="L54" s="151" t="str">
        <f>IF(VLOOKUP($E54,BDD!$A$2:$N$567,MATCH($H$23,BDD!$A$1:$P$1,0),FALSE)=L$24,'V5_Données&amp;IA'!L$24,"")</f>
        <v/>
      </c>
      <c r="M54" s="63">
        <f t="shared" si="10"/>
        <v>0</v>
      </c>
      <c r="N54" s="144" t="str">
        <f>VLOOKUP(VLOOKUP(E54,BDD!$A$2:$P$428,15,FALSE),Suppl!$D$64:$E$68,2,FALSE)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311"/>
      <c r="AI54" s="30"/>
    </row>
    <row r="55" spans="1:35" ht="30" customHeight="1" x14ac:dyDescent="0.3">
      <c r="A55" s="311"/>
      <c r="B55" s="30"/>
      <c r="C55" s="30" t="str">
        <f t="shared" si="0"/>
        <v>5</v>
      </c>
      <c r="D55" s="32">
        <f t="shared" ref="D55:D63" si="11">IF(LEFT(F55,5)="Bonne",D53+1,D54)</f>
        <v>5</v>
      </c>
      <c r="E55" s="32" t="str">
        <f t="shared" ref="E55:E63" si="12">C55&amp;D55&amp;RIGHT(F55,1)</f>
        <v>555</v>
      </c>
      <c r="F55" s="191" t="s">
        <v>503</v>
      </c>
      <c r="G55" s="192" t="str">
        <f>VLOOKUP(E57,BDD!$A$2:$N$567,6,FALSE)</f>
        <v>Intelligence artificielle</v>
      </c>
      <c r="H55" s="190"/>
      <c r="I55" s="135"/>
      <c r="J55" s="135"/>
      <c r="K55" s="135"/>
      <c r="L55" s="136"/>
      <c r="M55" s="137"/>
      <c r="N55" s="138"/>
      <c r="O55" s="630">
        <v>0</v>
      </c>
      <c r="P55" s="630"/>
      <c r="Q55" s="630"/>
      <c r="R55" s="630"/>
      <c r="S55" s="632">
        <f>SUMIFS(S:S,$D:$D,D55,$N:$N,"Exigences"&amp;"*")</f>
        <v>0</v>
      </c>
      <c r="T55" s="632"/>
      <c r="U55" s="632"/>
      <c r="V55" s="633"/>
      <c r="W55" s="356">
        <f>IFERROR(IF(N55=Suppl!$E$65,0,IF(N55=Suppl!$E$66,1/2/(COUNTIFS($N:$N,"Exigences"&amp;"*")+COUNTIFS($N:$N,"Non"&amp;"*")),IF(N55=Suppl!$E$67,1/(COUNTIFS($N:$N,"Exigences"&amp;"*")+COUNTIFS($N:$N,"Non"&amp;"*")),0))),0)</f>
        <v>0</v>
      </c>
      <c r="X55" s="30"/>
      <c r="Y55" s="30"/>
      <c r="Z55" s="30"/>
      <c r="AA55" s="30"/>
      <c r="AB55" s="30"/>
      <c r="AC55" s="30"/>
      <c r="AD55" s="30"/>
      <c r="AE55" s="30"/>
      <c r="AF55" s="30"/>
      <c r="AG55" s="30"/>
      <c r="AH55" s="311"/>
      <c r="AI55" s="30"/>
    </row>
    <row r="56" spans="1:35" ht="30" customHeight="1" x14ac:dyDescent="0.3">
      <c r="A56" s="311"/>
      <c r="B56" s="30"/>
      <c r="C56" s="30" t="str">
        <f t="shared" si="0"/>
        <v>5</v>
      </c>
      <c r="D56" s="32">
        <f t="shared" si="11"/>
        <v>5</v>
      </c>
      <c r="E56" s="32" t="str">
        <f t="shared" si="12"/>
        <v>551</v>
      </c>
      <c r="F56" s="211" t="s">
        <v>550</v>
      </c>
      <c r="G56" s="193" t="str">
        <f>VLOOKUP(E58,BDD!$A$2:$N$567,7,FALSE)</f>
        <v>L'organisation maîtrise l'exploitation de ses données par l'IA pour atteindre ses objectifs stratégiques.</v>
      </c>
      <c r="H56" s="139"/>
      <c r="I56" s="139"/>
      <c r="J56" s="139"/>
      <c r="K56" s="139"/>
      <c r="L56" s="140"/>
      <c r="M56" s="141"/>
      <c r="N56" s="142"/>
      <c r="O56" s="631"/>
      <c r="P56" s="631"/>
      <c r="Q56" s="631"/>
      <c r="R56" s="631"/>
      <c r="S56" s="634"/>
      <c r="T56" s="634"/>
      <c r="U56" s="634"/>
      <c r="V56" s="635"/>
      <c r="W56" s="356">
        <f>IFERROR(IF(N56=Suppl!$E$65,0,IF(N56=Suppl!$E$66,1/2/(COUNTIFS($N:$N,"Exigences"&amp;"*")+COUNTIFS($N:$N,"Non"&amp;"*")),IF(N56=Suppl!$E$67,1/(COUNTIFS($N:$N,"Exigences"&amp;"*")+COUNTIFS($N:$N,"Non"&amp;"*")),0))),0)</f>
        <v>0</v>
      </c>
      <c r="X56" s="30"/>
      <c r="Y56" s="30"/>
      <c r="Z56" s="30"/>
      <c r="AA56" s="30"/>
      <c r="AB56" s="30"/>
      <c r="AC56" s="30"/>
      <c r="AD56" s="30"/>
      <c r="AE56" s="30"/>
      <c r="AF56" s="30"/>
      <c r="AG56" s="30"/>
      <c r="AH56" s="311"/>
      <c r="AI56" s="30"/>
    </row>
    <row r="57" spans="1:35" ht="41.4" x14ac:dyDescent="0.3">
      <c r="A57" s="311"/>
      <c r="B57" s="30"/>
      <c r="C57" s="30" t="str">
        <f t="shared" si="0"/>
        <v>5</v>
      </c>
      <c r="D57" s="32">
        <f t="shared" si="11"/>
        <v>5</v>
      </c>
      <c r="E57" s="32" t="str">
        <f t="shared" si="12"/>
        <v>551</v>
      </c>
      <c r="F57" s="143" t="s">
        <v>27</v>
      </c>
      <c r="G57" s="144" t="str">
        <f>VLOOKUP(E57,BDD!$A$2:$N$567,MATCH(G$24,BDD!$A$1:$P$1,0),FALSE)</f>
        <v>L'organisation a défini une politique concernant l’utilisation de l’IA (générative et agentique). Cette politique établit les principes d’usage des outils, des données et des contextes. Elle intègre des dimensions d’éthique et de conformité.</v>
      </c>
      <c r="H57" s="149" t="str">
        <f>IF(VLOOKUP($E57,BDD!$A$2:$N$567,MATCH($H$23,BDD!$A$1:$P$1,0),FALSE)=H$24,'V5_Données&amp;IA'!H$24,"")</f>
        <v/>
      </c>
      <c r="I57" s="150" t="str">
        <f>IF(VLOOKUP($E57,BDD!$A$2:$N$567,MATCH($H$23,BDD!$A$1:$P$1,0),FALSE)=I$24,'V5_Données&amp;IA'!I$24,"")</f>
        <v/>
      </c>
      <c r="J57" s="150" t="str">
        <f>IF(VLOOKUP($E57,BDD!$A$2:$N$567,MATCH($H$23,BDD!$A$1:$P$1,0),FALSE)=J$24,'V5_Données&amp;IA'!J$24,"")</f>
        <v>N3</v>
      </c>
      <c r="K57" s="150" t="str">
        <f>IF(VLOOKUP($E57,BDD!$A$2:$N$567,MATCH($H$23,BDD!$A$1:$P$1,0),FALSE)=K$24,'V5_Données&amp;IA'!K$24,"")</f>
        <v/>
      </c>
      <c r="L57" s="151" t="str">
        <f>IF(VLOOKUP($E57,BDD!$A$2:$N$567,MATCH($H$23,BDD!$A$1:$P$1,0),FALSE)=L$24,'V5_Données&amp;IA'!L$24,"")</f>
        <v/>
      </c>
      <c r="M57" s="63">
        <f t="shared" ref="M57:M63" si="13">IF(N57="Exigences partiellement respectées",1,IF(N57="Exigences respectées",2,0))</f>
        <v>0</v>
      </c>
      <c r="N57" s="144" t="str">
        <f>VLOOKUP(VLOOKUP(E57,BDD!$A$2:$P$428,15,FALSE),Suppl!$D$64:$E$68,2,FALSE)</f>
        <v>Non renseigné</v>
      </c>
      <c r="O57" s="626"/>
      <c r="P57" s="626"/>
      <c r="Q57" s="626"/>
      <c r="R57" s="626"/>
      <c r="S57" s="653">
        <f>IF(N57=Suppl!$E$65,0,IF(N57=Suppl!$E$66,1/2/(COUNTIFS($D:$D,D57,$N:$N,"Exigences"&amp;"*",G:G,"&lt;&gt;0")+COUNTIFS($D:$D,D57,$N:$N,"Non"&amp;"*",G:G,"&lt;&gt;0")),IF(N57=Suppl!$E$67,1/(COUNTIFS($D:$D,D57,$N:$N,"Exigences"&amp;"*",G:G,"&lt;&gt;0")+COUNTIFS($D:$D,D57,$N:$N,"Non"&amp;"*",G:G,"&lt;&gt;0")),0)))</f>
        <v>0</v>
      </c>
      <c r="T57" s="653"/>
      <c r="U57" s="653"/>
      <c r="V57" s="654"/>
      <c r="W57" s="356">
        <f>IFERROR(IF(N57=Suppl!$E$65,0,IF(N57=Suppl!$E$66,1/2/(COUNTIFS($N:$N,"Exigences"&amp;"*")+COUNTIFS($N:$N,"Non"&amp;"*")),IF(N57=Suppl!$E$67,1/(COUNTIFS($N:$N,"Exigences"&amp;"*")+COUNTIFS($N:$N,"Non"&amp;"*")),0))),0)</f>
        <v>0</v>
      </c>
      <c r="X57" s="30"/>
      <c r="Y57" s="30"/>
      <c r="Z57" s="30"/>
      <c r="AA57" s="30"/>
      <c r="AB57" s="30"/>
      <c r="AC57" s="30"/>
      <c r="AD57" s="30"/>
      <c r="AE57" s="30"/>
      <c r="AF57" s="30"/>
      <c r="AG57" s="30"/>
      <c r="AH57" s="311"/>
      <c r="AI57" s="30"/>
    </row>
    <row r="58" spans="1:35" ht="30" customHeight="1" x14ac:dyDescent="0.3">
      <c r="A58" s="311"/>
      <c r="B58" s="30"/>
      <c r="C58" s="30" t="str">
        <f t="shared" si="0"/>
        <v>5</v>
      </c>
      <c r="D58" s="32">
        <f t="shared" si="11"/>
        <v>5</v>
      </c>
      <c r="E58" s="32" t="str">
        <f t="shared" si="12"/>
        <v>552</v>
      </c>
      <c r="F58" s="145" t="s">
        <v>28</v>
      </c>
      <c r="G58" s="146" t="str">
        <f>VLOOKUP(E58,BDD!$A$2:$N$567,MATCH(G$24,BDD!$A$1:$P$1,0),FALSE)</f>
        <v>Cette politique est partagée avec les métiers et utilisée pour la sensibilisation des utilisateurs à l’usage de l’IA.</v>
      </c>
      <c r="H58" s="149" t="str">
        <f>IF(VLOOKUP($E58,BDD!$A$2:$N$567,MATCH($H$23,BDD!$A$1:$P$1,0),FALSE)=H$24,'V5_Données&amp;IA'!H$24,"")</f>
        <v/>
      </c>
      <c r="I58" s="150" t="str">
        <f>IF(VLOOKUP($E58,BDD!$A$2:$N$567,MATCH($H$23,BDD!$A$1:$P$1,0),FALSE)=I$24,'V5_Données&amp;IA'!I$24,"")</f>
        <v/>
      </c>
      <c r="J58" s="150" t="str">
        <f>IF(VLOOKUP($E58,BDD!$A$2:$N$567,MATCH($H$23,BDD!$A$1:$P$1,0),FALSE)=J$24,'V5_Données&amp;IA'!J$24,"")</f>
        <v>N3</v>
      </c>
      <c r="K58" s="150" t="str">
        <f>IF(VLOOKUP($E58,BDD!$A$2:$N$567,MATCH($H$23,BDD!$A$1:$P$1,0),FALSE)=K$24,'V5_Données&amp;IA'!K$24,"")</f>
        <v/>
      </c>
      <c r="L58" s="151" t="str">
        <f>IF(VLOOKUP($E58,BDD!$A$2:$N$567,MATCH($H$23,BDD!$A$1:$P$1,0),FALSE)=L$24,'V5_Données&amp;IA'!L$24,"")</f>
        <v/>
      </c>
      <c r="M58" s="63">
        <f t="shared" si="13"/>
        <v>0</v>
      </c>
      <c r="N58" s="146" t="str">
        <f>VLOOKUP(VLOOKUP(E58,BDD!$A$2:$P$428,15,FALSE),Suppl!$D$64:$E$68,2,FALSE)</f>
        <v>Non renseigné</v>
      </c>
      <c r="O58" s="629"/>
      <c r="P58" s="629"/>
      <c r="Q58" s="629"/>
      <c r="R58" s="629"/>
      <c r="S58" s="627">
        <f>IF(N58=Suppl!$E$65,0,IF(N58=Suppl!$E$66,1/2/(COUNTIFS($D:$D,D58,$N:$N,"Exigences"&amp;"*",G:G,"&lt;&gt;0")+COUNTIFS($D:$D,D58,$N:$N,"Non"&amp;"*",G:G,"&lt;&gt;0")),IF(N58=Suppl!$E$67,1/(COUNTIFS($D:$D,D58,$N:$N,"Exigences"&amp;"*",G:G,"&lt;&gt;0")+COUNTIFS($D:$D,D58,$N:$N,"Non"&amp;"*",G:G,"&lt;&gt;0")),0)))</f>
        <v>0</v>
      </c>
      <c r="T58" s="627"/>
      <c r="U58" s="627"/>
      <c r="V58" s="628"/>
      <c r="W58" s="356">
        <f>IFERROR(IF(N58=Suppl!$E$65,0,IF(N58=Suppl!$E$66,1/2/(COUNTIFS($N:$N,"Exigences"&amp;"*")+COUNTIFS($N:$N,"Non"&amp;"*")),IF(N58=Suppl!$E$67,1/(COUNTIFS($N:$N,"Exigences"&amp;"*")+COUNTIFS($N:$N,"Non"&amp;"*")),0))),0)</f>
        <v>0</v>
      </c>
      <c r="X58" s="30"/>
      <c r="Y58" s="30"/>
      <c r="Z58" s="30"/>
      <c r="AA58" s="30"/>
      <c r="AB58" s="30"/>
      <c r="AC58" s="30"/>
      <c r="AD58" s="30"/>
      <c r="AE58" s="30"/>
      <c r="AF58" s="30"/>
      <c r="AG58" s="30"/>
      <c r="AH58" s="311"/>
      <c r="AI58" s="30"/>
    </row>
    <row r="59" spans="1:35" ht="30" customHeight="1" x14ac:dyDescent="0.3">
      <c r="A59" s="311"/>
      <c r="B59" s="30"/>
      <c r="C59" s="30" t="str">
        <f t="shared" si="0"/>
        <v>5</v>
      </c>
      <c r="D59" s="32">
        <f t="shared" si="11"/>
        <v>5</v>
      </c>
      <c r="E59" s="32" t="str">
        <f t="shared" si="12"/>
        <v>553</v>
      </c>
      <c r="F59" s="143" t="s">
        <v>30</v>
      </c>
      <c r="G59" s="144" t="str">
        <f>VLOOKUP(E59,BDD!$A$2:$N$567,MATCH(G$24,BDD!$A$1:$P$1,0),FALSE)</f>
        <v>La politique est régulièrement mise à jour, en s’appuyant sur la veille règlementaire et technologique de l'organisation. </v>
      </c>
      <c r="H59" s="149" t="str">
        <f>IF(VLOOKUP($E59,BDD!$A$2:$N$567,MATCH($H$23,BDD!$A$1:$P$1,0),FALSE)=H$24,'V5_Données&amp;IA'!H$24,"")</f>
        <v/>
      </c>
      <c r="I59" s="150" t="str">
        <f>IF(VLOOKUP($E59,BDD!$A$2:$N$567,MATCH($H$23,BDD!$A$1:$P$1,0),FALSE)=I$24,'V5_Données&amp;IA'!I$24,"")</f>
        <v/>
      </c>
      <c r="J59" s="150" t="str">
        <f>IF(VLOOKUP($E59,BDD!$A$2:$N$567,MATCH($H$23,BDD!$A$1:$P$1,0),FALSE)=J$24,'V5_Données&amp;IA'!J$24,"")</f>
        <v/>
      </c>
      <c r="K59" s="150" t="str">
        <f>IF(VLOOKUP($E59,BDD!$A$2:$N$567,MATCH($H$23,BDD!$A$1:$P$1,0),FALSE)=K$24,'V5_Données&amp;IA'!K$24,"")</f>
        <v>N4</v>
      </c>
      <c r="L59" s="151" t="str">
        <f>IF(VLOOKUP($E59,BDD!$A$2:$N$567,MATCH($H$23,BDD!$A$1:$P$1,0),FALSE)=L$24,'V5_Données&amp;IA'!L$24,"")</f>
        <v/>
      </c>
      <c r="M59" s="63">
        <f t="shared" si="13"/>
        <v>0</v>
      </c>
      <c r="N59" s="144" t="str">
        <f>VLOOKUP(VLOOKUP(E59,BDD!$A$2:$P$428,15,FALSE),Suppl!$D$64:$E$68,2,FALSE)</f>
        <v>Non renseigné</v>
      </c>
      <c r="O59" s="629"/>
      <c r="P59" s="629"/>
      <c r="Q59" s="629"/>
      <c r="R59" s="629"/>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311"/>
      <c r="AI59" s="30"/>
    </row>
    <row r="60" spans="1:35" ht="30" customHeight="1" x14ac:dyDescent="0.3">
      <c r="A60" s="311"/>
      <c r="B60" s="30"/>
      <c r="C60" s="30" t="str">
        <f t="shared" si="0"/>
        <v>5</v>
      </c>
      <c r="D60" s="32">
        <f t="shared" si="11"/>
        <v>5</v>
      </c>
      <c r="E60" s="32" t="str">
        <f t="shared" si="12"/>
        <v>554</v>
      </c>
      <c r="F60" s="145" t="s">
        <v>32</v>
      </c>
      <c r="G60" s="146" t="str">
        <f>VLOOKUP(E60,BDD!$A$2:$N$567,MATCH(G$24,BDD!$A$1:$P$1,0),FALSE)</f>
        <v>Des critères spécifiques à l’IA sont intégrés dans les processus de décision relatifs aux investissements.</v>
      </c>
      <c r="H60" s="149" t="str">
        <f>IF(VLOOKUP($E60,BDD!$A$2:$N$567,MATCH($H$23,BDD!$A$1:$P$1,0),FALSE)=H$24,'V5_Données&amp;IA'!H$24,"")</f>
        <v/>
      </c>
      <c r="I60" s="150" t="str">
        <f>IF(VLOOKUP($E60,BDD!$A$2:$N$567,MATCH($H$23,BDD!$A$1:$P$1,0),FALSE)=I$24,'V5_Données&amp;IA'!I$24,"")</f>
        <v/>
      </c>
      <c r="J60" s="150" t="str">
        <f>IF(VLOOKUP($E60,BDD!$A$2:$N$567,MATCH($H$23,BDD!$A$1:$P$1,0),FALSE)=J$24,'V5_Données&amp;IA'!J$24,"")</f>
        <v/>
      </c>
      <c r="K60" s="150" t="str">
        <f>IF(VLOOKUP($E60,BDD!$A$2:$N$567,MATCH($H$23,BDD!$A$1:$P$1,0),FALSE)=K$24,'V5_Données&amp;IA'!K$24,"")</f>
        <v>N4</v>
      </c>
      <c r="L60" s="151" t="str">
        <f>IF(VLOOKUP($E60,BDD!$A$2:$N$567,MATCH($H$23,BDD!$A$1:$P$1,0),FALSE)=L$24,'V5_Données&amp;IA'!L$24,"")</f>
        <v/>
      </c>
      <c r="M60" s="63">
        <f t="shared" si="13"/>
        <v>0</v>
      </c>
      <c r="N60" s="146" t="str">
        <f>VLOOKUP(VLOOKUP(E60,BDD!$A$2:$P$428,15,FALSE),Suppl!$D$64:$E$68,2,FALSE)</f>
        <v>Non renseigné</v>
      </c>
      <c r="O60" s="629"/>
      <c r="P60" s="629"/>
      <c r="Q60" s="629"/>
      <c r="R60" s="629"/>
      <c r="S60" s="627">
        <f>IF(N60=Suppl!$E$65,0,IF(N60=Suppl!$E$66,1/2/(COUNTIFS($D:$D,D60,$N:$N,"Exigences"&amp;"*",G:G,"&lt;&gt;0")+COUNTIFS($D:$D,D60,$N:$N,"Non"&amp;"*",G:G,"&lt;&gt;0")),IF(N60=Suppl!$E$67,1/(COUNTIFS($D:$D,D60,$N:$N,"Exigences"&amp;"*",G:G,"&lt;&gt;0")+COUNTIFS($D:$D,D60,$N:$N,"Non"&amp;"*",G:G,"&lt;&gt;0")),0)))</f>
        <v>0</v>
      </c>
      <c r="T60" s="627"/>
      <c r="U60" s="627"/>
      <c r="V60" s="628"/>
      <c r="W60" s="356">
        <f>IFERROR(IF(N60=Suppl!$E$65,0,IF(N60=Suppl!$E$66,1/2/(COUNTIFS($N:$N,"Exigences"&amp;"*")+COUNTIFS($N:$N,"Non"&amp;"*")),IF(N60=Suppl!$E$67,1/(COUNTIFS($N:$N,"Exigences"&amp;"*")+COUNTIFS($N:$N,"Non"&amp;"*")),0))),0)</f>
        <v>0</v>
      </c>
      <c r="X60" s="30"/>
      <c r="Y60" s="30"/>
      <c r="Z60" s="30"/>
      <c r="AA60" s="30"/>
      <c r="AB60" s="30"/>
      <c r="AC60" s="30"/>
      <c r="AD60" s="30"/>
      <c r="AE60" s="30"/>
      <c r="AF60" s="30"/>
      <c r="AG60" s="30"/>
      <c r="AH60" s="311"/>
      <c r="AI60" s="30"/>
    </row>
    <row r="61" spans="1:35" ht="47.4" customHeight="1" x14ac:dyDescent="0.3">
      <c r="A61" s="311"/>
      <c r="B61" s="30"/>
      <c r="C61" s="30" t="str">
        <f t="shared" si="0"/>
        <v>5</v>
      </c>
      <c r="D61" s="32">
        <f t="shared" si="11"/>
        <v>5</v>
      </c>
      <c r="E61" s="32" t="str">
        <f t="shared" si="12"/>
        <v>555</v>
      </c>
      <c r="F61" s="143" t="s">
        <v>33</v>
      </c>
      <c r="G61" s="144" t="str">
        <f>VLOOKUP(E61,BDD!$A$2:$N$567,MATCH(G$24,BDD!$A$1:$P$1,0),FALSE)</f>
        <v>Des actions de promotion de l’IA sont menées auprès des collaborateurs, avec des retours d’expérience (REX) et des sessions de partage pour promouvoir les bons usages.</v>
      </c>
      <c r="H61" s="149" t="str">
        <f>IF(VLOOKUP($E61,BDD!$A$2:$N$567,MATCH($H$23,BDD!$A$1:$P$1,0),FALSE)=H$24,'V5_Données&amp;IA'!H$24,"")</f>
        <v/>
      </c>
      <c r="I61" s="150" t="str">
        <f>IF(VLOOKUP($E61,BDD!$A$2:$N$567,MATCH($H$23,BDD!$A$1:$P$1,0),FALSE)=I$24,'V5_Données&amp;IA'!I$24,"")</f>
        <v/>
      </c>
      <c r="J61" s="150" t="str">
        <f>IF(VLOOKUP($E61,BDD!$A$2:$N$567,MATCH($H$23,BDD!$A$1:$P$1,0),FALSE)=J$24,'V5_Données&amp;IA'!J$24,"")</f>
        <v/>
      </c>
      <c r="K61" s="150" t="str">
        <f>IF(VLOOKUP($E61,BDD!$A$2:$N$567,MATCH($H$23,BDD!$A$1:$P$1,0),FALSE)=K$24,'V5_Données&amp;IA'!K$24,"")</f>
        <v>N4</v>
      </c>
      <c r="L61" s="151" t="str">
        <f>IF(VLOOKUP($E61,BDD!$A$2:$N$567,MATCH($H$23,BDD!$A$1:$P$1,0),FALSE)=L$24,'V5_Données&amp;IA'!L$24,"")</f>
        <v/>
      </c>
      <c r="M61" s="63">
        <f t="shared" si="13"/>
        <v>0</v>
      </c>
      <c r="N61" s="144" t="str">
        <f>VLOOKUP(VLOOKUP(E61,BDD!$A$2:$P$428,15,FALSE),Suppl!$D$64:$E$68,2,FALSE)</f>
        <v>Non renseigné</v>
      </c>
      <c r="O61" s="651"/>
      <c r="P61" s="629"/>
      <c r="Q61" s="629"/>
      <c r="R61" s="629"/>
      <c r="S61" s="627">
        <f>IF(N61=Suppl!$E$65,0,IF(N61=Suppl!$E$66,1/2/(COUNTIFS($D:$D,D61,$N:$N,"Exigences"&amp;"*",G:G,"&lt;&gt;0")+COUNTIFS($D:$D,D61,$N:$N,"Non"&amp;"*",G:G,"&lt;&gt;0")),IF(N61=Suppl!$E$67,1/(COUNTIFS($D:$D,D61,$N:$N,"Exigences"&amp;"*",G:G,"&lt;&gt;0")+COUNTIFS($D:$D,D61,$N:$N,"Non"&amp;"*",G:G,"&lt;&gt;0")),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311"/>
      <c r="AI61" s="30"/>
    </row>
    <row r="62" spans="1:35" ht="30" customHeight="1" x14ac:dyDescent="0.3">
      <c r="A62" s="311"/>
      <c r="B62" s="30"/>
      <c r="C62" s="30" t="str">
        <f t="shared" si="0"/>
        <v>5</v>
      </c>
      <c r="D62" s="32">
        <f t="shared" si="11"/>
        <v>5</v>
      </c>
      <c r="E62" s="32" t="str">
        <f t="shared" si="12"/>
        <v>556</v>
      </c>
      <c r="F62" s="147" t="s">
        <v>34</v>
      </c>
      <c r="G62" s="148" t="str">
        <f>VLOOKUP(E62,BDD!$A$2:$N$567,MATCH(G$24,BDD!$A$1:$P$1,0),FALSE)</f>
        <v>Les compétences en IA sont valorisées et gérées au sein de l'organisation à travers des plans de formation spécifiques.</v>
      </c>
      <c r="H62" s="149" t="str">
        <f>IF(VLOOKUP($E62,BDD!$A$2:$N$567,MATCH($H$23,BDD!$A$1:$P$1,0),FALSE)=H$24,'V5_Données&amp;IA'!H$24,"")</f>
        <v/>
      </c>
      <c r="I62" s="150" t="str">
        <f>IF(VLOOKUP($E62,BDD!$A$2:$N$567,MATCH($H$23,BDD!$A$1:$P$1,0),FALSE)=I$24,'V5_Données&amp;IA'!I$24,"")</f>
        <v>N2</v>
      </c>
      <c r="J62" s="150" t="str">
        <f>IF(VLOOKUP($E62,BDD!$A$2:$N$567,MATCH($H$23,BDD!$A$1:$P$1,0),FALSE)=J$24,'V5_Données&amp;IA'!J$24,"")</f>
        <v/>
      </c>
      <c r="K62" s="150" t="str">
        <f>IF(VLOOKUP($E62,BDD!$A$2:$N$567,MATCH($H$23,BDD!$A$1:$P$1,0),FALSE)=K$24,'V5_Données&amp;IA'!K$24,"")</f>
        <v/>
      </c>
      <c r="L62" s="151" t="str">
        <f>IF(VLOOKUP($E62,BDD!$A$2:$N$567,MATCH($H$23,BDD!$A$1:$P$1,0),FALSE)=L$24,'V5_Données&amp;IA'!L$24,"")</f>
        <v/>
      </c>
      <c r="M62" s="63">
        <f t="shared" si="13"/>
        <v>0</v>
      </c>
      <c r="N62" s="219" t="str">
        <f>VLOOKUP(VLOOKUP(E62,BDD!$A$2:$P$428,15,FALSE),Suppl!$D$64:$E$68,2,FALSE)</f>
        <v>Non renseigné</v>
      </c>
      <c r="O62" s="629"/>
      <c r="P62" s="629"/>
      <c r="Q62" s="629"/>
      <c r="R62" s="629"/>
      <c r="S62" s="627">
        <f>IF(N62=Suppl!$E$65,0,IF(N62=Suppl!$E$66,1/2/(COUNTIFS($D:$D,D62,$N:$N,"Exigences"&amp;"*",G:G,"&lt;&gt;0")+COUNTIFS($D:$D,D62,$N:$N,"Non"&amp;"*",G:G,"&lt;&gt;0")),IF(N62=Suppl!$E$67,1/(COUNTIFS($D:$D,D62,$N:$N,"Exigences"&amp;"*",G:G,"&lt;&gt;0")+COUNTIFS($D:$D,D62,$N:$N,"Non"&amp;"*",G:G,"&lt;&gt;0")),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311"/>
      <c r="AI62" s="30"/>
    </row>
    <row r="63" spans="1:35" ht="30" customHeight="1" x14ac:dyDescent="0.3">
      <c r="A63" s="311"/>
      <c r="B63" s="30"/>
      <c r="C63" s="30" t="str">
        <f t="shared" si="0"/>
        <v>5</v>
      </c>
      <c r="D63" s="32">
        <f t="shared" si="11"/>
        <v>5</v>
      </c>
      <c r="E63" s="32" t="str">
        <f t="shared" si="12"/>
        <v>557</v>
      </c>
      <c r="F63" s="143" t="s">
        <v>36</v>
      </c>
      <c r="G63" s="144" t="str">
        <f>VLOOKUP(E63,BDD!$A$2:$N$567,MATCH(G$24,BDD!$A$1:$P$1,0),FALSE)</f>
        <v>Une feuille de route pour le passage à l'échelle de l'IA a été élaborée et déployée.</v>
      </c>
      <c r="H63" s="149" t="str">
        <f>IF(VLOOKUP($E63,BDD!$A$2:$N$567,MATCH($H$23,BDD!$A$1:$P$1,0),FALSE)=H$24,'V5_Données&amp;IA'!H$24,"")</f>
        <v/>
      </c>
      <c r="I63" s="150" t="str">
        <f>IF(VLOOKUP($E63,BDD!$A$2:$N$567,MATCH($H$23,BDD!$A$1:$P$1,0),FALSE)=I$24,'V5_Données&amp;IA'!I$24,"")</f>
        <v/>
      </c>
      <c r="J63" s="150" t="str">
        <f>IF(VLOOKUP($E63,BDD!$A$2:$N$567,MATCH($H$23,BDD!$A$1:$P$1,0),FALSE)=J$24,'V5_Données&amp;IA'!J$24,"")</f>
        <v/>
      </c>
      <c r="K63" s="150" t="str">
        <f>IF(VLOOKUP($E63,BDD!$A$2:$N$567,MATCH($H$23,BDD!$A$1:$P$1,0),FALSE)=K$24,'V5_Données&amp;IA'!K$24,"")</f>
        <v/>
      </c>
      <c r="L63" s="151" t="str">
        <f>IF(VLOOKUP($E63,BDD!$A$2:$N$567,MATCH($H$23,BDD!$A$1:$P$1,0),FALSE)=L$24,'V5_Données&amp;IA'!L$24,"")</f>
        <v>N5</v>
      </c>
      <c r="M63" s="63">
        <f t="shared" si="13"/>
        <v>0</v>
      </c>
      <c r="N63" s="144" t="str">
        <f>VLOOKUP(VLOOKUP(E63,BDD!$A$2:$P$428,15,FALSE),Suppl!$D$64:$E$68,2,FALSE)</f>
        <v>Non renseigné</v>
      </c>
      <c r="O63" s="636"/>
      <c r="P63" s="636"/>
      <c r="Q63" s="636"/>
      <c r="R63" s="636"/>
      <c r="S63" s="624">
        <f>IF(N63=Suppl!$E$65,0,IF(N63=Suppl!$E$66,1/2/(COUNTIFS($D:$D,D63,$N:$N,"Exigences"&amp;"*",G:G,"&lt;&gt;0")+COUNTIFS($D:$D,D63,$N:$N,"Non"&amp;"*",G:G,"&lt;&gt;0")),IF(N63=Suppl!$E$67,1/(COUNTIFS($D:$D,D63,$N:$N,"Exigences"&amp;"*",G:G,"&lt;&gt;0")+COUNTIFS($D:$D,D63,$N:$N,"Non"&amp;"*",G:G,"&lt;&gt;0")),0)))</f>
        <v>0</v>
      </c>
      <c r="T63" s="624"/>
      <c r="U63" s="624"/>
      <c r="V63" s="625"/>
      <c r="W63" s="356">
        <f>IFERROR(IF(N63=Suppl!$E$65,0,IF(N63=Suppl!$E$66,1/2/(COUNTIFS($N:$N,"Exigences"&amp;"*")+COUNTIFS($N:$N,"Non"&amp;"*")),IF(N63=Suppl!$E$67,1/(COUNTIFS($N:$N,"Exigences"&amp;"*")+COUNTIFS($N:$N,"Non"&amp;"*")),0))),0)</f>
        <v>0</v>
      </c>
      <c r="X63" s="30"/>
      <c r="Y63" s="30"/>
      <c r="Z63" s="30"/>
      <c r="AA63" s="30"/>
      <c r="AB63" s="30"/>
      <c r="AC63" s="30"/>
      <c r="AD63" s="30"/>
      <c r="AE63" s="30"/>
      <c r="AF63" s="30"/>
      <c r="AG63" s="30"/>
      <c r="AH63" s="311"/>
      <c r="AI63" s="30"/>
    </row>
    <row r="64" spans="1:35" ht="30" customHeight="1" x14ac:dyDescent="0.3">
      <c r="A64" s="311"/>
      <c r="B64" s="30"/>
      <c r="C64" s="30"/>
      <c r="D64" s="32"/>
      <c r="E64" s="32"/>
      <c r="F64" s="30"/>
      <c r="G64" s="32"/>
      <c r="H64" s="32"/>
      <c r="I64" s="32"/>
      <c r="J64" s="32"/>
      <c r="K64" s="32"/>
      <c r="L64" s="32"/>
      <c r="M64" s="32"/>
      <c r="N64" s="30"/>
      <c r="O64" s="30"/>
      <c r="P64" s="30"/>
      <c r="Q64" s="30"/>
      <c r="R64" s="30"/>
      <c r="S64" s="30"/>
      <c r="T64" s="30"/>
      <c r="U64" s="30"/>
      <c r="V64" s="30"/>
      <c r="W64" s="33"/>
      <c r="X64" s="30"/>
      <c r="Y64" s="30"/>
      <c r="Z64" s="30"/>
      <c r="AA64" s="30"/>
      <c r="AB64" s="30"/>
      <c r="AC64" s="30"/>
      <c r="AD64" s="30"/>
      <c r="AE64" s="30"/>
      <c r="AF64" s="30"/>
      <c r="AG64" s="30"/>
      <c r="AH64" s="311"/>
      <c r="AI64" s="30"/>
    </row>
    <row r="65" spans="1:35" ht="30" customHeight="1" x14ac:dyDescent="0.3">
      <c r="A65" s="311" t="s">
        <v>164</v>
      </c>
      <c r="B65" s="311"/>
      <c r="C65" s="311"/>
      <c r="D65" s="311"/>
      <c r="E65" s="311"/>
      <c r="F65" s="311"/>
      <c r="G65" s="316"/>
      <c r="H65" s="316"/>
      <c r="I65" s="316"/>
      <c r="J65" s="316"/>
      <c r="K65" s="316"/>
      <c r="L65" s="316"/>
      <c r="M65" s="316"/>
      <c r="N65" s="311"/>
      <c r="O65" s="311"/>
      <c r="P65" s="311"/>
      <c r="Q65" s="311"/>
      <c r="R65" s="311"/>
      <c r="S65" s="311"/>
      <c r="T65" s="311"/>
      <c r="U65" s="311"/>
      <c r="V65" s="311"/>
      <c r="W65" s="319"/>
      <c r="X65" s="311"/>
      <c r="Y65" s="311"/>
      <c r="Z65" s="311"/>
      <c r="AA65" s="311"/>
      <c r="AB65" s="311"/>
      <c r="AC65" s="311"/>
      <c r="AD65" s="311"/>
      <c r="AE65" s="311"/>
      <c r="AF65" s="311"/>
      <c r="AG65" s="311"/>
      <c r="AH65" s="311" t="s">
        <v>164</v>
      </c>
      <c r="AI65" s="30"/>
    </row>
  </sheetData>
  <sheetProtection algorithmName="SHA-512" hashValue="je7u1a/bKaQsTcPUleBmF33oAfzFZAnd7PwgWk9lrSD+t4VLBddrL2TjU3qmI2exMYusCGJlHKyAIGKvw0B7uw==" saltValue="XDmgiiZ3JGr/7iomLPrKPw=="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75">
    <mergeCell ref="O25:R26"/>
    <mergeCell ref="S25:V26"/>
    <mergeCell ref="AD7:AD10"/>
    <mergeCell ref="O21:R21"/>
    <mergeCell ref="O22:R22"/>
    <mergeCell ref="O24:R24"/>
    <mergeCell ref="S24:V24"/>
    <mergeCell ref="O20:R20"/>
    <mergeCell ref="O27:R27"/>
    <mergeCell ref="S27:V27"/>
    <mergeCell ref="O28:R28"/>
    <mergeCell ref="S28:V28"/>
    <mergeCell ref="O29:R29"/>
    <mergeCell ref="S29:V29"/>
    <mergeCell ref="O32:R33"/>
    <mergeCell ref="S32:V33"/>
    <mergeCell ref="O34:R34"/>
    <mergeCell ref="S34:V34"/>
    <mergeCell ref="O30:R30"/>
    <mergeCell ref="S30:V30"/>
    <mergeCell ref="O31:R31"/>
    <mergeCell ref="S31:V31"/>
    <mergeCell ref="O35:R35"/>
    <mergeCell ref="S35:V35"/>
    <mergeCell ref="O36:R36"/>
    <mergeCell ref="S36:V36"/>
    <mergeCell ref="O37:R37"/>
    <mergeCell ref="S37:V37"/>
    <mergeCell ref="O38:R38"/>
    <mergeCell ref="S38:V38"/>
    <mergeCell ref="O39:R39"/>
    <mergeCell ref="S39:V39"/>
    <mergeCell ref="O40:R40"/>
    <mergeCell ref="S40:V40"/>
    <mergeCell ref="O41:R42"/>
    <mergeCell ref="S41:V42"/>
    <mergeCell ref="O43:R43"/>
    <mergeCell ref="S43:V43"/>
    <mergeCell ref="O44:R44"/>
    <mergeCell ref="S44:V44"/>
    <mergeCell ref="O45:R45"/>
    <mergeCell ref="S45:V45"/>
    <mergeCell ref="O46:R46"/>
    <mergeCell ref="S46:V46"/>
    <mergeCell ref="O47:R47"/>
    <mergeCell ref="S47:V47"/>
    <mergeCell ref="S51:V51"/>
    <mergeCell ref="O52:R52"/>
    <mergeCell ref="S52:V52"/>
    <mergeCell ref="O48:R49"/>
    <mergeCell ref="S48:V49"/>
    <mergeCell ref="O63:R63"/>
    <mergeCell ref="S63:V63"/>
    <mergeCell ref="O58:R58"/>
    <mergeCell ref="S58:V58"/>
    <mergeCell ref="O59:R59"/>
    <mergeCell ref="S59:V59"/>
    <mergeCell ref="O60:R60"/>
    <mergeCell ref="S60:V60"/>
    <mergeCell ref="G26:N26"/>
    <mergeCell ref="O61:R61"/>
    <mergeCell ref="S61:V61"/>
    <mergeCell ref="O62:R62"/>
    <mergeCell ref="S62:V62"/>
    <mergeCell ref="O55:R56"/>
    <mergeCell ref="S55:V56"/>
    <mergeCell ref="O57:R57"/>
    <mergeCell ref="S57:V57"/>
    <mergeCell ref="O53:R53"/>
    <mergeCell ref="S53:V53"/>
    <mergeCell ref="O54:R54"/>
    <mergeCell ref="S54:V54"/>
    <mergeCell ref="O50:R50"/>
    <mergeCell ref="S50:V50"/>
    <mergeCell ref="O51:R51"/>
  </mergeCells>
  <conditionalFormatting sqref="G5:G11 G13:G19 G22">
    <cfRule type="expression" dxfId="111" priority="12">
      <formula>$G5&lt;&gt;""</formula>
    </cfRule>
  </conditionalFormatting>
  <conditionalFormatting sqref="H27:L63">
    <cfRule type="expression" dxfId="110" priority="16">
      <formula>AND($N27="Non évalué",H27&lt;&gt;"")</formula>
    </cfRule>
    <cfRule type="expression" dxfId="109" priority="17">
      <formula>AND($N27="Exigences non respectées",H27&lt;&gt;"")</formula>
    </cfRule>
    <cfRule type="expression" dxfId="108" priority="18">
      <formula>AND($N27="Exigences partiellement respectées",H27&lt;&gt;"")</formula>
    </cfRule>
    <cfRule type="expression" dxfId="107" priority="19">
      <formula>AND($N27="Exigences respectées",H27&lt;&gt;"")</formula>
    </cfRule>
  </conditionalFormatting>
  <conditionalFormatting sqref="O8:U12">
    <cfRule type="cellIs" dxfId="106" priority="6" operator="equal">
      <formula>3</formula>
    </cfRule>
    <cfRule type="cellIs" dxfId="105" priority="7" operator="equal">
      <formula>2</formula>
    </cfRule>
    <cfRule type="cellIs" dxfId="104" priority="8" operator="equal">
      <formula>1</formula>
    </cfRule>
  </conditionalFormatting>
  <conditionalFormatting sqref="G20:G21">
    <cfRule type="expression" dxfId="103" priority="2">
      <formula>$G20&lt;&gt;""</formula>
    </cfRule>
  </conditionalFormatting>
  <conditionalFormatting sqref="O20:R20">
    <cfRule type="cellIs" dxfId="102"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6016E4C-3417-4E44-8D3B-2542CDB39C27}">
          <x14:formula1>
            <xm:f>Suppl!$E$65:$E$69</xm:f>
          </x14:formula1>
          <xm:sqref>W15 W8:W12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7E072-2C9A-413A-B39E-6B7C213E977F}">
  <sheetPr codeName="Feuil45">
    <tabColor rgb="FF2858AE"/>
  </sheetPr>
  <dimension ref="A1:P118"/>
  <sheetViews>
    <sheetView showGridLines="0" showRowColHeaders="0" zoomScale="67" zoomScaleNormal="67" workbookViewId="0">
      <selection activeCell="J95" sqref="J95"/>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98"/>
      <c r="B1" s="299" t="s">
        <v>563</v>
      </c>
      <c r="C1" s="300"/>
      <c r="D1" s="300"/>
      <c r="E1" s="300"/>
      <c r="F1" s="300"/>
      <c r="G1" s="298"/>
      <c r="H1" s="301"/>
      <c r="I1" s="301"/>
      <c r="J1" s="302" t="str">
        <f>VLOOKUP($E$12,BDD!$A$2:$N$567,3,FALSE)</f>
        <v>Architecture</v>
      </c>
      <c r="K1" s="301"/>
      <c r="L1" s="298"/>
      <c r="M1" s="298"/>
      <c r="N1" s="298"/>
      <c r="O1" s="298"/>
      <c r="P1" s="298"/>
    </row>
    <row r="2" spans="1:16" ht="45" customHeight="1" x14ac:dyDescent="0.3">
      <c r="A2" s="298"/>
      <c r="B2" s="298"/>
      <c r="C2" s="298"/>
      <c r="D2" s="298"/>
      <c r="E2" s="298"/>
      <c r="F2" s="298"/>
      <c r="G2" s="298"/>
      <c r="H2" s="298"/>
      <c r="I2" s="298"/>
      <c r="J2" s="303" t="str">
        <f>VLOOKUP($E$12,BDD!$A$2:$N$567,4,FALSE)</f>
        <v>Mettre l'architecture du SI au service des enjeux stratégiques.</v>
      </c>
      <c r="K2" s="298"/>
      <c r="L2" s="298"/>
      <c r="M2" s="298"/>
      <c r="N2" s="298"/>
      <c r="O2" s="298"/>
      <c r="P2" s="298"/>
    </row>
    <row r="3" spans="1:16" ht="18" x14ac:dyDescent="0.35">
      <c r="A3" s="298"/>
      <c r="B3" s="68"/>
      <c r="C3" s="68"/>
      <c r="D3" s="68"/>
      <c r="E3" s="68"/>
      <c r="F3" s="68"/>
      <c r="G3" s="69" t="str">
        <f>IF(Suppl!B64=2,"Le vecteur n'est pas utilisé","")</f>
        <v/>
      </c>
      <c r="H3" s="69"/>
      <c r="I3" s="69"/>
      <c r="J3" s="69"/>
      <c r="K3" s="69"/>
      <c r="L3" s="70"/>
      <c r="M3" s="68"/>
      <c r="N3" s="68"/>
      <c r="O3" s="68"/>
      <c r="P3" s="298"/>
    </row>
    <row r="4" spans="1:16" x14ac:dyDescent="0.3">
      <c r="A4" s="298"/>
      <c r="B4" s="68"/>
      <c r="C4" s="68"/>
      <c r="D4" s="68"/>
      <c r="E4" s="68"/>
      <c r="F4" s="68"/>
      <c r="G4" s="68"/>
      <c r="H4" s="68"/>
      <c r="I4" s="68"/>
      <c r="J4" s="68"/>
      <c r="K4" s="68"/>
      <c r="L4" s="68"/>
      <c r="M4" s="68"/>
      <c r="N4" s="68"/>
      <c r="O4" s="68"/>
      <c r="P4" s="298"/>
    </row>
    <row r="5" spans="1:16" ht="25.8" x14ac:dyDescent="0.5">
      <c r="A5" s="304"/>
      <c r="B5" s="74"/>
      <c r="C5" s="68" t="str">
        <f>IF(LEFT(RIGHT($B$1,2),1)=" ",RIGHT($B$1,1),RIGHT($B$1,2))</f>
        <v>6</v>
      </c>
      <c r="D5" s="68">
        <f>IF(LEFT(F5,14)="Bonne pratique",D4+1,D4)</f>
        <v>1</v>
      </c>
      <c r="E5" s="71"/>
      <c r="F5" s="208" t="s">
        <v>499</v>
      </c>
      <c r="G5" s="75"/>
      <c r="H5" s="205"/>
      <c r="I5" s="73"/>
      <c r="J5" s="73" t="str">
        <f>VLOOKUP(E12,BDD!$A$2:$N$567,6,FALSE)</f>
        <v>Cartographie</v>
      </c>
      <c r="K5" s="72"/>
      <c r="L5" s="75"/>
      <c r="M5" s="75"/>
      <c r="N5" s="75"/>
      <c r="O5" s="74"/>
      <c r="P5" s="304"/>
    </row>
    <row r="6" spans="1:16" x14ac:dyDescent="0.3">
      <c r="A6" s="298"/>
      <c r="B6" s="68"/>
      <c r="C6" s="68" t="str">
        <f t="shared" ref="C6:C69" si="0">IF(LEFT(RIGHT($B$1,2),1)=" ",RIGHT($B$1,1),RIGHT($B$1,2))</f>
        <v>6</v>
      </c>
      <c r="D6" s="68">
        <f>IF(LEFT(F6,14)="Bonne pratique",D5+1,D5)</f>
        <v>1</v>
      </c>
      <c r="E6" s="68"/>
      <c r="F6" s="68"/>
      <c r="G6" s="68"/>
      <c r="H6" s="68"/>
      <c r="I6" s="68"/>
      <c r="J6" s="68"/>
      <c r="K6" s="68"/>
      <c r="L6" s="68"/>
      <c r="M6" s="68"/>
      <c r="N6" s="68"/>
      <c r="O6" s="68"/>
      <c r="P6" s="298"/>
    </row>
    <row r="7" spans="1:16" ht="23.4" customHeight="1" x14ac:dyDescent="0.35">
      <c r="A7" s="305"/>
      <c r="B7" s="76"/>
      <c r="C7" s="68" t="str">
        <f t="shared" si="0"/>
        <v>6</v>
      </c>
      <c r="D7" s="68">
        <f t="shared" ref="D7:D67" si="1">IF(LEFT(F7,14)="Bonne pratique",D6+1,D6)</f>
        <v>1</v>
      </c>
      <c r="E7" s="76"/>
      <c r="F7" s="76"/>
      <c r="G7" s="76"/>
      <c r="H7" s="76"/>
      <c r="I7" s="77"/>
      <c r="J7" s="207" t="str">
        <f>IFERROR(_xlfn.TEXTBEFORE(VLOOKUP(E12,BDD!$A$2:$N$567,7,FALSE)," ",20),VLOOKUP(E12,BDD!$A$2:$N$567,7,FALSE))</f>
        <v>Une cartographie recence les application, les données et les flux de données entre applications, les services techniques, les infrastructures, etc.</v>
      </c>
      <c r="K7" s="77"/>
      <c r="L7" s="76"/>
      <c r="M7" s="76"/>
      <c r="N7" s="76"/>
      <c r="O7" s="76"/>
      <c r="P7" s="305"/>
    </row>
    <row r="8" spans="1:16" ht="18" x14ac:dyDescent="0.35">
      <c r="A8" s="298"/>
      <c r="B8" s="68"/>
      <c r="C8" s="68" t="str">
        <f t="shared" si="0"/>
        <v>6</v>
      </c>
      <c r="D8" s="68">
        <f t="shared" si="1"/>
        <v>1</v>
      </c>
      <c r="E8" s="68"/>
      <c r="F8" s="68"/>
      <c r="G8" s="68"/>
      <c r="H8" s="68"/>
      <c r="I8" s="68"/>
      <c r="J8" s="207" t="str">
        <f>IFERROR(_xlfn.TEXTAFTER(VLOOKUP(E12,BDD!$A$2:$N$567,7,FALSE)," ",20),"")</f>
        <v>Mettre en relation cette cartographie SI avec les processus métiers de l'organisation et évolue à l’occasion des projets.</v>
      </c>
      <c r="K8" s="68"/>
      <c r="L8" s="68"/>
      <c r="M8" s="68"/>
      <c r="N8" s="68"/>
      <c r="O8" s="68"/>
      <c r="P8" s="298"/>
    </row>
    <row r="9" spans="1:16" x14ac:dyDescent="0.3">
      <c r="A9" s="298"/>
      <c r="B9" s="68"/>
      <c r="C9" s="68" t="str">
        <f t="shared" si="0"/>
        <v>6</v>
      </c>
      <c r="D9" s="68">
        <f t="shared" si="1"/>
        <v>1</v>
      </c>
      <c r="E9" s="68"/>
      <c r="F9" s="68"/>
      <c r="G9" s="78"/>
      <c r="H9" s="78"/>
      <c r="I9" s="78"/>
      <c r="J9" s="78"/>
      <c r="K9" s="78"/>
      <c r="L9" s="78"/>
      <c r="M9" s="618" t="s">
        <v>92</v>
      </c>
      <c r="N9" s="618"/>
      <c r="O9" s="68"/>
      <c r="P9" s="298"/>
    </row>
    <row r="10" spans="1:16" ht="33" x14ac:dyDescent="0.3">
      <c r="A10" s="298"/>
      <c r="B10" s="68"/>
      <c r="C10" s="68" t="str">
        <f t="shared" si="0"/>
        <v>6</v>
      </c>
      <c r="D10" s="68">
        <f t="shared" si="1"/>
        <v>1</v>
      </c>
      <c r="E10" s="68"/>
      <c r="F10" s="79"/>
      <c r="G10" s="80" t="s">
        <v>561</v>
      </c>
      <c r="H10" s="80" t="s">
        <v>82</v>
      </c>
      <c r="I10" s="126" t="s">
        <v>21</v>
      </c>
      <c r="J10" s="80" t="s">
        <v>84</v>
      </c>
      <c r="K10" s="80" t="s">
        <v>549</v>
      </c>
      <c r="L10" s="78"/>
      <c r="M10" s="81" t="s">
        <v>86</v>
      </c>
      <c r="N10" s="82" t="s">
        <v>87</v>
      </c>
      <c r="O10" s="68"/>
      <c r="P10" s="298"/>
    </row>
    <row r="11" spans="1:16" x14ac:dyDescent="0.3">
      <c r="A11" s="298"/>
      <c r="B11" s="68"/>
      <c r="C11" s="68" t="str">
        <f t="shared" si="0"/>
        <v>6</v>
      </c>
      <c r="D11" s="68">
        <f t="shared" si="1"/>
        <v>1</v>
      </c>
      <c r="E11" s="68"/>
      <c r="F11" s="68"/>
      <c r="G11" s="83"/>
      <c r="H11" s="83"/>
      <c r="I11" s="83"/>
      <c r="J11" s="68"/>
      <c r="K11" s="83"/>
      <c r="L11" s="68"/>
      <c r="M11" s="68"/>
      <c r="N11" s="68"/>
      <c r="O11" s="68"/>
      <c r="P11" s="298"/>
    </row>
    <row r="12" spans="1:16" ht="159" customHeight="1" x14ac:dyDescent="0.3">
      <c r="A12" s="298"/>
      <c r="B12" s="68"/>
      <c r="C12" s="68" t="str">
        <f t="shared" si="0"/>
        <v>6</v>
      </c>
      <c r="D12" s="68">
        <f t="shared" si="1"/>
        <v>1</v>
      </c>
      <c r="E12" s="84" t="str">
        <f>C12&amp;D12&amp;RIGHT(F12,1)</f>
        <v>611</v>
      </c>
      <c r="F12" s="66" t="s">
        <v>27</v>
      </c>
      <c r="G12" s="67" t="str">
        <f>IFERROR(IF(VLOOKUP($E12,BDD!$A$1:$S$567,MATCH(G$10,BDD!$A$1:$P$1,0),FALSE)=0,"",VLOOKUP($E12,BDD!$A$1:$S$567,MATCH(G$10,BDD!$A$1:$P$1,0),FALSE)),"")</f>
        <v xml:space="preserve">La DSI établit et maintient des cartographies applicatives (catalogue d’applications et services), techniques (infrastructures et composants techniques) et de données, couvrant l’ensemble du SI. Elles sont maintenues à jour lors de toute évolution du SI. </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Les cartographies n’ont d’intérêt que si elles sont utilisées de façon opérationnelle. Pour ce faire, il est indispensable qu’elles soient exactes (et donc entretenues), qu’elles contiennent des informations pertinentes (en particulier les liens composants/composés et entre les différents composants), et que leur formalisme soit accessible au plus grand nombre, tout comme les outils utilisés pour les gérer. 
• Des moyens permettant de juger de la qualité de la cartographie doivent être mis en place en parallèle de l’établissement des cartographies. 
• Des indicateurs de « vivacité » sont en place pour mesurer l’utilisation effective de la cartographie ainsi que la pertinence et l’exactitude des données. 
• L’utilisation des cartographies pour l’analyse d’impact d’une évolution du SI (projet applicatif ou d’infrastructure), doit en particulier être systématique.</v>
      </c>
      <c r="L12" s="68"/>
      <c r="M12" s="87"/>
      <c r="N12" s="87"/>
      <c r="O12" s="68"/>
      <c r="P12" s="298"/>
    </row>
    <row r="13" spans="1:16" ht="186.6" customHeight="1" x14ac:dyDescent="0.3">
      <c r="A13" s="298"/>
      <c r="B13" s="68"/>
      <c r="C13" s="68" t="str">
        <f t="shared" si="0"/>
        <v>6</v>
      </c>
      <c r="D13" s="68">
        <f t="shared" si="1"/>
        <v>1</v>
      </c>
      <c r="E13" s="84" t="str">
        <f t="shared" ref="E13:E82" si="2">C13&amp;D13&amp;RIGHT(F13,1)</f>
        <v>612</v>
      </c>
      <c r="F13" s="94" t="s">
        <v>28</v>
      </c>
      <c r="G13" s="65" t="str">
        <f>IFERROR(IF(VLOOKUP($E13,BDD!$A$1:$S$567,MATCH(G$10,BDD!$A$1:$P$1,0),FALSE)=0,"",VLOOKUP($E13,BDD!$A$1:$S$567,MATCH(G$10,BDD!$A$1:$P$1,0),FALSE)),"")</f>
        <v>Les cartographies mettent en évidence les liens entre les différents composants recensés : rattachement des données aux applications, flux entre applications, rattachement des applications aux composants techniques utilisés, liens entre composants techniques. </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La description des flux doit préciser le protocole ou la solution technique, les principales données échangées et le sens des échanges.
• La description des liens entre les différents composants recensés doit être régulièrement actualisée pour garder son intérêt. Pour ce faire, on évitera les visions statiques telles que les diapositives difficiles à maintenir et on privilégiera les outils qui gèrent les différentes vues d'architecture de manière dynamique. Par exemple, un modèle dynamique avec centralisation des informations de description des applications et de leurs dépendances dans une même base de données de composants de multiples natures (conçue à partir d'un méta modèle) permettra d’avoir une vision adaptée selon les métiers de la DSI (conception, exploitation, support, etc.).
• Les cartographies applicatives et techniques font le lien avec le référentiel de données. 
• Les cartographies décrivent impérativement les fins de maintenance et de support des composants d'architecture matérielle et logicielle.</v>
      </c>
      <c r="L13" s="68"/>
      <c r="M13" s="90"/>
      <c r="N13" s="90"/>
      <c r="O13" s="68"/>
      <c r="P13" s="298"/>
    </row>
    <row r="14" spans="1:16" ht="130.05000000000001" customHeight="1" x14ac:dyDescent="0.3">
      <c r="A14" s="298"/>
      <c r="B14" s="68"/>
      <c r="C14" s="68" t="str">
        <f t="shared" si="0"/>
        <v>6</v>
      </c>
      <c r="D14" s="68">
        <f t="shared" si="1"/>
        <v>1</v>
      </c>
      <c r="E14" s="84" t="str">
        <f t="shared" si="2"/>
        <v>613</v>
      </c>
      <c r="F14" s="66" t="s">
        <v>30</v>
      </c>
      <c r="G14" s="67" t="str">
        <f>IFERROR(IF(VLOOKUP($E14,BDD!$A$1:$S$567,MATCH(G$10,BDD!$A$1:$P$1,0),FALSE)=0,"",VLOOKUP($E14,BDD!$A$1:$S$567,MATCH(G$10,BDD!$A$1:$P$1,0),FALSE)),"")</f>
        <v xml:space="preserve">Les cartographies sont mises en cohérence avec les processus et les capacités métiers au travers d’outils qui permettent de faire facilement le lien entre les utilisateurs, les processus et les composants du SI, et de classifier ces derniers selon leur criticité pour les métiers. </v>
      </c>
      <c r="H14" s="85" t="str">
        <f>IF(VLOOKUP(E14,BDD!$A$1:$S$567,15,FALSE)=0,"Critère non évalué","")</f>
        <v>Critère non évalué</v>
      </c>
      <c r="I14" s="66" t="str">
        <f>IFERROR(IF(VLOOKUP($E14,BDD!$A$1:$S$567,MATCH(I$10,BDD!$A$1:$P$1,0),FALSE)=0,"",VLOOKUP($E14,BDD!$A$1:$S$567,MATCH(I$10,BDD!$A$1:$P$1,0),FALSE)),"")</f>
        <v>N4</v>
      </c>
      <c r="J14" s="86"/>
      <c r="K14" s="67" t="str">
        <f>IFERROR(IF(VLOOKUP($E14,BDD!$A$1:$S$567,MATCH(K$10,BDD!$A$1:$P$1,0),FALSE)=0,"",VLOOKUP($E14,BDD!$A$1:$S$567,MATCH(K$10,BDD!$A$1:$P$1,0),FALSE)),"")</f>
        <v xml:space="preserve">• Certains outils permettent de cartographier des processus et des capacités métiers en y rattachant les composants du SI.
• La description des processus et des capacités métiers doit être aussi indépendante que possible de l'organisation (description des « rôles » plutôt que des « utilisateurs »).
• La description des processus métiers intègre la cartographie des données et des traitements. </v>
      </c>
      <c r="L14" s="68"/>
      <c r="M14" s="87"/>
      <c r="N14" s="87"/>
      <c r="O14" s="68"/>
      <c r="P14" s="298"/>
    </row>
    <row r="15" spans="1:16" ht="130.05000000000001" customHeight="1" x14ac:dyDescent="0.3">
      <c r="A15" s="298"/>
      <c r="B15" s="68"/>
      <c r="C15" s="68" t="str">
        <f t="shared" si="0"/>
        <v>6</v>
      </c>
      <c r="D15" s="68">
        <f t="shared" si="1"/>
        <v>1</v>
      </c>
      <c r="E15" s="84" t="str">
        <f t="shared" si="2"/>
        <v>614</v>
      </c>
      <c r="F15" s="64" t="s">
        <v>32</v>
      </c>
      <c r="G15" s="96" t="str">
        <f>IFERROR(IF(VLOOKUP($E15,BDD!$A$1:$S$567,MATCH(G$10,BDD!$A$1:$P$1,0),FALSE)=0,"",VLOOKUP($E15,BDD!$A$1:$S$567,MATCH(G$10,BDD!$A$1:$P$1,0),FALSE)),"")</f>
        <v>Un processus d'élaboration, de maintenance et de communication des cartographies, impliquant l'ensemble des parties prenantes, est formalisé et mis en place. Les rôles et responsabilités sont définis et connus. Un suivi des activités est effectué.</v>
      </c>
      <c r="H15" s="210" t="str">
        <f>IF(VLOOKUP(E15,BDD!$A$1:$S$567,15,FALSE)=0,"Critère non évalué","")</f>
        <v>Critère non évalué</v>
      </c>
      <c r="I15" s="64" t="str">
        <f>IFERROR(IF(VLOOKUP($E15,BDD!$A$1:$S$567,MATCH(I$10,BDD!$A$1:$P$1,0),FALSE)=0,"",VLOOKUP($E15,BDD!$A$1:$S$567,MATCH(I$10,BDD!$A$1:$P$1,0),FALSE)),"")</f>
        <v>N3</v>
      </c>
      <c r="J15" s="95"/>
      <c r="K15" s="96" t="str">
        <f>IFERROR(IF(VLOOKUP($E15,BDD!$A$1:$S$567,MATCH(K$10,BDD!$A$1:$P$1,0),FALSE)=0,"",VLOOKUP($E15,BDD!$A$1:$S$567,MATCH(K$10,BDD!$A$1:$P$1,0),FALSE)),"")</f>
        <v>• En principe, la responsabilité de la gestion des cartographies est dévolue à l’équipe chargée de l’architecture du SI, qui s’assure, au travers de leur mise à jour, de l’alignement du SI avec le référentiel d’architecture.</v>
      </c>
      <c r="L15" s="68"/>
      <c r="M15" s="90"/>
      <c r="N15" s="90"/>
      <c r="O15" s="68"/>
      <c r="P15" s="298"/>
    </row>
    <row r="16" spans="1:16" ht="130.05000000000001" hidden="1" customHeight="1" x14ac:dyDescent="0.3">
      <c r="A16" s="298"/>
      <c r="B16" s="68"/>
      <c r="C16" s="68" t="str">
        <f t="shared" si="0"/>
        <v>6</v>
      </c>
      <c r="D16" s="68">
        <f t="shared" si="1"/>
        <v>1</v>
      </c>
      <c r="E16" s="84" t="str">
        <f t="shared" si="2"/>
        <v>615</v>
      </c>
      <c r="F16" s="66" t="s">
        <v>33</v>
      </c>
      <c r="G16" s="67" t="str">
        <f>IFERROR(IF(VLOOKUP($E16,BDD!$A$1:$S$567,MATCH(G$10,BDD!$A$1:$P$1,0),FALSE)=0,"",VLOOKUP($E16,BDD!$A$1:$S$567,MATCH(G$10,BDD!$A$1:$P$1,0),FALSE)),"")</f>
        <v/>
      </c>
      <c r="H16" s="85" t="str">
        <f>IF(VLOOKUP(E16,BDD!$A$1:$S$567,15,FALSE)=0,"Critère non évalué","")</f>
        <v>Critère non évalué</v>
      </c>
      <c r="I16" s="66" t="str">
        <f>IFERROR(IF(VLOOKUP($E16,BDD!$A$1:$S$567,MATCH(I$10,BDD!$A$1:$P$1,0),FALSE)=0,"",VLOOKUP($E16,BDD!$A$1:$S$567,MATCH(I$10,BDD!$A$1:$P$1,0),FALSE)),"")</f>
        <v xml:space="preserve"> </v>
      </c>
      <c r="J16" s="86"/>
      <c r="K16" s="67" t="str">
        <f>IFERROR(IF(VLOOKUP($E16,BDD!$A$1:$S$567,MATCH(K$10,BDD!$A$1:$P$1,0),FALSE)=0,"",VLOOKUP($E16,BDD!$A$1:$S$567,MATCH(K$10,BDD!$A$1:$P$1,0),FALSE)),"")</f>
        <v/>
      </c>
      <c r="L16" s="68"/>
      <c r="M16" s="82"/>
      <c r="N16" s="82"/>
      <c r="O16" s="68"/>
      <c r="P16" s="298"/>
    </row>
    <row r="17" spans="1:16" ht="130.05000000000001" hidden="1" customHeight="1" x14ac:dyDescent="0.3">
      <c r="A17" s="298"/>
      <c r="B17" s="68"/>
      <c r="C17" s="68" t="str">
        <f t="shared" si="0"/>
        <v>6</v>
      </c>
      <c r="D17" s="68">
        <f t="shared" si="1"/>
        <v>1</v>
      </c>
      <c r="E17" s="84" t="str">
        <f t="shared" si="2"/>
        <v>616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xml:space="preserve"> </v>
      </c>
      <c r="J17" s="89"/>
      <c r="K17" s="65" t="str">
        <f>IFERROR(IF(VLOOKUP($E17,BDD!$A$1:$S$567,MATCH(K$10,BDD!$A$1:$P$1,0),FALSE)=0,"",VLOOKUP($E17,BDD!$A$1:$S$567,MATCH(K$10,BDD!$A$1:$P$1,0),FALSE)),"")</f>
        <v/>
      </c>
      <c r="L17" s="68"/>
      <c r="M17" s="90"/>
      <c r="N17" s="90"/>
      <c r="O17" s="68"/>
      <c r="P17" s="298"/>
    </row>
    <row r="18" spans="1:16" ht="130.05000000000001" hidden="1" customHeight="1" x14ac:dyDescent="0.3">
      <c r="A18" s="298"/>
      <c r="B18" s="68"/>
      <c r="C18" s="68" t="str">
        <f t="shared" si="0"/>
        <v>6</v>
      </c>
      <c r="D18" s="68">
        <f t="shared" si="1"/>
        <v>1</v>
      </c>
      <c r="E18" s="84" t="str">
        <f t="shared" si="2"/>
        <v>617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298"/>
    </row>
    <row r="19" spans="1:16" ht="18" x14ac:dyDescent="0.35">
      <c r="A19" s="298"/>
      <c r="B19" s="68"/>
      <c r="C19" s="68" t="str">
        <f t="shared" si="0"/>
        <v>6</v>
      </c>
      <c r="D19" s="68">
        <f t="shared" si="1"/>
        <v>1</v>
      </c>
      <c r="E19" s="84" t="str">
        <f t="shared" si="2"/>
        <v>61</v>
      </c>
      <c r="F19" s="68"/>
      <c r="G19" s="69" t="str">
        <f>IF(Suppl!B80=2,"Le vecteur n'est pas utilisé","")</f>
        <v/>
      </c>
      <c r="H19" s="69"/>
      <c r="I19" s="69"/>
      <c r="J19" s="69"/>
      <c r="K19" s="69"/>
      <c r="L19" s="70"/>
      <c r="M19" s="68"/>
      <c r="N19" s="68"/>
      <c r="O19" s="68"/>
      <c r="P19" s="298"/>
    </row>
    <row r="20" spans="1:16" x14ac:dyDescent="0.3">
      <c r="A20" s="298"/>
      <c r="B20" s="68"/>
      <c r="C20" s="68" t="str">
        <f t="shared" si="0"/>
        <v>6</v>
      </c>
      <c r="D20" s="68">
        <f>IF(LEFT(F20,14)="Bonne pratique",D19+1,D19)</f>
        <v>1</v>
      </c>
      <c r="E20" s="84" t="str">
        <f t="shared" si="2"/>
        <v>61</v>
      </c>
      <c r="F20" s="68"/>
      <c r="G20" s="68"/>
      <c r="H20" s="68"/>
      <c r="I20" s="68"/>
      <c r="J20" s="68"/>
      <c r="K20" s="68"/>
      <c r="L20" s="68"/>
      <c r="M20" s="68"/>
      <c r="N20" s="68"/>
      <c r="O20" s="68"/>
      <c r="P20" s="298"/>
    </row>
    <row r="21" spans="1:16" ht="25.8" x14ac:dyDescent="0.5">
      <c r="A21" s="304"/>
      <c r="B21" s="74"/>
      <c r="C21" s="68" t="str">
        <f t="shared" si="0"/>
        <v>6</v>
      </c>
      <c r="D21" s="68">
        <f t="shared" si="1"/>
        <v>2</v>
      </c>
      <c r="E21" s="84" t="str">
        <f t="shared" si="2"/>
        <v>622</v>
      </c>
      <c r="F21" s="208" t="s">
        <v>500</v>
      </c>
      <c r="G21" s="75"/>
      <c r="H21" s="205"/>
      <c r="I21" s="73"/>
      <c r="J21" s="73" t="str">
        <f>VLOOKUP(E28,BDD!$A$2:$N$567,6,FALSE)</f>
        <v>Feuille de route SI</v>
      </c>
      <c r="K21" s="72"/>
      <c r="L21" s="75"/>
      <c r="M21" s="75"/>
      <c r="N21" s="75"/>
      <c r="O21" s="74"/>
      <c r="P21" s="304"/>
    </row>
    <row r="22" spans="1:16" x14ac:dyDescent="0.3">
      <c r="A22" s="298"/>
      <c r="B22" s="68"/>
      <c r="C22" s="68" t="str">
        <f t="shared" si="0"/>
        <v>6</v>
      </c>
      <c r="D22" s="68">
        <f t="shared" si="1"/>
        <v>2</v>
      </c>
      <c r="E22" s="84" t="str">
        <f t="shared" si="2"/>
        <v>62</v>
      </c>
      <c r="F22" s="68"/>
      <c r="G22" s="68"/>
      <c r="H22" s="68"/>
      <c r="I22" s="68"/>
      <c r="J22" s="68"/>
      <c r="K22" s="68"/>
      <c r="L22" s="68"/>
      <c r="M22" s="68"/>
      <c r="N22" s="68"/>
      <c r="O22" s="68"/>
      <c r="P22" s="298"/>
    </row>
    <row r="23" spans="1:16" ht="18" x14ac:dyDescent="0.35">
      <c r="A23" s="305"/>
      <c r="B23" s="76"/>
      <c r="C23" s="68" t="str">
        <f t="shared" si="0"/>
        <v>6</v>
      </c>
      <c r="D23" s="68">
        <f t="shared" si="1"/>
        <v>2</v>
      </c>
      <c r="E23" s="84" t="str">
        <f t="shared" si="2"/>
        <v>62</v>
      </c>
      <c r="F23" s="76"/>
      <c r="G23" s="76"/>
      <c r="H23" s="76"/>
      <c r="I23" s="77"/>
      <c r="J23" s="207" t="str">
        <f>IFERROR(_xlfn.TEXTBEFORE(VLOOKUP(E28,BDD!$A$2:$N$567,7,FALSE)," ",28),VLOOKUP(E28,BDD!$A$2:$N$567,7,FALSE))</f>
        <v>Le volet numérique du plan stratégique de l’organisation se décline dans une feuille de route (ou schéma directeur SI), co-construite avec les métiers, qui s’appuie sur la cartographie,</v>
      </c>
      <c r="K23" s="77"/>
      <c r="L23" s="76"/>
      <c r="M23" s="76"/>
      <c r="N23" s="76"/>
      <c r="O23" s="76"/>
      <c r="P23" s="305"/>
    </row>
    <row r="24" spans="1:16" ht="18" x14ac:dyDescent="0.35">
      <c r="A24" s="298"/>
      <c r="B24" s="68"/>
      <c r="C24" s="68" t="str">
        <f t="shared" si="0"/>
        <v>6</v>
      </c>
      <c r="D24" s="68">
        <f t="shared" si="1"/>
        <v>2</v>
      </c>
      <c r="E24" s="84" t="str">
        <f t="shared" si="2"/>
        <v>62</v>
      </c>
      <c r="F24" s="68"/>
      <c r="G24" s="68"/>
      <c r="H24" s="68"/>
      <c r="I24" s="68"/>
      <c r="J24" s="207" t="str">
        <f>IFERROR(_xlfn.TEXTAFTER(VLOOKUP(E28,BDD!$A$2:$N$567,7,FALSE)," ",28),"")</f>
        <v xml:space="preserve">le schéma d’urbanisation s'il existe, ou à défaut, sur le patrimoine applicatif et sur l’organisation des données. </v>
      </c>
      <c r="K24" s="68"/>
      <c r="L24" s="68"/>
      <c r="M24" s="68"/>
      <c r="N24" s="68"/>
      <c r="O24" s="68"/>
      <c r="P24" s="298"/>
    </row>
    <row r="25" spans="1:16" x14ac:dyDescent="0.3">
      <c r="A25" s="298"/>
      <c r="B25" s="68"/>
      <c r="C25" s="68" t="str">
        <f t="shared" si="0"/>
        <v>6</v>
      </c>
      <c r="D25" s="68">
        <f t="shared" si="1"/>
        <v>2</v>
      </c>
      <c r="E25" s="84" t="str">
        <f t="shared" si="2"/>
        <v>62</v>
      </c>
      <c r="F25" s="68"/>
      <c r="G25" s="68"/>
      <c r="H25" s="68"/>
      <c r="I25" s="68"/>
      <c r="J25" s="78"/>
      <c r="K25" s="68"/>
      <c r="L25" s="68"/>
      <c r="M25" s="619" t="s">
        <v>92</v>
      </c>
      <c r="N25" s="619"/>
      <c r="O25" s="68"/>
      <c r="P25" s="298"/>
    </row>
    <row r="26" spans="1:16" ht="33" x14ac:dyDescent="0.3">
      <c r="A26" s="298"/>
      <c r="B26" s="68"/>
      <c r="C26" s="68" t="str">
        <f t="shared" si="0"/>
        <v>6</v>
      </c>
      <c r="D26" s="68">
        <f t="shared" si="1"/>
        <v>2</v>
      </c>
      <c r="E26" s="84" t="str">
        <f t="shared" si="2"/>
        <v>62</v>
      </c>
      <c r="F26" s="93"/>
      <c r="G26" s="80" t="s">
        <v>561</v>
      </c>
      <c r="H26" s="80" t="s">
        <v>82</v>
      </c>
      <c r="I26" s="80" t="s">
        <v>83</v>
      </c>
      <c r="J26" s="80" t="s">
        <v>84</v>
      </c>
      <c r="K26" s="80" t="s">
        <v>85</v>
      </c>
      <c r="L26" s="78"/>
      <c r="M26" s="81" t="s">
        <v>86</v>
      </c>
      <c r="N26" s="82" t="s">
        <v>87</v>
      </c>
      <c r="O26" s="68"/>
      <c r="P26" s="298"/>
    </row>
    <row r="27" spans="1:16" x14ac:dyDescent="0.3">
      <c r="A27" s="298"/>
      <c r="B27" s="68"/>
      <c r="C27" s="68" t="str">
        <f t="shared" si="0"/>
        <v>6</v>
      </c>
      <c r="D27" s="68">
        <f t="shared" si="1"/>
        <v>2</v>
      </c>
      <c r="E27" s="84" t="str">
        <f t="shared" si="2"/>
        <v>62</v>
      </c>
      <c r="F27" s="68"/>
      <c r="G27" s="83"/>
      <c r="H27" s="83"/>
      <c r="I27" s="83"/>
      <c r="J27" s="68"/>
      <c r="K27" s="83"/>
      <c r="L27" s="68"/>
      <c r="M27" s="68"/>
      <c r="N27" s="68"/>
      <c r="O27" s="68"/>
      <c r="P27" s="298"/>
    </row>
    <row r="28" spans="1:16" ht="130.05000000000001" customHeight="1" x14ac:dyDescent="0.3">
      <c r="A28" s="298"/>
      <c r="B28" s="68"/>
      <c r="C28" s="68" t="str">
        <f t="shared" si="0"/>
        <v>6</v>
      </c>
      <c r="D28" s="68">
        <f t="shared" si="1"/>
        <v>2</v>
      </c>
      <c r="E28" s="84" t="str">
        <f t="shared" si="2"/>
        <v>621</v>
      </c>
      <c r="F28" s="66" t="s">
        <v>27</v>
      </c>
      <c r="G28" s="67" t="str">
        <f>IFERROR(IF(VLOOKUP($E28,BDD!$A$1:$S$567,MATCH(G$10,BDD!$A$1:$P$1,0),FALSE)=0,"",VLOOKUP($E28,BDD!$A$1:$S$567,MATCH(G$10,BDD!$A$1:$P$1,0),FALSE)),"")</f>
        <v>La feuille de route SI décrit la cible du SI et les grandes étapes pour atteindre les objectifs du volet numérique du plan stratégique de l’organisation. Elle est connue des responsables SI et des métiers. </v>
      </c>
      <c r="H28" s="85" t="str">
        <f>IF(VLOOKUP(E28,BDD!$A$1:$S$567,15,FALSE)=0,"Critère non évalué","")</f>
        <v>Critère non évalué</v>
      </c>
      <c r="I28" s="66" t="str">
        <f>IFERROR(IF(VLOOKUP($E28,BDD!$A$1:$S$567,MATCH(I$10,BDD!$A$1:$P$1,0),FALSE)=0,"",VLOOKUP($E28,BDD!$A$1:$S$567,MATCH(I$10,BDD!$A$1:$P$1,0),FALSE)),"")</f>
        <v>N2</v>
      </c>
      <c r="J28" s="86"/>
      <c r="K28" s="67" t="str">
        <f>IFERROR(IF(VLOOKUP($E28,BDD!$A$1:$S$567,MATCH(K$10,BDD!$A$1:$P$1,0),FALSE)=0,"",VLOOKUP($E28,BDD!$A$1:$S$567,MATCH(K$10,BDD!$A$1:$P$1,0),FALSE)),"")</f>
        <v>• La feuille de route SI décrit de façon synthétique (en général sous la forme d’un « fond de carte ») le positionnement cible des principaux composants du SI et les trajectoires, selon une structure et un niveau de granularité cohérents.</v>
      </c>
      <c r="L28" s="68"/>
      <c r="M28" s="87"/>
      <c r="N28" s="87"/>
      <c r="O28" s="68"/>
      <c r="P28" s="298"/>
    </row>
    <row r="29" spans="1:16" ht="130.05000000000001" customHeight="1" x14ac:dyDescent="0.3">
      <c r="A29" s="298"/>
      <c r="B29" s="68"/>
      <c r="C29" s="68" t="str">
        <f t="shared" si="0"/>
        <v>6</v>
      </c>
      <c r="D29" s="68">
        <f t="shared" si="1"/>
        <v>2</v>
      </c>
      <c r="E29" s="84" t="str">
        <f t="shared" si="2"/>
        <v>622</v>
      </c>
      <c r="F29" s="94" t="s">
        <v>28</v>
      </c>
      <c r="G29" s="65" t="str">
        <f>IFERROR(IF(VLOOKUP($E29,BDD!$A$1:$S$567,MATCH(G$10,BDD!$A$1:$P$1,0),FALSE)=0,"",VLOOKUP($E29,BDD!$A$1:$S$567,MATCH(G$10,BDD!$A$1:$P$1,0),FALSE)),"")</f>
        <v>Les cartographies décrivent le positionnement actuel et cible des composants des cartographies ainsi que leurs trajectoires.</v>
      </c>
      <c r="H29" s="88" t="str">
        <f>IF(VLOOKUP(E29,BDD!$A$1:$S$567,15,FALSE)=0,"Critère non évalué","")</f>
        <v>Critère non évalué</v>
      </c>
      <c r="I29" s="64" t="str">
        <f>IFERROR(IF(VLOOKUP($E29,BDD!$A$1:$S$567,MATCH(I$10,BDD!$A$1:$P$1,0),FALSE)=0,"",VLOOKUP($E29,BDD!$A$1:$S$567,MATCH(I$10,BDD!$A$1:$P$1,0),FALSE)),"")</f>
        <v>N1</v>
      </c>
      <c r="J29" s="89"/>
      <c r="K29" s="65" t="str">
        <f>IFERROR(IF(VLOOKUP($E29,BDD!$A$1:$S$567,MATCH(K$10,BDD!$A$1:$P$1,0),FALSE)=0,"",VLOOKUP($E29,BDD!$A$1:$S$567,MATCH(K$10,BDD!$A$1:$P$1,0),FALSE)),"")</f>
        <v>• Il est notamment précisé les évolutions à produire sur les composants nouveaux, adaptés, remplacés ou simplement décommissionnés.</v>
      </c>
      <c r="L29" s="68"/>
      <c r="M29" s="90"/>
      <c r="N29" s="90"/>
      <c r="O29" s="68"/>
      <c r="P29" s="298"/>
    </row>
    <row r="30" spans="1:16" ht="130.05000000000001" customHeight="1" x14ac:dyDescent="0.3">
      <c r="A30" s="298"/>
      <c r="B30" s="68"/>
      <c r="C30" s="68" t="str">
        <f t="shared" si="0"/>
        <v>6</v>
      </c>
      <c r="D30" s="68">
        <f t="shared" si="1"/>
        <v>2</v>
      </c>
      <c r="E30" s="84" t="str">
        <f t="shared" si="2"/>
        <v>623</v>
      </c>
      <c r="F30" s="66" t="s">
        <v>30</v>
      </c>
      <c r="G30" s="67" t="str">
        <f>IFERROR(IF(VLOOKUP($E30,BDD!$A$1:$S$567,MATCH(G$10,BDD!$A$1:$P$1,0),FALSE)=0,"",VLOOKUP($E30,BDD!$A$1:$S$567,MATCH(G$10,BDD!$A$1:$P$1,0),FALSE)),"")</f>
        <v>La feuille de route SI détaille les projets d’alignement du SI avec le plan stratégique de l’organisation en précisant les feuilles de route des composants présentant un écart par rapport à la cible.</v>
      </c>
      <c r="H30" s="85" t="str">
        <f>IF(VLOOKUP(E30,BDD!$A$1:$S$567,15,FALSE)=0,"Critère non évalué","")</f>
        <v>Critère non évalué</v>
      </c>
      <c r="I30" s="66" t="str">
        <f>IFERROR(IF(VLOOKUP($E30,BDD!$A$1:$S$567,MATCH(I$10,BDD!$A$1:$P$1,0),FALSE)=0,"",VLOOKUP($E30,BDD!$A$1:$S$567,MATCH(I$10,BDD!$A$1:$P$1,0),FALSE)),"")</f>
        <v>N3</v>
      </c>
      <c r="J30" s="86"/>
      <c r="K30" s="67" t="str">
        <f>IFERROR(IF(VLOOKUP($E30,BDD!$A$1:$S$567,MATCH(K$10,BDD!$A$1:$P$1,0),FALSE)=0,"",VLOOKUP($E30,BDD!$A$1:$S$567,MATCH(K$10,BDD!$A$1:$P$1,0),FALSE)),"")</f>
        <v>• L’impact des écarts sur l’atteinte des objectifs stratégiques est évalué afin de justifier les investissements nécessaires pour atteindre la cible SI.</v>
      </c>
      <c r="L30" s="68"/>
      <c r="M30" s="87"/>
      <c r="N30" s="87"/>
      <c r="O30" s="68"/>
      <c r="P30" s="298"/>
    </row>
    <row r="31" spans="1:16" ht="130.05000000000001" customHeight="1" x14ac:dyDescent="0.3">
      <c r="A31" s="298"/>
      <c r="B31" s="68"/>
      <c r="C31" s="68" t="str">
        <f t="shared" si="0"/>
        <v>6</v>
      </c>
      <c r="D31" s="68">
        <f t="shared" si="1"/>
        <v>2</v>
      </c>
      <c r="E31" s="84" t="str">
        <f t="shared" si="2"/>
        <v>624</v>
      </c>
      <c r="F31" s="64" t="s">
        <v>32</v>
      </c>
      <c r="G31" s="96" t="str">
        <f>IFERROR(IF(VLOOKUP($E31,BDD!$A$1:$S$567,MATCH(G$10,BDD!$A$1:$P$1,0),FALSE)=0,"",VLOOKUP($E31,BDD!$A$1:$S$567,MATCH(G$10,BDD!$A$1:$P$1,0),FALSE)),"")</f>
        <v>La feuille de route SI est mise à jour au moins une fois par an pour tenir compte des évolutions technologiques, stratégiques et réglementaires.</v>
      </c>
      <c r="H31" s="210" t="str">
        <f>IF(VLOOKUP(E31,BDD!$A$1:$S$567,15,FALSE)=0,"Critère non évalué","")</f>
        <v>Critère non évalué</v>
      </c>
      <c r="I31" s="64" t="str">
        <f>IFERROR(IF(VLOOKUP($E31,BDD!$A$1:$S$567,MATCH(I$10,BDD!$A$1:$P$1,0),FALSE)=0,"",VLOOKUP($E31,BDD!$A$1:$S$567,MATCH(I$10,BDD!$A$1:$P$1,0),FALSE)),"")</f>
        <v>N4</v>
      </c>
      <c r="J31" s="95"/>
      <c r="K31" s="96" t="str">
        <f>IFERROR(IF(VLOOKUP($E31,BDD!$A$1:$S$567,MATCH(K$10,BDD!$A$1:$P$1,0),FALSE)=0,"",VLOOKUP($E31,BDD!$A$1:$S$567,MATCH(K$10,BDD!$A$1:$P$1,0),FALSE)),"")</f>
        <v>• La feuille de route SI est présentée et validée par la direction générale.</v>
      </c>
      <c r="L31" s="68"/>
      <c r="M31" s="90"/>
      <c r="N31" s="90"/>
      <c r="O31" s="68"/>
      <c r="P31" s="298"/>
    </row>
    <row r="32" spans="1:16" ht="130.05000000000001" hidden="1" customHeight="1" x14ac:dyDescent="0.3">
      <c r="A32" s="298"/>
      <c r="B32" s="68"/>
      <c r="C32" s="68" t="str">
        <f t="shared" si="0"/>
        <v>6</v>
      </c>
      <c r="D32" s="68">
        <f t="shared" si="1"/>
        <v>2</v>
      </c>
      <c r="E32" s="84" t="str">
        <f t="shared" si="2"/>
        <v>625</v>
      </c>
      <c r="F32" s="66" t="s">
        <v>33</v>
      </c>
      <c r="G32" s="67" t="str">
        <f>IFERROR(IF(VLOOKUP($E32,BDD!$A$1:$S$567,MATCH(G$10,BDD!$A$1:$P$1,0),FALSE)=0,"",VLOOKUP($E32,BDD!$A$1:$S$567,MATCH(G$10,BDD!$A$1:$P$1,0),FALSE)),"")</f>
        <v/>
      </c>
      <c r="H32" s="85" t="str">
        <f>IF(VLOOKUP(E32,BDD!$A$1:$S$567,15,FALSE)=0,"Critère non évalué","")</f>
        <v>Critère non évalué</v>
      </c>
      <c r="I32" s="66" t="str">
        <f>IFERROR(IF(VLOOKUP($E32,BDD!$A$1:$S$567,MATCH(I$10,BDD!$A$1:$P$1,0),FALSE)=0,"",VLOOKUP($E32,BDD!$A$1:$S$567,MATCH(I$10,BDD!$A$1:$P$1,0),FALSE)),"")</f>
        <v xml:space="preserve"> </v>
      </c>
      <c r="J32" s="86"/>
      <c r="K32" s="67" t="str">
        <f>IFERROR(IF(VLOOKUP($E32,BDD!$A$1:$S$567,MATCH(K$10,BDD!$A$1:$P$1,0),FALSE)=0,"",VLOOKUP($E32,BDD!$A$1:$S$567,MATCH(K$10,BDD!$A$1:$P$1,0),FALSE)),"")</f>
        <v/>
      </c>
      <c r="L32" s="68"/>
      <c r="M32" s="82"/>
      <c r="N32" s="82"/>
      <c r="O32" s="68"/>
      <c r="P32" s="298"/>
    </row>
    <row r="33" spans="1:16" ht="130.05000000000001" hidden="1" customHeight="1" x14ac:dyDescent="0.3">
      <c r="A33" s="298"/>
      <c r="B33" s="68"/>
      <c r="C33" s="68" t="str">
        <f t="shared" si="0"/>
        <v>6</v>
      </c>
      <c r="D33" s="68">
        <f t="shared" si="1"/>
        <v>2</v>
      </c>
      <c r="E33" s="84" t="str">
        <f t="shared" si="2"/>
        <v>626</v>
      </c>
      <c r="F33" s="64" t="s">
        <v>34</v>
      </c>
      <c r="G33" s="65" t="str">
        <f>IFERROR(IF(VLOOKUP($E33,BDD!$A$1:$S$567,MATCH(G$10,BDD!$A$1:$P$1,0),FALSE)=0,"",VLOOKUP($E33,BDD!$A$1:$S$567,MATCH(G$10,BDD!$A$1:$P$1,0),FALSE)),"")</f>
        <v/>
      </c>
      <c r="H33" s="92" t="str">
        <f>IF(VLOOKUP(E33,BDD!$A$1:$S$567,15,FALSE)=0,"Critère non évalué","")</f>
        <v>Critère non évalué</v>
      </c>
      <c r="I33" s="64" t="str">
        <f>IFERROR(IF(VLOOKUP($E33,BDD!$A$1:$S$567,MATCH(I$10,BDD!$A$1:$P$1,0),FALSE)=0,"",VLOOKUP($E33,BDD!$A$1:$S$567,MATCH(I$10,BDD!$A$1:$P$1,0),FALSE)),"")</f>
        <v xml:space="preserve"> </v>
      </c>
      <c r="J33" s="89"/>
      <c r="K33" s="65" t="str">
        <f>IFERROR(IF(VLOOKUP($E33,BDD!$A$1:$S$567,MATCH(K$10,BDD!$A$1:$P$1,0),FALSE)=0,"",VLOOKUP($E33,BDD!$A$1:$S$567,MATCH(K$10,BDD!$A$1:$P$1,0),FALSE)),"")</f>
        <v/>
      </c>
      <c r="L33" s="68"/>
      <c r="M33" s="90"/>
      <c r="N33" s="90"/>
      <c r="O33" s="68"/>
      <c r="P33" s="298"/>
    </row>
    <row r="34" spans="1:16" ht="130.05000000000001" hidden="1" customHeight="1" x14ac:dyDescent="0.3">
      <c r="A34" s="298"/>
      <c r="B34" s="68"/>
      <c r="C34" s="68" t="str">
        <f t="shared" si="0"/>
        <v>6</v>
      </c>
      <c r="D34" s="68">
        <f t="shared" si="1"/>
        <v>2</v>
      </c>
      <c r="E34" s="84" t="str">
        <f t="shared" si="2"/>
        <v>627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xml:space="preserve"> </v>
      </c>
      <c r="J34" s="86"/>
      <c r="K34" s="67" t="str">
        <f>IFERROR(IF(VLOOKUP($E34,BDD!$A$1:$S$567,MATCH(K$10,BDD!$A$1:$P$1,0),FALSE)=0,"",VLOOKUP($E34,BDD!$A$1:$S$567,MATCH(K$10,BDD!$A$1:$P$1,0),FALSE)),"")</f>
        <v/>
      </c>
      <c r="L34" s="68"/>
      <c r="M34" s="82"/>
      <c r="N34" s="82"/>
      <c r="O34" s="68"/>
      <c r="P34" s="298"/>
    </row>
    <row r="35" spans="1:16" ht="18" x14ac:dyDescent="0.35">
      <c r="A35" s="298"/>
      <c r="B35" s="68"/>
      <c r="C35" s="68" t="str">
        <f t="shared" si="0"/>
        <v>6</v>
      </c>
      <c r="D35" s="68">
        <f t="shared" si="1"/>
        <v>2</v>
      </c>
      <c r="E35" s="84" t="str">
        <f t="shared" si="2"/>
        <v>62</v>
      </c>
      <c r="F35" s="68"/>
      <c r="G35" s="69" t="str">
        <f>IF(Suppl!B96=2,"Le vecteur n'est pas utilisé","")</f>
        <v/>
      </c>
      <c r="H35" s="69"/>
      <c r="I35" s="68"/>
      <c r="J35" s="69"/>
      <c r="K35" s="69"/>
      <c r="L35" s="70"/>
      <c r="M35" s="68"/>
      <c r="N35" s="68"/>
      <c r="O35" s="68"/>
      <c r="P35" s="298"/>
    </row>
    <row r="36" spans="1:16" x14ac:dyDescent="0.3">
      <c r="A36" s="298"/>
      <c r="B36" s="68"/>
      <c r="C36" s="68" t="str">
        <f t="shared" si="0"/>
        <v>6</v>
      </c>
      <c r="D36" s="68">
        <f>IF(LEFT(F36,14)="Bonne pratique",D35+1,D35)</f>
        <v>2</v>
      </c>
      <c r="E36" s="84" t="str">
        <f t="shared" si="2"/>
        <v>62</v>
      </c>
      <c r="F36" s="68"/>
      <c r="G36" s="68"/>
      <c r="H36" s="68"/>
      <c r="I36" s="68"/>
      <c r="J36" s="68"/>
      <c r="K36" s="68"/>
      <c r="L36" s="68"/>
      <c r="M36" s="68"/>
      <c r="N36" s="68"/>
      <c r="O36" s="68"/>
      <c r="P36" s="298"/>
    </row>
    <row r="37" spans="1:16" ht="25.8" x14ac:dyDescent="0.5">
      <c r="A37" s="304"/>
      <c r="B37" s="74"/>
      <c r="C37" s="68" t="str">
        <f t="shared" si="0"/>
        <v>6</v>
      </c>
      <c r="D37" s="68">
        <f t="shared" si="1"/>
        <v>3</v>
      </c>
      <c r="E37" s="84" t="str">
        <f t="shared" si="2"/>
        <v>633</v>
      </c>
      <c r="F37" s="208" t="s">
        <v>501</v>
      </c>
      <c r="G37" s="75"/>
      <c r="H37" s="205"/>
      <c r="I37" s="73"/>
      <c r="J37" s="73" t="str">
        <f>VLOOKUP(E44,BDD!$A$2:$N$567,6,FALSE)</f>
        <v>Modularité et ouverture de l'architecture</v>
      </c>
      <c r="K37" s="72"/>
      <c r="L37" s="75"/>
      <c r="M37" s="75"/>
      <c r="N37" s="75"/>
      <c r="O37" s="74"/>
      <c r="P37" s="304"/>
    </row>
    <row r="38" spans="1:16" x14ac:dyDescent="0.3">
      <c r="A38" s="298"/>
      <c r="B38" s="68"/>
      <c r="C38" s="68" t="str">
        <f t="shared" si="0"/>
        <v>6</v>
      </c>
      <c r="D38" s="68">
        <f t="shared" si="1"/>
        <v>3</v>
      </c>
      <c r="E38" s="84" t="str">
        <f t="shared" si="2"/>
        <v>63</v>
      </c>
      <c r="F38" s="68"/>
      <c r="G38" s="68"/>
      <c r="H38" s="68"/>
      <c r="I38" s="68"/>
      <c r="J38" s="68"/>
      <c r="K38" s="68"/>
      <c r="L38" s="68"/>
      <c r="M38" s="68"/>
      <c r="N38" s="68"/>
      <c r="O38" s="68"/>
      <c r="P38" s="298"/>
    </row>
    <row r="39" spans="1:16" ht="18" x14ac:dyDescent="0.35">
      <c r="A39" s="305"/>
      <c r="B39" s="76"/>
      <c r="C39" s="68" t="str">
        <f t="shared" si="0"/>
        <v>6</v>
      </c>
      <c r="D39" s="68">
        <f t="shared" si="1"/>
        <v>3</v>
      </c>
      <c r="E39" s="84" t="str">
        <f t="shared" si="2"/>
        <v>63</v>
      </c>
      <c r="F39" s="76"/>
      <c r="G39" s="76"/>
      <c r="H39" s="76"/>
      <c r="I39" s="77"/>
      <c r="J39" s="207" t="str">
        <f>IFERROR(_xlfn.TEXTBEFORE(VLOOKUP(E44,BDD!$A$2:$N$567,7,FALSE)," ",30),VLOOKUP(E44,BDD!$A$2:$N$567,7,FALSE))</f>
        <v>La feuille de route du SI décline une architecture modulaire permettant la coexistence de systèmes d’information aux exigences hétérogènes et l’intégration de solutions diversifiées.</v>
      </c>
      <c r="K39" s="77"/>
      <c r="L39" s="76"/>
      <c r="M39" s="76"/>
      <c r="N39" s="76"/>
      <c r="O39" s="76"/>
      <c r="P39" s="305"/>
    </row>
    <row r="40" spans="1:16" ht="18" x14ac:dyDescent="0.35">
      <c r="A40" s="298"/>
      <c r="B40" s="68"/>
      <c r="C40" s="68" t="str">
        <f t="shared" si="0"/>
        <v>6</v>
      </c>
      <c r="D40" s="68">
        <f t="shared" si="1"/>
        <v>3</v>
      </c>
      <c r="E40" s="84" t="str">
        <f t="shared" si="2"/>
        <v>63</v>
      </c>
      <c r="F40" s="68"/>
      <c r="G40" s="68"/>
      <c r="H40" s="68"/>
      <c r="I40" s="68"/>
      <c r="J40" s="207" t="str">
        <f>IFERROR(_xlfn.TEXTAFTER(VLOOKUP(E44,BDD!$A$2:$N$567,7,FALSE)," ",30),"")</f>
        <v/>
      </c>
      <c r="K40" s="68"/>
      <c r="L40" s="68"/>
      <c r="M40" s="68"/>
      <c r="N40" s="68"/>
      <c r="O40" s="68"/>
      <c r="P40" s="298"/>
    </row>
    <row r="41" spans="1:16" x14ac:dyDescent="0.3">
      <c r="A41" s="298"/>
      <c r="B41" s="68"/>
      <c r="C41" s="68" t="str">
        <f t="shared" si="0"/>
        <v>6</v>
      </c>
      <c r="D41" s="68">
        <f t="shared" si="1"/>
        <v>3</v>
      </c>
      <c r="E41" s="84" t="str">
        <f t="shared" si="2"/>
        <v>63</v>
      </c>
      <c r="F41" s="68"/>
      <c r="G41" s="68"/>
      <c r="H41" s="68"/>
      <c r="I41" s="68"/>
      <c r="J41" s="78"/>
      <c r="K41" s="68"/>
      <c r="L41" s="68"/>
      <c r="M41" s="619" t="s">
        <v>92</v>
      </c>
      <c r="N41" s="619"/>
      <c r="O41" s="68"/>
      <c r="P41" s="298"/>
    </row>
    <row r="42" spans="1:16" ht="33" x14ac:dyDescent="0.3">
      <c r="A42" s="298"/>
      <c r="B42" s="68"/>
      <c r="C42" s="68" t="str">
        <f t="shared" si="0"/>
        <v>6</v>
      </c>
      <c r="D42" s="68">
        <f t="shared" si="1"/>
        <v>3</v>
      </c>
      <c r="E42" s="84" t="str">
        <f t="shared" si="2"/>
        <v>63</v>
      </c>
      <c r="F42" s="79"/>
      <c r="G42" s="80" t="s">
        <v>561</v>
      </c>
      <c r="H42" s="80" t="s">
        <v>82</v>
      </c>
      <c r="I42" s="80" t="s">
        <v>83</v>
      </c>
      <c r="J42" s="80" t="s">
        <v>84</v>
      </c>
      <c r="K42" s="80" t="s">
        <v>85</v>
      </c>
      <c r="L42" s="78"/>
      <c r="M42" s="81" t="s">
        <v>86</v>
      </c>
      <c r="N42" s="82" t="s">
        <v>87</v>
      </c>
      <c r="O42" s="68"/>
      <c r="P42" s="298"/>
    </row>
    <row r="43" spans="1:16" x14ac:dyDescent="0.3">
      <c r="A43" s="298"/>
      <c r="B43" s="68"/>
      <c r="C43" s="68" t="str">
        <f t="shared" si="0"/>
        <v>6</v>
      </c>
      <c r="D43" s="68">
        <f t="shared" si="1"/>
        <v>3</v>
      </c>
      <c r="E43" s="84" t="str">
        <f t="shared" si="2"/>
        <v>63</v>
      </c>
      <c r="F43" s="68"/>
      <c r="G43" s="83"/>
      <c r="H43" s="83"/>
      <c r="I43" s="83"/>
      <c r="J43" s="68"/>
      <c r="K43" s="83"/>
      <c r="L43" s="68"/>
      <c r="M43" s="68"/>
      <c r="N43" s="68"/>
      <c r="O43" s="68"/>
      <c r="P43" s="298"/>
    </row>
    <row r="44" spans="1:16" ht="130.05000000000001" customHeight="1" x14ac:dyDescent="0.3">
      <c r="A44" s="298"/>
      <c r="B44" s="68"/>
      <c r="C44" s="68" t="str">
        <f t="shared" si="0"/>
        <v>6</v>
      </c>
      <c r="D44" s="68">
        <f t="shared" si="1"/>
        <v>3</v>
      </c>
      <c r="E44" s="84" t="str">
        <f t="shared" si="2"/>
        <v>631</v>
      </c>
      <c r="F44" s="66" t="s">
        <v>27</v>
      </c>
      <c r="G44" s="67" t="str">
        <f>IFERROR(IF(VLOOKUP($E44,BDD!$A$1:$S$567,MATCH(G$10,BDD!$A$1:$P$1,0),FALSE)=0,"",VLOOKUP($E44,BDD!$A$1:$S$567,MATCH(G$10,BDD!$A$1:$P$1,0),FALSE)),"")</f>
        <v>La cartographie délimite les périmètres et les interactions entre les différents composants du SI (internes et externes). </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c>
      <c r="L44" s="68"/>
      <c r="M44" s="87"/>
      <c r="N44" s="87"/>
      <c r="O44" s="68"/>
      <c r="P44" s="298"/>
    </row>
    <row r="45" spans="1:16" ht="150" customHeight="1" x14ac:dyDescent="0.3">
      <c r="A45" s="298"/>
      <c r="B45" s="68"/>
      <c r="C45" s="68" t="str">
        <f t="shared" si="0"/>
        <v>6</v>
      </c>
      <c r="D45" s="68">
        <f t="shared" si="1"/>
        <v>3</v>
      </c>
      <c r="E45" s="84" t="str">
        <f t="shared" si="2"/>
        <v>632</v>
      </c>
      <c r="F45" s="94" t="s">
        <v>28</v>
      </c>
      <c r="G45" s="65" t="str">
        <f>IFERROR(IF(VLOOKUP($E45,BDD!$A$1:$S$567,MATCH(G$10,BDD!$A$1:$P$1,0),FALSE)=0,"",VLOOKUP($E45,BDD!$A$1:$S$567,MATCH(G$10,BDD!$A$1:$P$1,0),FALSE)),"")</f>
        <v>Les standards d'intégration et d'observabilité des composants externes sont définis et documentés. </v>
      </c>
      <c r="H45" s="88" t="str">
        <f>IF(VLOOKUP(E45,BDD!$A$1:$S$567,15,FALSE)=0,"Critère non évalué","")</f>
        <v>Critère non évalué</v>
      </c>
      <c r="I45" s="64" t="str">
        <f>IFERROR(IF(VLOOKUP($E45,BDD!$A$1:$S$567,MATCH(I$10,BDD!$A$1:$P$1,0),FALSE)=0,"",VLOOKUP($E45,BDD!$A$1:$S$567,MATCH(I$10,BDD!$A$1:$P$1,0),FALSE)),"")</f>
        <v>N3</v>
      </c>
      <c r="J45" s="89"/>
      <c r="K45" s="65" t="str">
        <f>IFERROR(IF(VLOOKUP($E45,BDD!$A$1:$S$567,MATCH(K$10,BDD!$A$1:$P$1,0),FALSE)=0,"",VLOOKUP($E45,BDD!$A$1:$S$567,MATCH(K$10,BDD!$A$1:$P$1,0),FALSE)),"")</f>
        <v>• L’utilisation d’une plateforme d'intégration observée est une bonne pratique qui permet de maîtriser tous les types de flux échangés entre le SI interne et les solutions cloud, aussi bien du point de vue de la performance et de la qualité de service (découplage de charge notamment) que de la sécurité (authentification renforcée, chiffrement des flux), et de la maintenabilité (point de passage unique normalisé facilitant la réversibilité). </v>
      </c>
      <c r="L45" s="68"/>
      <c r="M45" s="90"/>
      <c r="N45" s="90"/>
      <c r="O45" s="68"/>
      <c r="P45" s="298"/>
    </row>
    <row r="46" spans="1:16" ht="130.05000000000001" customHeight="1" x14ac:dyDescent="0.3">
      <c r="A46" s="298"/>
      <c r="B46" s="68"/>
      <c r="C46" s="68" t="str">
        <f t="shared" si="0"/>
        <v>6</v>
      </c>
      <c r="D46" s="68">
        <f t="shared" si="1"/>
        <v>3</v>
      </c>
      <c r="E46" s="84" t="str">
        <f t="shared" si="2"/>
        <v>633</v>
      </c>
      <c r="F46" s="66" t="s">
        <v>30</v>
      </c>
      <c r="G46" s="67" t="str">
        <f>IFERROR(IF(VLOOKUP($E46,BDD!$A$1:$S$567,MATCH(G$10,BDD!$A$1:$P$1,0),FALSE)=0,"",VLOOKUP($E46,BDD!$A$1:$S$567,MATCH(G$10,BDD!$A$1:$P$1,0),FALSE)),"")</f>
        <v>Les principes de remédiation et d'auditabilité des composants externes et les règles d’architecture associées sont définis et permettent de limiter la dépendance de l'organisation.</v>
      </c>
      <c r="H46" s="85" t="str">
        <f>IF(VLOOKUP(E46,BDD!$A$1:$S$567,15,FALSE)=0,"Critère non évalué","")</f>
        <v>Critère non évalué</v>
      </c>
      <c r="I46" s="66" t="str">
        <f>IFERROR(IF(VLOOKUP($E46,BDD!$A$1:$S$567,MATCH(I$10,BDD!$A$1:$P$1,0),FALSE)=0,"",VLOOKUP($E46,BDD!$A$1:$S$567,MATCH(I$10,BDD!$A$1:$P$1,0),FALSE)),"")</f>
        <v>N4</v>
      </c>
      <c r="J46" s="86"/>
      <c r="K46" s="67" t="str">
        <f>IFERROR(IF(VLOOKUP($E46,BDD!$A$1:$S$567,MATCH(K$10,BDD!$A$1:$P$1,0),FALSE)=0,"",VLOOKUP($E46,BDD!$A$1:$S$567,MATCH(K$10,BDD!$A$1:$P$1,0),FALSE)),"")</f>
        <v>• Des moyens sont mis en place pour détecter et éviter les offres cloud structurellement captives (par exemple : les offres propriétaires en mode SaaS gérant des référentiels de l’organisation). 
• La remédiation consiste à anticiper des solutions alternatives.</v>
      </c>
      <c r="L46" s="68"/>
      <c r="M46" s="87"/>
      <c r="N46" s="87"/>
      <c r="O46" s="68"/>
      <c r="P46" s="298"/>
    </row>
    <row r="47" spans="1:16" ht="120" customHeight="1" x14ac:dyDescent="0.3">
      <c r="A47" s="298"/>
      <c r="B47" s="68"/>
      <c r="C47" s="68" t="str">
        <f t="shared" si="0"/>
        <v>6</v>
      </c>
      <c r="D47" s="68">
        <f t="shared" si="1"/>
        <v>3</v>
      </c>
      <c r="E47" s="84" t="str">
        <f t="shared" si="2"/>
        <v>634</v>
      </c>
      <c r="F47" s="64" t="s">
        <v>32</v>
      </c>
      <c r="G47" s="96" t="str">
        <f>IFERROR(IF(VLOOKUP($E47,BDD!$A$1:$S$567,MATCH(G$10,BDD!$A$1:$P$1,0),FALSE)=0,"",VLOOKUP($E47,BDD!$A$1:$S$567,MATCH(G$10,BDD!$A$1:$P$1,0),FALSE)),"")</f>
        <v>Les dépendances techniques et d’exploitation (y compris la maintenance) et celles liées à la chaîne de support sont identifiées, documentées et prises en compte sur les plans technique et contractuel.</v>
      </c>
      <c r="H47" s="210" t="str">
        <f>IF(VLOOKUP(E47,BDD!$A$1:$S$567,15,FALSE)=0,"Critère non évalué","")</f>
        <v>Critère non évalué</v>
      </c>
      <c r="I47" s="64" t="str">
        <f>IFERROR(IF(VLOOKUP($E47,BDD!$A$1:$S$567,MATCH(I$10,BDD!$A$1:$P$1,0),FALSE)=0,"",VLOOKUP($E47,BDD!$A$1:$S$567,MATCH(I$10,BDD!$A$1:$P$1,0),FALSE)),"")</f>
        <v>N3</v>
      </c>
      <c r="J47" s="95"/>
      <c r="K47" s="96" t="str">
        <f>IFERROR(IF(VLOOKUP($E47,BDD!$A$1:$S$567,MATCH(K$10,BDD!$A$1:$P$1,0),FALSE)=0,"",VLOOKUP($E47,BDD!$A$1:$S$567,MATCH(K$10,BDD!$A$1:$P$1,0),FALSE)),"")</f>
        <v/>
      </c>
      <c r="L47" s="68"/>
      <c r="M47" s="90"/>
      <c r="N47" s="90"/>
      <c r="O47" s="68"/>
      <c r="P47" s="298"/>
    </row>
    <row r="48" spans="1:16" ht="130.05000000000001" customHeight="1" x14ac:dyDescent="0.3">
      <c r="A48" s="298"/>
      <c r="B48" s="68"/>
      <c r="C48" s="68" t="str">
        <f t="shared" si="0"/>
        <v>6</v>
      </c>
      <c r="D48" s="68">
        <f t="shared" si="1"/>
        <v>3</v>
      </c>
      <c r="E48" s="84" t="str">
        <f t="shared" si="2"/>
        <v>635</v>
      </c>
      <c r="F48" s="66" t="s">
        <v>33</v>
      </c>
      <c r="G48" s="67" t="str">
        <f>IFERROR(IF(VLOOKUP($E48,BDD!$A$1:$S$567,MATCH(G$10,BDD!$A$1:$P$1,0),FALSE)=0,"",VLOOKUP($E48,BDD!$A$1:$S$567,MATCH(G$10,BDD!$A$1:$P$1,0),FALSE)),"")</f>
        <v>La modularité passe par l'exposition et l'intégration de services élémentaires documentés et maintenus. Cette démarche concerne également la modernisation d'applications (legacy).</v>
      </c>
      <c r="H48" s="85" t="str">
        <f>IF(VLOOKUP(E48,BDD!$A$1:$S$567,15,FALSE)=0,"Critère non évalué","")</f>
        <v>Critère non évalué</v>
      </c>
      <c r="I48" s="66" t="str">
        <f>IFERROR(IF(VLOOKUP($E48,BDD!$A$1:$S$567,MATCH(I$10,BDD!$A$1:$P$1,0),FALSE)=0,"",VLOOKUP($E48,BDD!$A$1:$S$567,MATCH(I$10,BDD!$A$1:$P$1,0),FALSE)),"")</f>
        <v>N4</v>
      </c>
      <c r="J48" s="86"/>
      <c r="K48" s="67" t="str">
        <f>IFERROR(IF(VLOOKUP($E48,BDD!$A$1:$S$567,MATCH(K$10,BDD!$A$1:$P$1,0),FALSE)=0,"",VLOOKUP($E48,BDD!$A$1:$S$567,MATCH(K$10,BDD!$A$1:$P$1,0),FALSE)),"")</f>
        <v>• La tendance est à l'évolution vers des applications de type micro-services qui peuvent être fournies par l'organisation et par l'extérieur.</v>
      </c>
      <c r="L48" s="68"/>
      <c r="M48" s="87"/>
      <c r="N48" s="87"/>
      <c r="O48" s="68"/>
      <c r="P48" s="298"/>
    </row>
    <row r="49" spans="1:16" ht="120" hidden="1" customHeight="1" x14ac:dyDescent="0.3">
      <c r="A49" s="298"/>
      <c r="B49" s="68"/>
      <c r="C49" s="68" t="str">
        <f t="shared" si="0"/>
        <v>6</v>
      </c>
      <c r="D49" s="68">
        <f t="shared" si="1"/>
        <v>3</v>
      </c>
      <c r="E49" s="84" t="str">
        <f t="shared" si="2"/>
        <v>636</v>
      </c>
      <c r="F49" s="64" t="s">
        <v>34</v>
      </c>
      <c r="G49" s="96" t="str">
        <f>IFERROR(IF(VLOOKUP($E49,BDD!$A$1:$S$567,MATCH(G$10,BDD!$A$1:$P$1,0),FALSE)=0,"",VLOOKUP($E49,BDD!$A$1:$S$567,MATCH(G$10,BDD!$A$1:$P$1,0),FALSE)),"")</f>
        <v/>
      </c>
      <c r="H49" s="210" t="str">
        <f>IF(VLOOKUP(E49,BDD!$A$1:$S$567,15,FALSE)=0,"Critère non évalué","")</f>
        <v>Critère non évalué</v>
      </c>
      <c r="I49" s="64" t="str">
        <f>IFERROR(IF(VLOOKUP($E49,BDD!$A$1:$S$567,MATCH(I$10,BDD!$A$1:$P$1,0),FALSE)=0,"",VLOOKUP($E49,BDD!$A$1:$S$567,MATCH(I$10,BDD!$A$1:$P$1,0),FALSE)),"")</f>
        <v xml:space="preserve"> </v>
      </c>
      <c r="J49" s="95"/>
      <c r="K49" s="96" t="str">
        <f>IFERROR(IF(VLOOKUP($E49,BDD!$A$1:$S$567,MATCH(K$10,BDD!$A$1:$P$1,0),FALSE)=0,"",VLOOKUP($E49,BDD!$A$1:$S$567,MATCH(K$10,BDD!$A$1:$P$1,0),FALSE)),"")</f>
        <v/>
      </c>
      <c r="L49" s="68"/>
      <c r="M49" s="90"/>
      <c r="N49" s="90"/>
      <c r="O49" s="68"/>
      <c r="P49" s="298"/>
    </row>
    <row r="50" spans="1:16" ht="130.05000000000001" hidden="1" customHeight="1" x14ac:dyDescent="0.3">
      <c r="A50" s="298"/>
      <c r="B50" s="68"/>
      <c r="C50" s="68" t="str">
        <f t="shared" si="0"/>
        <v>6</v>
      </c>
      <c r="D50" s="68">
        <f t="shared" si="1"/>
        <v>3</v>
      </c>
      <c r="E50" s="84" t="str">
        <f t="shared" si="2"/>
        <v>637</v>
      </c>
      <c r="F50" s="66" t="s">
        <v>36</v>
      </c>
      <c r="G50" s="67" t="str">
        <f>IFERROR(IF(VLOOKUP($E50,BDD!$A$1:$S$567,MATCH(G$10,BDD!$A$1:$P$1,0),FALSE)=0,"",VLOOKUP($E50,BDD!$A$1:$S$567,MATCH(G$10,BDD!$A$1:$P$1,0),FALSE)),"")</f>
        <v/>
      </c>
      <c r="H50" s="85" t="str">
        <f>IF(VLOOKUP(E50,BDD!$A$1:$S$567,15,FALSE)=0,"Critère non évalué","")</f>
        <v>Critère non évalué</v>
      </c>
      <c r="I50" s="66" t="str">
        <f>IFERROR(IF(VLOOKUP($E50,BDD!$A$1:$S$567,MATCH(I$10,BDD!$A$1:$P$1,0),FALSE)=0,"",VLOOKUP($E50,BDD!$A$1:$S$567,MATCH(I$10,BDD!$A$1:$P$1,0),FALSE)),"")</f>
        <v xml:space="preserve"> </v>
      </c>
      <c r="J50" s="86"/>
      <c r="K50" s="67" t="str">
        <f>IFERROR(IF(VLOOKUP($E50,BDD!$A$1:$S$567,MATCH(K$10,BDD!$A$1:$P$1,0),FALSE)=0,"",VLOOKUP($E50,BDD!$A$1:$S$567,MATCH(K$10,BDD!$A$1:$P$1,0),FALSE)),"")</f>
        <v/>
      </c>
      <c r="L50" s="68"/>
      <c r="M50" s="87"/>
      <c r="N50" s="87"/>
      <c r="O50" s="68"/>
      <c r="P50" s="298"/>
    </row>
    <row r="51" spans="1:16" ht="18" x14ac:dyDescent="0.35">
      <c r="A51" s="298"/>
      <c r="B51" s="68"/>
      <c r="C51" s="68" t="str">
        <f t="shared" si="0"/>
        <v>6</v>
      </c>
      <c r="D51" s="68"/>
      <c r="E51" s="84"/>
      <c r="F51" s="68"/>
      <c r="G51" s="69"/>
      <c r="H51" s="69"/>
      <c r="I51" s="69"/>
      <c r="J51" s="69"/>
      <c r="K51" s="69"/>
      <c r="L51" s="70"/>
      <c r="M51" s="68"/>
      <c r="N51" s="68"/>
      <c r="O51" s="68"/>
      <c r="P51" s="298"/>
    </row>
    <row r="52" spans="1:16" x14ac:dyDescent="0.3">
      <c r="A52" s="298"/>
      <c r="B52" s="68"/>
      <c r="C52" s="68" t="str">
        <f t="shared" si="0"/>
        <v>6</v>
      </c>
      <c r="D52" s="68">
        <f>IF(LEFT(F52,14)="Bonne pratique",D48+1,D48)</f>
        <v>3</v>
      </c>
      <c r="E52" s="84" t="str">
        <f t="shared" si="2"/>
        <v>63</v>
      </c>
      <c r="F52" s="68"/>
      <c r="G52" s="68"/>
      <c r="H52" s="68"/>
      <c r="I52" s="68"/>
      <c r="J52" s="68"/>
      <c r="K52" s="68"/>
      <c r="L52" s="68"/>
      <c r="M52" s="68"/>
      <c r="N52" s="68"/>
      <c r="O52" s="68"/>
      <c r="P52" s="298"/>
    </row>
    <row r="53" spans="1:16" ht="25.8" x14ac:dyDescent="0.5">
      <c r="A53" s="304"/>
      <c r="B53" s="74"/>
      <c r="C53" s="68" t="str">
        <f t="shared" si="0"/>
        <v>6</v>
      </c>
      <c r="D53" s="68">
        <f t="shared" si="1"/>
        <v>4</v>
      </c>
      <c r="E53" s="84" t="str">
        <f t="shared" si="2"/>
        <v>644</v>
      </c>
      <c r="F53" s="208" t="s">
        <v>502</v>
      </c>
      <c r="G53" s="75"/>
      <c r="H53" s="205"/>
      <c r="I53" s="73"/>
      <c r="J53" s="73" t="str">
        <f>VLOOKUP(E60,BDD!$A$2:$N$567,6,FALSE)</f>
        <v>Communication vers le métier</v>
      </c>
      <c r="K53" s="72"/>
      <c r="L53" s="75"/>
      <c r="M53" s="75"/>
      <c r="N53" s="75"/>
      <c r="O53" s="74"/>
      <c r="P53" s="304"/>
    </row>
    <row r="54" spans="1:16" x14ac:dyDescent="0.3">
      <c r="A54" s="298"/>
      <c r="B54" s="68"/>
      <c r="C54" s="68" t="str">
        <f t="shared" si="0"/>
        <v>6</v>
      </c>
      <c r="D54" s="68">
        <f t="shared" si="1"/>
        <v>4</v>
      </c>
      <c r="E54" s="84" t="str">
        <f t="shared" si="2"/>
        <v>64</v>
      </c>
      <c r="F54" s="68"/>
      <c r="G54" s="68"/>
      <c r="H54" s="68"/>
      <c r="I54" s="68"/>
      <c r="J54" s="68"/>
      <c r="K54" s="68"/>
      <c r="L54" s="68"/>
      <c r="M54" s="68"/>
      <c r="N54" s="68"/>
      <c r="O54" s="68"/>
      <c r="P54" s="298"/>
    </row>
    <row r="55" spans="1:16" ht="18" x14ac:dyDescent="0.35">
      <c r="A55" s="305"/>
      <c r="B55" s="76"/>
      <c r="C55" s="68" t="str">
        <f t="shared" si="0"/>
        <v>6</v>
      </c>
      <c r="D55" s="68">
        <f t="shared" si="1"/>
        <v>4</v>
      </c>
      <c r="E55" s="84" t="str">
        <f t="shared" si="2"/>
        <v>64</v>
      </c>
      <c r="F55" s="76"/>
      <c r="G55" s="76"/>
      <c r="H55" s="76"/>
      <c r="I55" s="77"/>
      <c r="J55" s="207" t="str">
        <f>IFERROR(_xlfn.TEXTBEFORE(VLOOKUP(E60,BDD!$A$2:$N$567,7,FALSE)," ",26),VLOOKUP(E60,BDD!$A$2:$N$567,7,FALSE))</f>
        <v>Les enjeux d’architecture sont explicités et partagés au moyen d’un vocabulaire accessible et de schémas explicatifs. Les métiers sont impliqués et responsabilisés dans leurs choix d’investissements,</v>
      </c>
      <c r="K55" s="77"/>
      <c r="L55" s="76"/>
      <c r="M55" s="76"/>
      <c r="N55" s="76"/>
      <c r="O55" s="76"/>
      <c r="P55" s="305"/>
    </row>
    <row r="56" spans="1:16" ht="18" x14ac:dyDescent="0.35">
      <c r="A56" s="298"/>
      <c r="B56" s="68"/>
      <c r="C56" s="68" t="str">
        <f t="shared" si="0"/>
        <v>6</v>
      </c>
      <c r="D56" s="68">
        <f t="shared" si="1"/>
        <v>4</v>
      </c>
      <c r="E56" s="84" t="str">
        <f t="shared" si="2"/>
        <v>64</v>
      </c>
      <c r="F56" s="68"/>
      <c r="G56" s="68"/>
      <c r="H56" s="68"/>
      <c r="I56" s="68"/>
      <c r="J56" s="207" t="str">
        <f>IFERROR(_xlfn.TEXTAFTER(VLOOKUP(E60,BDD!$A$2:$N$567,7,FALSE)," ",26),"")</f>
        <v>sur la base d’une identification claire des impacts sur leurs processus.</v>
      </c>
      <c r="K56" s="68"/>
      <c r="L56" s="68"/>
      <c r="M56" s="68"/>
      <c r="N56" s="68"/>
      <c r="O56" s="68"/>
      <c r="P56" s="298"/>
    </row>
    <row r="57" spans="1:16" x14ac:dyDescent="0.3">
      <c r="A57" s="298"/>
      <c r="B57" s="68"/>
      <c r="C57" s="68" t="str">
        <f t="shared" si="0"/>
        <v>6</v>
      </c>
      <c r="D57" s="68">
        <f t="shared" si="1"/>
        <v>4</v>
      </c>
      <c r="E57" s="84" t="str">
        <f t="shared" si="2"/>
        <v>64</v>
      </c>
      <c r="F57" s="68"/>
      <c r="G57" s="68"/>
      <c r="H57" s="68"/>
      <c r="I57" s="68"/>
      <c r="J57" s="78"/>
      <c r="K57" s="68"/>
      <c r="L57" s="68"/>
      <c r="M57" s="619" t="s">
        <v>92</v>
      </c>
      <c r="N57" s="619"/>
      <c r="O57" s="68"/>
      <c r="P57" s="298"/>
    </row>
    <row r="58" spans="1:16" ht="33" x14ac:dyDescent="0.3">
      <c r="A58" s="298"/>
      <c r="B58" s="68"/>
      <c r="C58" s="68" t="str">
        <f t="shared" si="0"/>
        <v>6</v>
      </c>
      <c r="D58" s="68">
        <f t="shared" si="1"/>
        <v>4</v>
      </c>
      <c r="E58" s="84" t="str">
        <f t="shared" si="2"/>
        <v>64</v>
      </c>
      <c r="F58" s="79"/>
      <c r="G58" s="80" t="s">
        <v>561</v>
      </c>
      <c r="H58" s="80" t="s">
        <v>82</v>
      </c>
      <c r="I58" s="80" t="s">
        <v>83</v>
      </c>
      <c r="J58" s="80" t="s">
        <v>84</v>
      </c>
      <c r="K58" s="80" t="s">
        <v>85</v>
      </c>
      <c r="L58" s="78"/>
      <c r="M58" s="81" t="s">
        <v>86</v>
      </c>
      <c r="N58" s="82" t="s">
        <v>87</v>
      </c>
      <c r="O58" s="68"/>
      <c r="P58" s="298"/>
    </row>
    <row r="59" spans="1:16" x14ac:dyDescent="0.3">
      <c r="A59" s="298"/>
      <c r="B59" s="68"/>
      <c r="C59" s="68" t="str">
        <f t="shared" si="0"/>
        <v>6</v>
      </c>
      <c r="D59" s="68">
        <f t="shared" si="1"/>
        <v>4</v>
      </c>
      <c r="E59" s="84" t="str">
        <f t="shared" si="2"/>
        <v>64</v>
      </c>
      <c r="F59" s="68"/>
      <c r="G59" s="83"/>
      <c r="H59" s="83"/>
      <c r="I59" s="83"/>
      <c r="J59" s="68"/>
      <c r="K59" s="83"/>
      <c r="L59" s="68"/>
      <c r="M59" s="68"/>
      <c r="N59" s="68"/>
      <c r="O59" s="68"/>
      <c r="P59" s="298"/>
    </row>
    <row r="60" spans="1:16" ht="130.05000000000001" customHeight="1" x14ac:dyDescent="0.3">
      <c r="A60" s="298"/>
      <c r="B60" s="68"/>
      <c r="C60" s="68" t="str">
        <f t="shared" si="0"/>
        <v>6</v>
      </c>
      <c r="D60" s="68">
        <f t="shared" si="1"/>
        <v>4</v>
      </c>
      <c r="E60" s="84" t="str">
        <f t="shared" si="2"/>
        <v>641</v>
      </c>
      <c r="F60" s="66" t="s">
        <v>27</v>
      </c>
      <c r="G60" s="67" t="str">
        <f>IFERROR(IF(VLOOKUP($E60,BDD!$A$1:$S$567,MATCH(G$10,BDD!$A$1:$P$1,0),FALSE)=0,"",VLOOKUP($E60,BDD!$A$1:$S$567,MATCH(G$10,BDD!$A$1:$P$1,0),FALSE)),"")</f>
        <v>Les principes et règles d’architecture explicitent les impacts métiers sous-jacents : bénéfices et risques associés (sécurité, adaptabilité, performance, robustesse, impact sur l’efficacité opérationnelle, coût d’usage du SI, time-to-market, impact environnemental, etc.).</v>
      </c>
      <c r="H60" s="85" t="str">
        <f>IF(VLOOKUP(E60,BDD!$A$1:$S$567,15,FALSE)=0,"Critère non évalué","")</f>
        <v>Critère non évalué</v>
      </c>
      <c r="I60" s="66" t="str">
        <f>IFERROR(IF(VLOOKUP($E60,BDD!$A$1:$S$567,MATCH(I$10,BDD!$A$1:$P$1,0),FALSE)=0,"",VLOOKUP($E60,BDD!$A$1:$S$567,MATCH(I$10,BDD!$A$1:$P$1,0),FALSE)),"")</f>
        <v>N3</v>
      </c>
      <c r="J60" s="86"/>
      <c r="K60" s="67" t="str">
        <f>IFERROR(IF(VLOOKUP($E60,BDD!$A$1:$S$567,MATCH(K$10,BDD!$A$1:$P$1,0),FALSE)=0,"",VLOOKUP($E60,BDD!$A$1:$S$567,MATCH(K$10,BDD!$A$1:$P$1,0),FALSE)),"")</f>
        <v>• Les principes et les règles, outre l’alignement métier, doivent couvrir la sécurité dès la conception (cybersécurité, protection des données, sécurité de l’information, etc.) pour garantir la robustesse du SI.</v>
      </c>
      <c r="L60" s="68"/>
      <c r="M60" s="87"/>
      <c r="N60" s="87"/>
      <c r="O60" s="68"/>
      <c r="P60" s="298"/>
    </row>
    <row r="61" spans="1:16" ht="130.05000000000001" customHeight="1" x14ac:dyDescent="0.3">
      <c r="A61" s="298"/>
      <c r="B61" s="68"/>
      <c r="C61" s="68" t="str">
        <f t="shared" si="0"/>
        <v>6</v>
      </c>
      <c r="D61" s="68">
        <f t="shared" si="1"/>
        <v>4</v>
      </c>
      <c r="E61" s="84" t="str">
        <f t="shared" si="2"/>
        <v>642</v>
      </c>
      <c r="F61" s="94" t="s">
        <v>28</v>
      </c>
      <c r="G61" s="65" t="str">
        <f>IFERROR(IF(VLOOKUP($E61,BDD!$A$1:$S$567,MATCH(G$10,BDD!$A$1:$P$1,0),FALSE)=0,"",VLOOKUP($E61,BDD!$A$1:$S$567,MATCH(G$10,BDD!$A$1:$P$1,0),FALSE)),"")</f>
        <v>L’analyse de conformité avec le référentiel d’architecture, des solutions informatiques existantes et des projets, est partagée avec les métiers et  les impacts des écarts sont explicités.</v>
      </c>
      <c r="H61" s="88" t="str">
        <f>IF(VLOOKUP(E61,BDD!$A$1:$S$567,15,FALSE)=0,"Critère non évalué","")</f>
        <v>Critère non évalué</v>
      </c>
      <c r="I61" s="64" t="str">
        <f>IFERROR(IF(VLOOKUP($E61,BDD!$A$1:$S$567,MATCH(I$10,BDD!$A$1:$P$1,0),FALSE)=0,"",VLOOKUP($E61,BDD!$A$1:$S$567,MATCH(I$10,BDD!$A$1:$P$1,0),FALSE)),"")</f>
        <v>N4</v>
      </c>
      <c r="J61" s="89"/>
      <c r="K61" s="65" t="str">
        <f>IFERROR(IF(VLOOKUP($E61,BDD!$A$1:$S$567,MATCH(K$10,BDD!$A$1:$P$1,0),FALSE)=0,"",VLOOKUP($E61,BDD!$A$1:$S$567,MATCH(K$10,BDD!$A$1:$P$1,0),FALSE)),"")</f>
        <v/>
      </c>
      <c r="L61" s="68"/>
      <c r="M61" s="90"/>
      <c r="N61" s="90"/>
      <c r="O61" s="68"/>
      <c r="P61" s="298"/>
    </row>
    <row r="62" spans="1:16" ht="130.05000000000001" customHeight="1" x14ac:dyDescent="0.3">
      <c r="A62" s="298"/>
      <c r="B62" s="68"/>
      <c r="C62" s="68" t="str">
        <f t="shared" si="0"/>
        <v>6</v>
      </c>
      <c r="D62" s="68">
        <f>IF(LEFT(F62,14)="Bonne pratique",D61+1,D61)</f>
        <v>4</v>
      </c>
      <c r="E62" s="84" t="str">
        <f t="shared" si="2"/>
        <v>643</v>
      </c>
      <c r="F62" s="66" t="s">
        <v>30</v>
      </c>
      <c r="G62" s="67" t="str">
        <f>IFERROR(IF(VLOOKUP($E62,BDD!$A$1:$S$567,MATCH(G$10,BDD!$A$1:$P$1,0),FALSE)=0,"",VLOOKUP($E62,BDD!$A$1:$S$567,MATCH(G$10,BDD!$A$1:$P$1,0),FALSE)),"")</f>
        <v>Les orientations d’architecture SI sont intégrées dans le volet numérique du plan stratégique communiqué aux métiers.</v>
      </c>
      <c r="H62" s="85" t="str">
        <f>IF(VLOOKUP(E62,BDD!$A$1:$S$567,15,FALSE)=0,"Critère non évalué","")</f>
        <v>Critère non évalué</v>
      </c>
      <c r="I62" s="66" t="str">
        <f>IFERROR(IF(VLOOKUP($E62,BDD!$A$1:$S$567,MATCH(I$10,BDD!$A$1:$P$1,0),FALSE)=0,"",VLOOKUP($E62,BDD!$A$1:$S$567,MATCH(I$10,BDD!$A$1:$P$1,0),FALSE)),"")</f>
        <v>N1</v>
      </c>
      <c r="J62" s="86"/>
      <c r="K62" s="67" t="str">
        <f>IFERROR(IF(VLOOKUP($E62,BDD!$A$1:$S$567,MATCH(K$10,BDD!$A$1:$P$1,0),FALSE)=0,"",VLOOKUP($E62,BDD!$A$1:$S$567,MATCH(K$10,BDD!$A$1:$P$1,0),FALSE)),"")</f>
        <v>• Les orientations d’architecture doivent être mises en regard des enjeux stratégiques métiers.</v>
      </c>
      <c r="L62" s="68"/>
      <c r="M62" s="87"/>
      <c r="N62" s="87"/>
      <c r="O62" s="68"/>
      <c r="P62" s="298"/>
    </row>
    <row r="63" spans="1:16" ht="130.05000000000001" customHeight="1" x14ac:dyDescent="0.3">
      <c r="A63" s="298"/>
      <c r="B63" s="68"/>
      <c r="C63" s="68" t="str">
        <f t="shared" si="0"/>
        <v>6</v>
      </c>
      <c r="D63" s="68">
        <f t="shared" si="1"/>
        <v>4</v>
      </c>
      <c r="E63" s="84" t="str">
        <f t="shared" si="2"/>
        <v>644</v>
      </c>
      <c r="F63" s="64" t="s">
        <v>32</v>
      </c>
      <c r="G63" s="96" t="str">
        <f>IFERROR(IF(VLOOKUP($E63,BDD!$A$1:$S$567,MATCH(G$10,BDD!$A$1:$P$1,0),FALSE)=0,"",VLOOKUP($E63,BDD!$A$1:$S$567,MATCH(G$10,BDD!$A$1:$P$1,0),FALSE)),"")</f>
        <v>Les métiers sont sensibilisés aux enjeux de l’architecture : explication des contraintes, des risques et facteurs clés de succès dans la mise en œuvre des différentes technologies, et impacts (à court et long terme) de la non-application des principes et des règles.</v>
      </c>
      <c r="H63" s="210" t="str">
        <f>IF(VLOOKUP(E63,BDD!$A$1:$S$567,15,FALSE)=0,"Critère non évalué","")</f>
        <v>Critère non évalué</v>
      </c>
      <c r="I63" s="64" t="str">
        <f>IFERROR(IF(VLOOKUP($E63,BDD!$A$1:$S$567,MATCH(I$10,BDD!$A$1:$P$1,0),FALSE)=0,"",VLOOKUP($E63,BDD!$A$1:$S$567,MATCH(I$10,BDD!$A$1:$P$1,0),FALSE)),"")</f>
        <v>N5</v>
      </c>
      <c r="J63" s="95"/>
      <c r="K63" s="96" t="str">
        <f>IFERROR(IF(VLOOKUP($E63,BDD!$A$1:$S$567,MATCH(K$10,BDD!$A$1:$P$1,0),FALSE)=0,"",VLOOKUP($E63,BDD!$A$1:$S$567,MATCH(K$10,BDD!$A$1:$P$1,0),FALSE)),"")</f>
        <v xml:space="preserve">• La communication sur les enjeux d'architecture est faite avec pédagogie, au travers de cas d'usages concrets liés aux enjeux métier et porteurs d'innovation.
• Les retours d'expérience des projets sont partagés avec les métiers en mettant en exergue les risques, les atouts et les limites des technologies utilisées ou des principes d'architecture appliqués.
• Ceci est possible par exemple à travers des communautés animées régulièrement. </v>
      </c>
      <c r="L63" s="68"/>
      <c r="M63" s="90"/>
      <c r="N63" s="90"/>
      <c r="O63" s="68"/>
      <c r="P63" s="298"/>
    </row>
    <row r="64" spans="1:16" ht="130.05000000000001" hidden="1" customHeight="1" x14ac:dyDescent="0.3">
      <c r="A64" s="298"/>
      <c r="B64" s="68"/>
      <c r="C64" s="68" t="str">
        <f t="shared" si="0"/>
        <v>6</v>
      </c>
      <c r="D64" s="68">
        <f t="shared" si="1"/>
        <v>4</v>
      </c>
      <c r="E64" s="84" t="str">
        <f t="shared" si="2"/>
        <v>645</v>
      </c>
      <c r="F64" s="66" t="s">
        <v>33</v>
      </c>
      <c r="G64" s="67" t="str">
        <f>IFERROR(IF(VLOOKUP($E64,BDD!$A$1:$S$567,MATCH(G$10,BDD!$A$1:$P$1,0),FALSE)=0,"",VLOOKUP($E64,BDD!$A$1:$S$567,MATCH(G$10,BDD!$A$1:$P$1,0),FALSE)),"")</f>
        <v/>
      </c>
      <c r="H64" s="85" t="str">
        <f>IF(VLOOKUP(E64,BDD!$A$1:$S$567,15,FALSE)=0,"Critère non évalué","")</f>
        <v>Critère non évalué</v>
      </c>
      <c r="I64" s="66" t="str">
        <f>IFERROR(IF(VLOOKUP($E64,BDD!$A$1:$S$567,MATCH(I$10,BDD!$A$1:$P$1,0),FALSE)=0,"",VLOOKUP($E64,BDD!$A$1:$S$567,MATCH(I$10,BDD!$A$1:$P$1,0),FALSE)),"")</f>
        <v xml:space="preserve"> </v>
      </c>
      <c r="J64" s="86"/>
      <c r="K64" s="67" t="str">
        <f>IFERROR(IF(VLOOKUP($E64,BDD!$A$1:$S$567,MATCH(K$10,BDD!$A$1:$P$1,0),FALSE)=0,"",VLOOKUP($E64,BDD!$A$1:$S$567,MATCH(K$10,BDD!$A$1:$P$1,0),FALSE)),"")</f>
        <v/>
      </c>
      <c r="L64" s="68"/>
      <c r="M64" s="82"/>
      <c r="N64" s="82"/>
      <c r="O64" s="68"/>
      <c r="P64" s="298"/>
    </row>
    <row r="65" spans="1:16" ht="130.05000000000001" hidden="1" customHeight="1" x14ac:dyDescent="0.3">
      <c r="A65" s="298"/>
      <c r="B65" s="68"/>
      <c r="C65" s="68" t="str">
        <f t="shared" si="0"/>
        <v>6</v>
      </c>
      <c r="D65" s="68">
        <f t="shared" si="1"/>
        <v>4</v>
      </c>
      <c r="E65" s="84" t="str">
        <f t="shared" si="2"/>
        <v>646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xml:space="preserve"> </v>
      </c>
      <c r="J65" s="206"/>
      <c r="K65" s="96" t="str">
        <f>IFERROR(IF(VLOOKUP($E65,BDD!$A$1:$S$567,MATCH(K$10,BDD!$A$1:$P$1,0),FALSE)=0,"",VLOOKUP($E65,BDD!$A$1:$S$567,MATCH(K$10,BDD!$A$1:$P$1,0),FALSE)),"")</f>
        <v/>
      </c>
      <c r="L65" s="68"/>
      <c r="M65" s="90"/>
      <c r="N65" s="90"/>
      <c r="O65" s="68"/>
      <c r="P65" s="298"/>
    </row>
    <row r="66" spans="1:16" ht="130.05000000000001" hidden="1" customHeight="1" x14ac:dyDescent="0.3">
      <c r="A66" s="298"/>
      <c r="B66" s="68"/>
      <c r="C66" s="68" t="str">
        <f t="shared" si="0"/>
        <v>6</v>
      </c>
      <c r="D66" s="68">
        <f t="shared" si="1"/>
        <v>4</v>
      </c>
      <c r="E66" s="84" t="str">
        <f t="shared" si="2"/>
        <v>647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298"/>
    </row>
    <row r="67" spans="1:16" x14ac:dyDescent="0.3">
      <c r="A67" s="298"/>
      <c r="B67" s="68"/>
      <c r="C67" s="68" t="str">
        <f t="shared" si="0"/>
        <v>6</v>
      </c>
      <c r="D67" s="68">
        <f t="shared" si="1"/>
        <v>4</v>
      </c>
      <c r="E67" s="84" t="str">
        <f t="shared" si="2"/>
        <v>64</v>
      </c>
      <c r="F67" s="68"/>
      <c r="G67" s="68"/>
      <c r="H67" s="68"/>
      <c r="I67" s="68"/>
      <c r="J67" s="68"/>
      <c r="K67" s="68"/>
      <c r="L67" s="68"/>
      <c r="M67" s="68"/>
      <c r="N67" s="68"/>
      <c r="O67" s="68"/>
      <c r="P67" s="298"/>
    </row>
    <row r="68" spans="1:16" x14ac:dyDescent="0.3">
      <c r="A68" s="298"/>
      <c r="B68" s="68"/>
      <c r="C68" s="68" t="str">
        <f t="shared" si="0"/>
        <v>6</v>
      </c>
      <c r="D68" s="68"/>
      <c r="E68" s="84"/>
      <c r="F68" s="68"/>
      <c r="G68" s="68"/>
      <c r="H68" s="68"/>
      <c r="I68" s="68"/>
      <c r="J68" s="68"/>
      <c r="K68" s="68"/>
      <c r="L68" s="68"/>
      <c r="M68" s="68"/>
      <c r="N68" s="68"/>
      <c r="O68" s="68"/>
      <c r="P68" s="298"/>
    </row>
    <row r="69" spans="1:16" x14ac:dyDescent="0.3">
      <c r="A69" s="298"/>
      <c r="B69" s="68"/>
      <c r="C69" s="68" t="str">
        <f t="shared" si="0"/>
        <v>6</v>
      </c>
      <c r="D69" s="68"/>
      <c r="E69" s="84"/>
      <c r="F69" s="68"/>
      <c r="G69" s="68"/>
      <c r="H69" s="68"/>
      <c r="I69" s="68"/>
      <c r="J69" s="68"/>
      <c r="K69" s="68"/>
      <c r="L69" s="68"/>
      <c r="M69" s="68"/>
      <c r="N69" s="68"/>
      <c r="O69" s="68"/>
      <c r="P69" s="298"/>
    </row>
    <row r="70" spans="1:16" x14ac:dyDescent="0.3">
      <c r="A70" s="298"/>
      <c r="B70" s="68"/>
      <c r="C70" s="68" t="str">
        <f t="shared" ref="C70:C115" si="3">IF(LEFT(RIGHT($B$1,2),1)=" ",RIGHT($B$1,1),RIGHT($B$1,2))</f>
        <v>6</v>
      </c>
      <c r="D70" s="68"/>
      <c r="E70" s="84"/>
      <c r="F70" s="68"/>
      <c r="G70" s="68"/>
      <c r="H70" s="68"/>
      <c r="I70" s="68"/>
      <c r="J70" s="68"/>
      <c r="K70" s="68"/>
      <c r="L70" s="68"/>
      <c r="M70" s="68"/>
      <c r="N70" s="68"/>
      <c r="O70" s="68"/>
      <c r="P70" s="298"/>
    </row>
    <row r="71" spans="1:16" ht="25.8" x14ac:dyDescent="0.5">
      <c r="A71" s="304"/>
      <c r="B71" s="74"/>
      <c r="C71" s="68" t="str">
        <f t="shared" si="3"/>
        <v>6</v>
      </c>
      <c r="D71" s="68">
        <f>IF(LEFT(F71,14)="Bonne pratique",D67+1,D67)</f>
        <v>5</v>
      </c>
      <c r="E71" s="84" t="str">
        <f t="shared" si="2"/>
        <v>655</v>
      </c>
      <c r="F71" s="208" t="s">
        <v>503</v>
      </c>
      <c r="G71" s="75"/>
      <c r="H71" s="205"/>
      <c r="I71" s="73"/>
      <c r="J71" s="73" t="str">
        <f>VLOOKUP(E78,BDD!$A$2:$N$567,6,FALSE)</f>
        <v>Règles et Principes</v>
      </c>
      <c r="K71" s="72"/>
      <c r="L71" s="75"/>
      <c r="M71" s="75"/>
      <c r="N71" s="75"/>
      <c r="O71" s="74"/>
      <c r="P71" s="304"/>
    </row>
    <row r="72" spans="1:16" x14ac:dyDescent="0.3">
      <c r="A72" s="298"/>
      <c r="B72" s="68"/>
      <c r="C72" s="68" t="str">
        <f t="shared" si="3"/>
        <v>6</v>
      </c>
      <c r="D72" s="68">
        <f t="shared" ref="D72:D84" si="4">IF(LEFT(F72,14)="Bonne pratique",D71+1,D71)</f>
        <v>5</v>
      </c>
      <c r="E72" s="84" t="str">
        <f t="shared" si="2"/>
        <v>65</v>
      </c>
      <c r="F72" s="68"/>
      <c r="G72" s="68"/>
      <c r="H72" s="68"/>
      <c r="I72" s="68"/>
      <c r="J72" s="68"/>
      <c r="K72" s="68"/>
      <c r="L72" s="68"/>
      <c r="M72" s="68"/>
      <c r="N72" s="68"/>
      <c r="O72" s="68"/>
      <c r="P72" s="298"/>
    </row>
    <row r="73" spans="1:16" ht="18" x14ac:dyDescent="0.35">
      <c r="A73" s="305"/>
      <c r="B73" s="76"/>
      <c r="C73" s="68" t="str">
        <f t="shared" si="3"/>
        <v>6</v>
      </c>
      <c r="D73" s="68">
        <f t="shared" si="4"/>
        <v>5</v>
      </c>
      <c r="E73" s="84" t="str">
        <f t="shared" si="2"/>
        <v>65</v>
      </c>
      <c r="F73" s="76"/>
      <c r="G73" s="76"/>
      <c r="H73" s="76"/>
      <c r="I73" s="77"/>
      <c r="J73" s="207" t="str">
        <f>IFERROR(_xlfn.TEXTBEFORE(VLOOKUP(E78,BDD!$A$2:$N$567,7,FALSE)," ",28),VLOOKUP(E78,BDD!$A$2:$N$567,7,FALSE))</f>
        <v>Les règles et principes d’architecture sont édictés avec des modalités d’application adaptées aux enjeux et aux risques. Elles constituent un référentiel sur lequel s’appuient les équipes de projets,</v>
      </c>
      <c r="K73" s="77"/>
      <c r="L73" s="76"/>
      <c r="M73" s="76"/>
      <c r="N73" s="76"/>
      <c r="O73" s="76"/>
      <c r="P73" s="305"/>
    </row>
    <row r="74" spans="1:16" ht="18" x14ac:dyDescent="0.35">
      <c r="A74" s="298"/>
      <c r="B74" s="68"/>
      <c r="C74" s="68" t="str">
        <f t="shared" si="3"/>
        <v>6</v>
      </c>
      <c r="D74" s="68">
        <f t="shared" si="4"/>
        <v>5</v>
      </c>
      <c r="E74" s="84" t="str">
        <f t="shared" si="2"/>
        <v>65</v>
      </c>
      <c r="F74" s="68"/>
      <c r="G74" s="68"/>
      <c r="H74" s="68"/>
      <c r="I74" s="68"/>
      <c r="J74" s="207" t="str">
        <f>IFERROR(_xlfn.TEXTAFTER(VLOOKUP(E78,BDD!$A$2:$N$567,7,FALSE)," ",28),"")</f>
        <v xml:space="preserve">les responsables applicatifs et les métiers. </v>
      </c>
      <c r="K74" s="68"/>
      <c r="L74" s="68"/>
      <c r="M74" s="68"/>
      <c r="N74" s="68"/>
      <c r="O74" s="68"/>
      <c r="P74" s="298"/>
    </row>
    <row r="75" spans="1:16" x14ac:dyDescent="0.3">
      <c r="A75" s="298"/>
      <c r="B75" s="68"/>
      <c r="C75" s="68" t="str">
        <f t="shared" si="3"/>
        <v>6</v>
      </c>
      <c r="D75" s="68">
        <f t="shared" si="4"/>
        <v>5</v>
      </c>
      <c r="E75" s="84" t="str">
        <f t="shared" si="2"/>
        <v>65</v>
      </c>
      <c r="F75" s="68"/>
      <c r="G75" s="68"/>
      <c r="H75" s="68"/>
      <c r="I75" s="68"/>
      <c r="J75" s="78"/>
      <c r="K75" s="68"/>
      <c r="L75" s="68"/>
      <c r="M75" s="619" t="s">
        <v>92</v>
      </c>
      <c r="N75" s="619"/>
      <c r="O75" s="68"/>
      <c r="P75" s="298"/>
    </row>
    <row r="76" spans="1:16" ht="33" x14ac:dyDescent="0.3">
      <c r="A76" s="298"/>
      <c r="B76" s="68"/>
      <c r="C76" s="68" t="str">
        <f t="shared" si="3"/>
        <v>6</v>
      </c>
      <c r="D76" s="68">
        <f t="shared" si="4"/>
        <v>5</v>
      </c>
      <c r="E76" s="84" t="str">
        <f t="shared" si="2"/>
        <v>65</v>
      </c>
      <c r="F76" s="93"/>
      <c r="G76" s="80" t="s">
        <v>561</v>
      </c>
      <c r="H76" s="80" t="s">
        <v>82</v>
      </c>
      <c r="I76" s="80" t="s">
        <v>83</v>
      </c>
      <c r="J76" s="80" t="s">
        <v>84</v>
      </c>
      <c r="K76" s="80" t="s">
        <v>85</v>
      </c>
      <c r="L76" s="78"/>
      <c r="M76" s="81" t="s">
        <v>86</v>
      </c>
      <c r="N76" s="82" t="s">
        <v>87</v>
      </c>
      <c r="O76" s="68"/>
      <c r="P76" s="298"/>
    </row>
    <row r="77" spans="1:16" x14ac:dyDescent="0.3">
      <c r="A77" s="298"/>
      <c r="B77" s="68"/>
      <c r="C77" s="68" t="str">
        <f t="shared" si="3"/>
        <v>6</v>
      </c>
      <c r="D77" s="68">
        <f t="shared" si="4"/>
        <v>5</v>
      </c>
      <c r="E77" s="84" t="str">
        <f t="shared" si="2"/>
        <v>65</v>
      </c>
      <c r="F77" s="68"/>
      <c r="G77" s="83"/>
      <c r="H77" s="83"/>
      <c r="I77" s="83"/>
      <c r="J77" s="68"/>
      <c r="K77" s="83"/>
      <c r="L77" s="68"/>
      <c r="M77" s="68"/>
      <c r="N77" s="68"/>
      <c r="O77" s="68"/>
      <c r="P77" s="298"/>
    </row>
    <row r="78" spans="1:16" ht="130.05000000000001" customHeight="1" x14ac:dyDescent="0.3">
      <c r="A78" s="298"/>
      <c r="B78" s="68"/>
      <c r="C78" s="68" t="str">
        <f t="shared" si="3"/>
        <v>6</v>
      </c>
      <c r="D78" s="68">
        <f t="shared" si="4"/>
        <v>5</v>
      </c>
      <c r="E78" s="84" t="str">
        <f t="shared" si="2"/>
        <v>651</v>
      </c>
      <c r="F78" s="66" t="s">
        <v>27</v>
      </c>
      <c r="G78" s="67" t="str">
        <f>IFERROR(IF(VLOOKUP($E78,BDD!$A$1:$S$567,MATCH(G$10,BDD!$A$1:$P$1,0),FALSE)=0,"",VLOOKUP($E78,BDD!$A$1:$S$567,MATCH(G$10,BDD!$A$1:$P$1,0),FALSE)),"")</f>
        <v>La DSI a documenté et actualisé un référentiel de politiques, principes, normes, standards techniques, procédures et règles de mise en œuvre et d’utilisation, associés à des services, tirant parti des innovations technologiques et tenant compte des contraintes du patrimoine SI existant.</v>
      </c>
      <c r="H78" s="85" t="str">
        <f>IF(VLOOKUP(E78,BDD!$A$1:$S$567,15,FALSE)=0,"Critère non évalué","")</f>
        <v>Critère non évalué</v>
      </c>
      <c r="I78" s="66" t="str">
        <f>IFERROR(IF(VLOOKUP($E78,BDD!$A$1:$S$567,MATCH(I$10,BDD!$A$1:$P$1,0),FALSE)=0,"",VLOOKUP($E78,BDD!$A$1:$S$567,MATCH(I$10,BDD!$A$1:$P$1,0),FALSE)),"")</f>
        <v>N1</v>
      </c>
      <c r="J78" s="86"/>
      <c r="K78" s="67" t="str">
        <f>IFERROR(IF(VLOOKUP($E78,BDD!$A$1:$S$567,MATCH(K$10,BDD!$A$1:$P$1,0),FALSE)=0,"",VLOOKUP($E78,BDD!$A$1:$S$567,MATCH(K$10,BDD!$A$1:$P$1,0),FALSE)),"")</f>
        <v>• Le référentiel est mis à jour (notamment lorsqu’il est incomplet ou pas applicable) au travers des projets et à partir de la veille technologique (définition du cadre d’application d’une nouvelle technologie, mise à jour liée à l’obsolescence d’une technologie).</v>
      </c>
      <c r="L78" s="68"/>
      <c r="M78" s="87"/>
      <c r="N78" s="87"/>
      <c r="O78" s="68"/>
      <c r="P78" s="298"/>
    </row>
    <row r="79" spans="1:16" ht="130.05000000000001" customHeight="1" x14ac:dyDescent="0.3">
      <c r="A79" s="298"/>
      <c r="B79" s="68"/>
      <c r="C79" s="68" t="str">
        <f t="shared" si="3"/>
        <v>6</v>
      </c>
      <c r="D79" s="68">
        <f t="shared" si="4"/>
        <v>5</v>
      </c>
      <c r="E79" s="84" t="str">
        <f t="shared" si="2"/>
        <v>652</v>
      </c>
      <c r="F79" s="94" t="s">
        <v>28</v>
      </c>
      <c r="G79" s="65" t="str">
        <f>IFERROR(IF(VLOOKUP($E79,BDD!$A$1:$S$567,MATCH(G$10,BDD!$A$1:$P$1,0),FALSE)=0,"",VLOOKUP($E79,BDD!$A$1:$S$567,MATCH(G$10,BDD!$A$1:$P$1,0),FALSE)),"")</f>
        <v>Des règles d’architecture permettent de favoriser le time-to-market et l’innovation tout en limitant les risques de perte de maîtrise du SI (sécurité, résilience, maintenabilité, conformité, etc.).</v>
      </c>
      <c r="H79" s="88" t="str">
        <f>IF(VLOOKUP(E79,BDD!$A$1:$S$567,15,FALSE)=0,"Critère non évalué","")</f>
        <v>Critère non évalué</v>
      </c>
      <c r="I79" s="64" t="str">
        <f>IFERROR(IF(VLOOKUP($E79,BDD!$A$1:$S$567,MATCH(I$10,BDD!$A$1:$P$1,0),FALSE)=0,"",VLOOKUP($E79,BDD!$A$1:$S$567,MATCH(I$10,BDD!$A$1:$P$1,0),FALSE)),"")</f>
        <v>N2</v>
      </c>
      <c r="J79" s="89"/>
      <c r="K79" s="65" t="str">
        <f>IFERROR(IF(VLOOKUP($E79,BDD!$A$1:$S$567,MATCH(K$10,BDD!$A$1:$P$1,0),FALSE)=0,"",VLOOKUP($E79,BDD!$A$1:$S$567,MATCH(K$10,BDD!$A$1:$P$1,0),FALSE)),"")</f>
        <v>• Les règles d'architecture ne doivent pas être ignorées et conduire à du Shadow IT au prétexte de l'agilité. Un socle minimal de règles d'architecture est défini pour ce type de contexte.</v>
      </c>
      <c r="L79" s="68"/>
      <c r="M79" s="90"/>
      <c r="N79" s="90"/>
      <c r="O79" s="68"/>
      <c r="P79" s="298"/>
    </row>
    <row r="80" spans="1:16" ht="130.05000000000001" customHeight="1" x14ac:dyDescent="0.3">
      <c r="A80" s="298"/>
      <c r="B80" s="68"/>
      <c r="C80" s="68" t="str">
        <f t="shared" si="3"/>
        <v>6</v>
      </c>
      <c r="D80" s="68">
        <f t="shared" si="4"/>
        <v>5</v>
      </c>
      <c r="E80" s="84" t="str">
        <f t="shared" si="2"/>
        <v>653</v>
      </c>
      <c r="F80" s="66" t="s">
        <v>30</v>
      </c>
      <c r="G80" s="67" t="str">
        <f>IFERROR(IF(VLOOKUP($E80,BDD!$A$1:$S$567,MATCH(G$10,BDD!$A$1:$P$1,0),FALSE)=0,"",VLOOKUP($E80,BDD!$A$1:$S$567,MATCH(G$10,BDD!$A$1:$P$1,0),FALSE)),"")</f>
        <v>Les services préalablement développés qui ont été identifiés comme étant réutilisables sont dûment répertoriés afin que les nouveaux projets puissent facilement les intégrer dans leurs développements.</v>
      </c>
      <c r="H80" s="85" t="str">
        <f>IF(VLOOKUP(E80,BDD!$A$1:$S$567,15,FALSE)=0,"Critère non évalué","")</f>
        <v>Critère non évalué</v>
      </c>
      <c r="I80" s="66" t="str">
        <f>IFERROR(IF(VLOOKUP($E80,BDD!$A$1:$S$567,MATCH(I$10,BDD!$A$1:$P$1,0),FALSE)=0,"",VLOOKUP($E80,BDD!$A$1:$S$567,MATCH(I$10,BDD!$A$1:$P$1,0),FALSE)),"")</f>
        <v>N4</v>
      </c>
      <c r="J80" s="86"/>
      <c r="K80" s="67" t="str">
        <f>IFERROR(IF(VLOOKUP($E80,BDD!$A$1:$S$567,MATCH(K$10,BDD!$A$1:$P$1,0),FALSE)=0,"",VLOOKUP($E80,BDD!$A$1:$S$567,MATCH(K$10,BDD!$A$1:$P$1,0),FALSE)),"")</f>
        <v>• Une bonne pratique consiste à créer et maintenir un dictionnaire des services réutilisables et à mettre en place une gouvernance des services permettant de déterminer dès leur conception les exigences de leur réutilisabilité.</v>
      </c>
      <c r="L80" s="68"/>
      <c r="M80" s="87"/>
      <c r="N80" s="87"/>
      <c r="O80" s="68"/>
      <c r="P80" s="298"/>
    </row>
    <row r="81" spans="1:16" ht="130.05000000000001" customHeight="1" x14ac:dyDescent="0.3">
      <c r="A81" s="298"/>
      <c r="B81" s="68"/>
      <c r="C81" s="68" t="str">
        <f t="shared" si="3"/>
        <v>6</v>
      </c>
      <c r="D81" s="68">
        <f t="shared" si="4"/>
        <v>5</v>
      </c>
      <c r="E81" s="84" t="str">
        <f t="shared" si="2"/>
        <v>654</v>
      </c>
      <c r="F81" s="64" t="s">
        <v>32</v>
      </c>
      <c r="G81" s="65" t="str">
        <f>IFERROR(IF(VLOOKUP($E81,BDD!$A$1:$S$567,MATCH(G$10,BDD!$A$1:$P$1,0),FALSE)=0,"",VLOOKUP($E81,BDD!$A$1:$S$567,MATCH(G$10,BDD!$A$1:$P$1,0),FALSE)),"")</f>
        <v>Ce référentiel est connu, accepté et appliqué par l'ensemble des parties prenantes (les différentes composantes de la DSI et les métiers impliqués dans les projets).</v>
      </c>
      <c r="H81" s="88" t="str">
        <f>IF(VLOOKUP(E81,BDD!$A$1:$S$567,15,FALSE)=0,"Critère non évalué","")</f>
        <v>Critère non évalué</v>
      </c>
      <c r="I81" s="64" t="str">
        <f>IFERROR(IF(VLOOKUP($E81,BDD!$A$1:$S$567,MATCH(I$10,BDD!$A$1:$P$1,0),FALSE)=0,"",VLOOKUP($E81,BDD!$A$1:$S$567,MATCH(I$10,BDD!$A$1:$P$1,0),FALSE)),"")</f>
        <v>N2</v>
      </c>
      <c r="J81" s="91"/>
      <c r="K81" s="65" t="str">
        <f>IFERROR(IF(VLOOKUP($E81,BDD!$A$1:$S$567,MATCH(K$10,BDD!$A$1:$P$1,0),FALSE)=0,"",VLOOKUP($E81,BDD!$A$1:$S$567,MATCH(K$10,BDD!$A$1:$P$1,0),FALSE)),"")</f>
        <v>• Le référentiel doit être maintenu à jour et accessible facilement (Intranet + moteur de recherche) par toutes les parties prenantes des projets.</v>
      </c>
      <c r="L81" s="68"/>
      <c r="M81" s="90"/>
      <c r="N81" s="90"/>
      <c r="O81" s="68"/>
      <c r="P81" s="298"/>
    </row>
    <row r="82" spans="1:16" ht="130.05000000000001" customHeight="1" x14ac:dyDescent="0.3">
      <c r="A82" s="298"/>
      <c r="B82" s="68"/>
      <c r="C82" s="68" t="str">
        <f t="shared" si="3"/>
        <v>6</v>
      </c>
      <c r="D82" s="68">
        <f t="shared" si="4"/>
        <v>5</v>
      </c>
      <c r="E82" s="84" t="str">
        <f t="shared" si="2"/>
        <v>655</v>
      </c>
      <c r="F82" s="66" t="s">
        <v>33</v>
      </c>
      <c r="G82" s="67" t="str">
        <f>IFERROR(IF(VLOOKUP($E82,BDD!$A$1:$S$567,MATCH(G$10,BDD!$A$1:$P$1,0),FALSE)=0,"",VLOOKUP($E82,BDD!$A$1:$S$567,MATCH(G$10,BDD!$A$1:$P$1,0),FALSE)),"")</f>
        <v>Ce référentiel est régulièrement mis à jour, et ses évolutions communiquées à l’ensemble des parties prenantes, y compris les impacts des évolutions sur le patrimoine SI.</v>
      </c>
      <c r="H82" s="85" t="str">
        <f>IF(VLOOKUP(E82,BDD!$A$1:$S$567,15,FALSE)=0,"Critère non évalué","")</f>
        <v>Critère non évalué</v>
      </c>
      <c r="I82" s="66" t="str">
        <f>IFERROR(IF(VLOOKUP($E82,BDD!$A$1:$S$567,MATCH(I$10,BDD!$A$1:$P$1,0),FALSE)=0,"",VLOOKUP($E82,BDD!$A$1:$S$567,MATCH(I$10,BDD!$A$1:$P$1,0),FALSE)),"")</f>
        <v>N3</v>
      </c>
      <c r="J82" s="86"/>
      <c r="K82" s="67" t="str">
        <f>IFERROR(IF(VLOOKUP($E82,BDD!$A$1:$S$567,MATCH(K$10,BDD!$A$1:$P$1,0),FALSE)=0,"",VLOOKUP($E82,BDD!$A$1:$S$567,MATCH(K$10,BDD!$A$1:$P$1,0),FALSE)),"")</f>
        <v>• Les évolutions du référentiel peuvent entraîner des impacts sur le SI existant. L’utilisation des cartographies (cf. bonne pratique 1) doit permettre de mesurer ces impacts et de cibler l’effort d’adaptation ou de migration du parc applicatif sur le futur standard.</v>
      </c>
      <c r="L82" s="68"/>
      <c r="M82" s="82"/>
      <c r="N82" s="82"/>
      <c r="O82" s="68"/>
      <c r="P82" s="298"/>
    </row>
    <row r="83" spans="1:16" ht="130.05000000000001" customHeight="1" x14ac:dyDescent="0.3">
      <c r="A83" s="298"/>
      <c r="B83" s="68"/>
      <c r="C83" s="68" t="str">
        <f t="shared" si="3"/>
        <v>6</v>
      </c>
      <c r="D83" s="68">
        <f t="shared" si="4"/>
        <v>5</v>
      </c>
      <c r="E83" s="84" t="str">
        <f>C83&amp;D83&amp;RIGHT(F83,1)</f>
        <v>656</v>
      </c>
      <c r="F83" s="64" t="s">
        <v>34</v>
      </c>
      <c r="G83" s="96" t="str">
        <f>IFERROR(IF(VLOOKUP($E83,BDD!$A$1:$S$567,MATCH(G$10,BDD!$A$1:$P$1,0),FALSE)=0,"",VLOOKUP($E83,BDD!$A$1:$S$567,MATCH(G$10,BDD!$A$1:$P$1,0),FALSE)),"")</f>
        <v>L’application et l’évolution du référentiel d’architecture sont supervisées et contrôlées par la DSI ou par l'autorité architecturale. La conformité au référentiel d’architecture est un indicateur du tableau de bord du SI.</v>
      </c>
      <c r="H83" s="210" t="str">
        <f>IF(VLOOKUP(E83,BDD!$A$1:$S$567,15,FALSE)=0,"Critère non évalué","")</f>
        <v>Critère non évalué</v>
      </c>
      <c r="I83" s="64" t="str">
        <f>IFERROR(IF(VLOOKUP($E83,BDD!$A$1:$S$567,MATCH(I$10,BDD!$A$1:$P$1,0),FALSE)=0,"",VLOOKUP($E83,BDD!$A$1:$S$567,MATCH(I$10,BDD!$A$1:$P$1,0),FALSE)),"")</f>
        <v>N4</v>
      </c>
      <c r="J83" s="95"/>
      <c r="K83" s="96" t="str">
        <f>IFERROR(IF(VLOOKUP($E83,BDD!$A$1:$S$567,MATCH(K$10,BDD!$A$1:$P$1,0),FALSE)=0,"",VLOOKUP($E83,BDD!$A$1:$S$567,MATCH(K$10,BDD!$A$1:$P$1,0),FALSE)),"")</f>
        <v xml:space="preserve">• Un processus régit l’évolution du référentiel et son application : description du cycle de vie, fonctionnement des instances de décision, livrables et procédures de contrôle qualité associés.
Idéalement, le processus de mise à jour du référentiel doit être défini et intégré à la gouvernance de l’architecture et des projets pour faciliter sa mise en œuvre. </v>
      </c>
      <c r="L83" s="68"/>
      <c r="M83" s="90"/>
      <c r="N83" s="90"/>
      <c r="O83" s="68"/>
      <c r="P83" s="298"/>
    </row>
    <row r="84" spans="1:16" ht="130.05000000000001" hidden="1" customHeight="1" x14ac:dyDescent="0.3">
      <c r="A84" s="298"/>
      <c r="B84" s="68"/>
      <c r="C84" s="68" t="str">
        <f t="shared" si="3"/>
        <v>6</v>
      </c>
      <c r="D84" s="68">
        <f t="shared" si="4"/>
        <v>5</v>
      </c>
      <c r="E84" s="84" t="str">
        <f>C84&amp;D84&amp;RIGHT(F84,1)</f>
        <v>657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298"/>
    </row>
    <row r="85" spans="1:16" x14ac:dyDescent="0.3">
      <c r="A85" s="298"/>
      <c r="B85" s="68"/>
      <c r="C85" s="68" t="str">
        <f t="shared" si="3"/>
        <v>6</v>
      </c>
      <c r="D85" s="68"/>
      <c r="E85" s="68"/>
      <c r="F85" s="68"/>
      <c r="G85" s="68"/>
      <c r="H85" s="68"/>
      <c r="I85" s="68"/>
      <c r="J85" s="68"/>
      <c r="K85" s="68"/>
      <c r="L85" s="68"/>
      <c r="M85" s="68"/>
      <c r="N85" s="68"/>
      <c r="O85" s="68"/>
      <c r="P85" s="298"/>
    </row>
    <row r="86" spans="1:16" x14ac:dyDescent="0.3">
      <c r="A86" s="298"/>
      <c r="B86" s="68"/>
      <c r="C86" s="68" t="str">
        <f t="shared" si="3"/>
        <v>6</v>
      </c>
      <c r="D86" s="68"/>
      <c r="E86" s="68"/>
      <c r="F86" s="68"/>
      <c r="G86" s="68"/>
      <c r="H86" s="68"/>
      <c r="I86" s="68"/>
      <c r="J86" s="68"/>
      <c r="K86" s="68"/>
      <c r="L86" s="68"/>
      <c r="M86" s="68"/>
      <c r="N86" s="68"/>
      <c r="O86" s="68"/>
      <c r="P86" s="298"/>
    </row>
    <row r="87" spans="1:16" ht="25.8" x14ac:dyDescent="0.5">
      <c r="A87" s="304"/>
      <c r="B87" s="74"/>
      <c r="C87" s="68" t="str">
        <f t="shared" si="3"/>
        <v>6</v>
      </c>
      <c r="D87" s="68">
        <f>IF(LEFT(F87,14)="Bonne pratique",D83+1,D83)</f>
        <v>6</v>
      </c>
      <c r="E87" s="84" t="str">
        <f t="shared" ref="E87:E100" si="5">C87&amp;D87&amp;RIGHT(F87,1)</f>
        <v>666</v>
      </c>
      <c r="F87" s="208" t="s">
        <v>556</v>
      </c>
      <c r="G87" s="75"/>
      <c r="H87" s="205"/>
      <c r="I87" s="73"/>
      <c r="J87" s="73" t="str">
        <f>VLOOKUP(E94,BDD!$A$2:$N$567,6,FALSE)</f>
        <v>Gouvernance et architecture</v>
      </c>
      <c r="K87" s="72"/>
      <c r="L87" s="75"/>
      <c r="M87" s="75"/>
      <c r="N87" s="75"/>
      <c r="O87" s="74"/>
      <c r="P87" s="304"/>
    </row>
    <row r="88" spans="1:16" x14ac:dyDescent="0.3">
      <c r="A88" s="298"/>
      <c r="B88" s="68"/>
      <c r="C88" s="68" t="str">
        <f t="shared" si="3"/>
        <v>6</v>
      </c>
      <c r="D88" s="68">
        <f t="shared" ref="D88:D100" si="6">IF(LEFT(F88,14)="Bonne pratique",D87+1,D87)</f>
        <v>6</v>
      </c>
      <c r="E88" s="84" t="str">
        <f t="shared" si="5"/>
        <v>66</v>
      </c>
      <c r="F88" s="68"/>
      <c r="G88" s="68"/>
      <c r="H88" s="68"/>
      <c r="I88" s="68"/>
      <c r="J88" s="68"/>
      <c r="K88" s="68"/>
      <c r="L88" s="68"/>
      <c r="M88" s="68"/>
      <c r="N88" s="68"/>
      <c r="O88" s="68"/>
      <c r="P88" s="298"/>
    </row>
    <row r="89" spans="1:16" ht="18" x14ac:dyDescent="0.35">
      <c r="A89" s="305"/>
      <c r="B89" s="76"/>
      <c r="C89" s="68" t="str">
        <f t="shared" si="3"/>
        <v>6</v>
      </c>
      <c r="D89" s="68">
        <f t="shared" si="6"/>
        <v>6</v>
      </c>
      <c r="E89" s="84" t="str">
        <f t="shared" si="5"/>
        <v>66</v>
      </c>
      <c r="F89" s="76"/>
      <c r="G89" s="76"/>
      <c r="H89" s="76"/>
      <c r="I89" s="77"/>
      <c r="J89" s="207" t="str">
        <f>IFERROR(_xlfn.TEXTBEFORE(VLOOKUP(E94,BDD!$A$2:$N$567,7,FALSE)," ",24),VLOOKUP(E94,BDD!$A$2:$N$567,7,FALSE))</f>
        <v>Une organisation est mise en place pour assurer l’application du cadre de référence et piloter son évolution afin de répondre aux besoins de l'organisation</v>
      </c>
      <c r="K89" s="77"/>
      <c r="L89" s="76"/>
      <c r="M89" s="76"/>
      <c r="N89" s="76"/>
      <c r="O89" s="76"/>
      <c r="P89" s="305"/>
    </row>
    <row r="90" spans="1:16" ht="18" x14ac:dyDescent="0.35">
      <c r="A90" s="298"/>
      <c r="B90" s="68"/>
      <c r="C90" s="68" t="str">
        <f t="shared" si="3"/>
        <v>6</v>
      </c>
      <c r="D90" s="68">
        <f t="shared" si="6"/>
        <v>6</v>
      </c>
      <c r="E90" s="84" t="str">
        <f t="shared" si="5"/>
        <v>66</v>
      </c>
      <c r="F90" s="68"/>
      <c r="G90" s="68"/>
      <c r="H90" s="68"/>
      <c r="I90" s="68"/>
      <c r="J90" s="207" t="str">
        <f>IFERROR(_xlfn.TEXTAFTER(VLOOKUP(E94,BDD!$A$2:$N$567,7,FALSE)," ",24),"")</f>
        <v>et de prendre en compte les évolutions technologiques et méthodologiques (nouvelles pratiques).</v>
      </c>
      <c r="K90" s="68"/>
      <c r="L90" s="68"/>
      <c r="M90" s="68"/>
      <c r="N90" s="68"/>
      <c r="O90" s="68"/>
      <c r="P90" s="298"/>
    </row>
    <row r="91" spans="1:16" x14ac:dyDescent="0.3">
      <c r="A91" s="298"/>
      <c r="B91" s="68"/>
      <c r="C91" s="68" t="str">
        <f t="shared" si="3"/>
        <v>6</v>
      </c>
      <c r="D91" s="68">
        <f t="shared" si="6"/>
        <v>6</v>
      </c>
      <c r="E91" s="84" t="str">
        <f t="shared" si="5"/>
        <v>66</v>
      </c>
      <c r="F91" s="68"/>
      <c r="G91" s="68"/>
      <c r="H91" s="68"/>
      <c r="I91" s="68"/>
      <c r="J91" s="78"/>
      <c r="K91" s="68"/>
      <c r="L91" s="68"/>
      <c r="M91" s="619" t="s">
        <v>92</v>
      </c>
      <c r="N91" s="619"/>
      <c r="O91" s="68"/>
      <c r="P91" s="298"/>
    </row>
    <row r="92" spans="1:16" ht="33" x14ac:dyDescent="0.3">
      <c r="A92" s="298"/>
      <c r="B92" s="68"/>
      <c r="C92" s="68" t="str">
        <f t="shared" si="3"/>
        <v>6</v>
      </c>
      <c r="D92" s="68">
        <f t="shared" si="6"/>
        <v>6</v>
      </c>
      <c r="E92" s="84" t="str">
        <f t="shared" si="5"/>
        <v>66</v>
      </c>
      <c r="F92" s="93"/>
      <c r="G92" s="80" t="s">
        <v>561</v>
      </c>
      <c r="H92" s="80" t="s">
        <v>82</v>
      </c>
      <c r="I92" s="80" t="s">
        <v>83</v>
      </c>
      <c r="J92" s="80" t="s">
        <v>84</v>
      </c>
      <c r="K92" s="80" t="s">
        <v>85</v>
      </c>
      <c r="L92" s="78"/>
      <c r="M92" s="81" t="s">
        <v>86</v>
      </c>
      <c r="N92" s="82" t="s">
        <v>87</v>
      </c>
      <c r="O92" s="68"/>
      <c r="P92" s="298"/>
    </row>
    <row r="93" spans="1:16" x14ac:dyDescent="0.3">
      <c r="A93" s="298"/>
      <c r="B93" s="68"/>
      <c r="C93" s="68" t="str">
        <f t="shared" si="3"/>
        <v>6</v>
      </c>
      <c r="D93" s="68">
        <f t="shared" si="6"/>
        <v>6</v>
      </c>
      <c r="E93" s="84" t="str">
        <f t="shared" si="5"/>
        <v>66</v>
      </c>
      <c r="F93" s="68"/>
      <c r="G93" s="83"/>
      <c r="H93" s="83"/>
      <c r="I93" s="83"/>
      <c r="J93" s="68"/>
      <c r="K93" s="83"/>
      <c r="L93" s="68"/>
      <c r="M93" s="68"/>
      <c r="N93" s="68"/>
      <c r="O93" s="68"/>
      <c r="P93" s="298"/>
    </row>
    <row r="94" spans="1:16" ht="130.05000000000001" customHeight="1" x14ac:dyDescent="0.3">
      <c r="A94" s="298"/>
      <c r="B94" s="68"/>
      <c r="C94" s="68" t="str">
        <f t="shared" si="3"/>
        <v>6</v>
      </c>
      <c r="D94" s="68">
        <f t="shared" si="6"/>
        <v>6</v>
      </c>
      <c r="E94" s="84" t="str">
        <f t="shared" si="5"/>
        <v>661</v>
      </c>
      <c r="F94" s="66" t="s">
        <v>27</v>
      </c>
      <c r="G94" s="67" t="str">
        <f>IFERROR(IF(VLOOKUP($E94,BDD!$A$1:$S$567,MATCH(G$10,BDD!$A$1:$P$1,0),FALSE)=0,"",VLOOKUP($E94,BDD!$A$1:$S$567,MATCH(G$10,BDD!$A$1:$P$1,0),FALSE)),"")</f>
        <v>La gouvernance du SI permet de contrôler l’application des règles et principes d'architecture à toutes les étapes du cycle de vie des solutions numériques. Elle s'appuie sur un ou plusieurs comités d'architecture (ou Design Authority) qui veillent à la bonne application des règles et principes d'architecture dans les évolutions du SI.</v>
      </c>
      <c r="H94" s="85" t="str">
        <f>IF(VLOOKUP(E94,BDD!$A$1:$S$567,15,FALSE)=0,"Critère non évalué","")</f>
        <v>Critère non évalué</v>
      </c>
      <c r="I94" s="66" t="str">
        <f>IFERROR(IF(VLOOKUP($E94,BDD!$A$1:$S$567,MATCH(I$10,BDD!$A$1:$P$1,0),FALSE)=0,"",VLOOKUP($E94,BDD!$A$1:$S$567,MATCH(I$10,BDD!$A$1:$P$1,0),FALSE)),"")</f>
        <v>N2</v>
      </c>
      <c r="J94" s="86"/>
      <c r="K94" s="67" t="str">
        <f>IFERROR(IF(VLOOKUP($E94,BDD!$A$1:$S$567,MATCH(K$10,BDD!$A$1:$P$1,0),FALSE)=0,"",VLOOKUP($E94,BDD!$A$1:$S$567,MATCH(K$10,BDD!$A$1:$P$1,0),FALSE)),"")</f>
        <v>• Ce contrôle s’effectue dès la définition de la solution (alignement avec le schéma d’urbanisme du SI), aux différentes étapes des projets de mise en place initiale (respect du cadre de référence), pendant la maintenance (gestion de l’obsolescence), et jusqu’au décommissionnement des solutions.
• Le suivi, aux différentes étapes du cycle de vie, permet également de valider ou d’infirmer le référentiel par l’expérience, et de le faire évoluer si nécessaire.</v>
      </c>
      <c r="L94" s="68"/>
      <c r="M94" s="87"/>
      <c r="N94" s="87"/>
      <c r="O94" s="68"/>
      <c r="P94" s="298"/>
    </row>
    <row r="95" spans="1:16" ht="133.80000000000001" customHeight="1" x14ac:dyDescent="0.3">
      <c r="A95" s="298"/>
      <c r="B95" s="68"/>
      <c r="C95" s="68" t="str">
        <f t="shared" si="3"/>
        <v>6</v>
      </c>
      <c r="D95" s="68">
        <f t="shared" si="6"/>
        <v>6</v>
      </c>
      <c r="E95" s="84" t="str">
        <f t="shared" si="5"/>
        <v>662</v>
      </c>
      <c r="F95" s="94" t="s">
        <v>28</v>
      </c>
      <c r="G95" s="65" t="str">
        <f>IFERROR(IF(VLOOKUP($E95,BDD!$A$1:$S$567,MATCH(G$10,BDD!$A$1:$P$1,0),FALSE)=0,"",VLOOKUP($E95,BDD!$A$1:$S$567,MATCH(G$10,BDD!$A$1:$P$1,0),FALSE)),"")</f>
        <v>Une organisation et une gouvernance ont été mises en place pour instruire et approuver les évolutions du référentiel d’architecture, en prenant notamment en compte les retours d’expérience et les nouveaux besoins de l'organisation ainsi que les évolutions technologiques et méthodologiques.</v>
      </c>
      <c r="H95" s="88" t="str">
        <f>IF(VLOOKUP(E95,BDD!$A$1:$S$567,15,FALSE)=0,"Critère non évalué","")</f>
        <v>Critère non évalué</v>
      </c>
      <c r="I95" s="64" t="str">
        <f>IFERROR(IF(VLOOKUP($E95,BDD!$A$1:$S$567,MATCH(I$10,BDD!$A$1:$P$1,0),FALSE)=0,"",VLOOKUP($E95,BDD!$A$1:$S$567,MATCH(I$10,BDD!$A$1:$P$1,0),FALSE)),"")</f>
        <v>N2</v>
      </c>
      <c r="J95" s="89"/>
      <c r="K95" s="65" t="str">
        <f>IFERROR(IF(VLOOKUP($E95,BDD!$A$1:$S$567,MATCH(K$10,BDD!$A$1:$P$1,0),FALSE)=0,"",VLOOKUP($E95,BDD!$A$1:$S$567,MATCH(K$10,BDD!$A$1:$P$1,0),FALSE)),"")</f>
        <v xml:space="preserve">• Les dispositifs de gouvernance et les moyens mobilisés varient selon la taille, la maturité et le mode de fonctionnement de chaque organisation.
• Il est indispensable de s’assurer que l’évolution du référentiel et son application correspondent à un optimum global transversal qui intègre de multiples facteurs : coût d’application du standard, support des fournisseurs sur les technologies utilisées (au moins pour les applications critiques), capacité à déployer et utiliser les prérequis techniques nécessaires aux projets, intérêt des avancées technologiques apportées par le nouveau standard…
• Les nouvelles pratiques (de type DevOps par exemple) doivent être prises en compte.  </v>
      </c>
      <c r="L95" s="68"/>
      <c r="M95" s="90"/>
      <c r="N95" s="90"/>
      <c r="O95" s="68"/>
      <c r="P95" s="298"/>
    </row>
    <row r="96" spans="1:16" ht="130.05000000000001" customHeight="1" x14ac:dyDescent="0.3">
      <c r="A96" s="298"/>
      <c r="B96" s="68"/>
      <c r="C96" s="68" t="str">
        <f t="shared" si="3"/>
        <v>6</v>
      </c>
      <c r="D96" s="68">
        <f t="shared" si="6"/>
        <v>6</v>
      </c>
      <c r="E96" s="84" t="str">
        <f t="shared" si="5"/>
        <v>663</v>
      </c>
      <c r="F96" s="66" t="s">
        <v>30</v>
      </c>
      <c r="G96" s="67" t="str">
        <f>IFERROR(IF(VLOOKUP($E96,BDD!$A$1:$S$567,MATCH(G$10,BDD!$A$1:$P$1,0),FALSE)=0,"",VLOOKUP($E96,BDD!$A$1:$S$567,MATCH(G$10,BDD!$A$1:$P$1,0),FALSE)),"")</f>
        <v>Des critères compréhensibles et acceptés par toutes les parties prenantes (métiers et IT) sont définis pour adapter le niveau d’accompagnement et de contrôle de chaque projet par l’architecture. </v>
      </c>
      <c r="H96" s="85" t="str">
        <f>IF(VLOOKUP(E96,BDD!$A$1:$S$567,15,FALSE)=0,"Critère non évalué","")</f>
        <v>Critère non évalué</v>
      </c>
      <c r="I96" s="66" t="str">
        <f>IFERROR(IF(VLOOKUP($E96,BDD!$A$1:$S$567,MATCH(I$10,BDD!$A$1:$P$1,0),FALSE)=0,"",VLOOKUP($E96,BDD!$A$1:$S$567,MATCH(I$10,BDD!$A$1:$P$1,0),FALSE)),"")</f>
        <v>N3</v>
      </c>
      <c r="J96" s="86"/>
      <c r="K96" s="67" t="str">
        <f>IFERROR(IF(VLOOKUP($E96,BDD!$A$1:$S$567,MATCH(K$10,BDD!$A$1:$P$1,0),FALSE)=0,"",VLOOKUP($E96,BDD!$A$1:$S$567,MATCH(K$10,BDD!$A$1:$P$1,0),FALSE)),"")</f>
        <v>• Les principes d’architecture doivent être formalisés à partir des objectifs métiers des projets. Ils sont suivis, au même titre que les objectifs métiers, pendant toute la durée du projet.</v>
      </c>
      <c r="L96" s="68"/>
      <c r="M96" s="87"/>
      <c r="N96" s="87"/>
      <c r="O96" s="68"/>
      <c r="P96" s="298"/>
    </row>
    <row r="97" spans="1:16" ht="130.05000000000001" customHeight="1" x14ac:dyDescent="0.3">
      <c r="A97" s="298"/>
      <c r="B97" s="68"/>
      <c r="C97" s="68" t="str">
        <f t="shared" si="3"/>
        <v>6</v>
      </c>
      <c r="D97" s="68">
        <f t="shared" si="6"/>
        <v>6</v>
      </c>
      <c r="E97" s="84" t="str">
        <f t="shared" si="5"/>
        <v>664</v>
      </c>
      <c r="F97" s="64" t="s">
        <v>32</v>
      </c>
      <c r="G97" s="65" t="str">
        <f>IFERROR(IF(VLOOKUP($E97,BDD!$A$1:$S$567,MATCH(G$10,BDD!$A$1:$P$1,0),FALSE)=0,"",VLOOKUP($E97,BDD!$A$1:$S$567,MATCH(G$10,BDD!$A$1:$P$1,0),FALSE)),"")</f>
        <v>Le processus de pilotage du portefeuille de projets contrôle l’application continue du cadre de référence de l’architecture. </v>
      </c>
      <c r="H97" s="88" t="str">
        <f>IF(VLOOKUP(E97,BDD!$A$1:$S$567,15,FALSE)=0,"Critère non évalué","")</f>
        <v>Critère non évalué</v>
      </c>
      <c r="I97" s="64" t="str">
        <f>IFERROR(IF(VLOOKUP($E97,BDD!$A$1:$S$567,MATCH(I$10,BDD!$A$1:$P$1,0),FALSE)=0,"",VLOOKUP($E97,BDD!$A$1:$S$567,MATCH(I$10,BDD!$A$1:$P$1,0),FALSE)),"")</f>
        <v>N4</v>
      </c>
      <c r="J97" s="91"/>
      <c r="K97" s="65" t="str">
        <f>IFERROR(IF(VLOOKUP($E97,BDD!$A$1:$S$567,MATCH(K$10,BDD!$A$1:$P$1,0),FALSE)=0,"",VLOOKUP($E97,BDD!$A$1:$S$567,MATCH(K$10,BDD!$A$1:$P$1,0),FALSE)),"")</f>
        <v>• Un indicateur d’alignement des projets avec le cadre de référence est défini et suivi au niveau du portefeuille de projets. Des objectifs associés sont définis et suivis (niveau minimum d’alignement des projets, niveau global d’alignement du SI à atteindre…).</v>
      </c>
      <c r="L97" s="68"/>
      <c r="M97" s="90"/>
      <c r="N97" s="90"/>
      <c r="O97" s="68"/>
      <c r="P97" s="298"/>
    </row>
    <row r="98" spans="1:16" ht="130.05000000000001" customHeight="1" x14ac:dyDescent="0.3">
      <c r="A98" s="298"/>
      <c r="B98" s="68"/>
      <c r="C98" s="68" t="str">
        <f t="shared" si="3"/>
        <v>6</v>
      </c>
      <c r="D98" s="68">
        <f t="shared" si="6"/>
        <v>6</v>
      </c>
      <c r="E98" s="84" t="str">
        <f t="shared" si="5"/>
        <v>665</v>
      </c>
      <c r="F98" s="66" t="s">
        <v>33</v>
      </c>
      <c r="G98" s="67" t="str">
        <f>IFERROR(IF(VLOOKUP($E98,BDD!$A$1:$S$567,MATCH(G$10,BDD!$A$1:$P$1,0),FALSE)=0,"",VLOOKUP($E98,BDD!$A$1:$S$567,MATCH(G$10,BDD!$A$1:$P$1,0),FALSE)),"")</f>
        <v>Une base de données de gestion de configuration (CMDB) permet l'identification de l’obsolescence des composants SI. </v>
      </c>
      <c r="H98" s="85" t="str">
        <f>IF(VLOOKUP(E98,BDD!$A$1:$S$567,15,FALSE)=0,"Critère non évalué","")</f>
        <v>Critère non évalué</v>
      </c>
      <c r="I98" s="66" t="str">
        <f>IFERROR(IF(VLOOKUP($E98,BDD!$A$1:$S$567,MATCH(I$10,BDD!$A$1:$P$1,0),FALSE)=0,"",VLOOKUP($E98,BDD!$A$1:$S$567,MATCH(I$10,BDD!$A$1:$P$1,0),FALSE)),"")</f>
        <v>N1</v>
      </c>
      <c r="J98" s="86"/>
      <c r="K98" s="67" t="str">
        <f>IFERROR(IF(VLOOKUP($E98,BDD!$A$1:$S$567,MATCH(K$10,BDD!$A$1:$P$1,0),FALSE)=0,"",VLOOKUP($E98,BDD!$A$1:$S$567,MATCH(K$10,BDD!$A$1:$P$1,0),FALSE)),"")</f>
        <v/>
      </c>
      <c r="L98" s="68"/>
      <c r="M98" s="82"/>
      <c r="N98" s="82"/>
      <c r="O98" s="68"/>
      <c r="P98" s="298"/>
    </row>
    <row r="99" spans="1:16" ht="130.05000000000001" customHeight="1" x14ac:dyDescent="0.3">
      <c r="A99" s="298"/>
      <c r="B99" s="68"/>
      <c r="C99" s="68" t="str">
        <f t="shared" si="3"/>
        <v>6</v>
      </c>
      <c r="D99" s="68">
        <f t="shared" si="6"/>
        <v>6</v>
      </c>
      <c r="E99" s="84" t="str">
        <f t="shared" si="5"/>
        <v>666</v>
      </c>
      <c r="F99" s="64" t="s">
        <v>34</v>
      </c>
      <c r="G99" s="65" t="str">
        <f>IFERROR(IF(VLOOKUP($E99,BDD!$A$1:$S$567,MATCH(G$10,BDD!$A$1:$P$1,0),FALSE)=0,"",VLOOKUP($E99,BDD!$A$1:$S$567,MATCH(G$10,BDD!$A$1:$P$1,0),FALSE)),"")</f>
        <v>Un processus de gestion de l’obsolescence du SI permet de s'assurer que tous les composants du SI respectent les règles de gestion associées définies par l'architecture. Il définit également les plans de remédiation à mettre en œuvre en cas d'écart.</v>
      </c>
      <c r="H99" s="88" t="str">
        <f>IF(VLOOKUP(E99,BDD!$A$1:$S$567,15,FALSE)=0,"Critère non évalué","")</f>
        <v>Critère non évalué</v>
      </c>
      <c r="I99" s="64" t="str">
        <f>IFERROR(IF(VLOOKUP($E99,BDD!$A$1:$S$567,MATCH(I$10,BDD!$A$1:$P$1,0),FALSE)=0,"",VLOOKUP($E99,BDD!$A$1:$S$567,MATCH(I$10,BDD!$A$1:$P$1,0),FALSE)),"")</f>
        <v>N2</v>
      </c>
      <c r="J99" s="91"/>
      <c r="K99" s="65" t="str">
        <f>IFERROR(IF(VLOOKUP($E99,BDD!$A$1:$S$567,MATCH(K$10,BDD!$A$1:$P$1,0),FALSE)=0,"",VLOOKUP($E99,BDD!$A$1:$S$567,MATCH(K$10,BDD!$A$1:$P$1,0),FALSE)),"")</f>
        <v xml:space="preserve">• La gestion de l’obsolescence est un enjeu important pour la pérennité et la maîtrise des coûts du SI, mais difficile à « vendre » aux métiers. 
• La mise en place d’un processus, d’une gouvernance et de moyens dédiés au sein de la DSI est souvent nécessaire pour garantir l’application du cadre de référence relatif à l’obsolescence. </v>
      </c>
      <c r="L99" s="68"/>
      <c r="M99" s="90"/>
      <c r="N99" s="90"/>
      <c r="O99" s="68"/>
      <c r="P99" s="298"/>
    </row>
    <row r="100" spans="1:16" ht="130.05000000000001" customHeight="1" x14ac:dyDescent="0.3">
      <c r="A100" s="298"/>
      <c r="B100" s="68"/>
      <c r="C100" s="68" t="str">
        <f t="shared" si="3"/>
        <v>6</v>
      </c>
      <c r="D100" s="68">
        <f t="shared" si="6"/>
        <v>6</v>
      </c>
      <c r="E100" s="84" t="str">
        <f t="shared" si="5"/>
        <v>667</v>
      </c>
      <c r="F100" s="66" t="s">
        <v>36</v>
      </c>
      <c r="G100" s="67" t="str">
        <f>IFERROR(IF(VLOOKUP($E100,BDD!$A$1:$S$567,MATCH(G$10,BDD!$A$1:$P$1,0),FALSE)=0,"",VLOOKUP($E100,BDD!$A$1:$S$567,MATCH(G$10,BDD!$A$1:$P$1,0),FALSE)),"")</f>
        <v>Le tableau de bord de pilotage du SI intègre des indicateurs relatifs à l’architecture du SI (mesure de l’alignement avec le cadre de référence et du niveau d’obsolescence notamment). Ces indicateurs sont revus par le management de la DSI et des plans d’action sont définis pour corriger les écarts.</v>
      </c>
      <c r="H100" s="85" t="str">
        <f>IF(VLOOKUP(E100,BDD!$A$1:$S$567,15,FALSE)=0,"Critère non évalué","")</f>
        <v>Critère non évalué</v>
      </c>
      <c r="I100" s="66" t="str">
        <f>IFERROR(IF(VLOOKUP($E100,BDD!$A$1:$S$567,MATCH(I$10,BDD!$A$1:$P$1,0),FALSE)=0,"",VLOOKUP($E100,BDD!$A$1:$S$567,MATCH(I$10,BDD!$A$1:$P$1,0),FALSE)),"")</f>
        <v>N4</v>
      </c>
      <c r="J100" s="86"/>
      <c r="K100" s="67" t="str">
        <f>IFERROR(IF(VLOOKUP($E100,BDD!$A$1:$S$567,MATCH(K$10,BDD!$A$1:$P$1,0),FALSE)=0,"",VLOOKUP($E100,BDD!$A$1:$S$567,MATCH(K$10,BDD!$A$1:$P$1,0),FALSE)),"")</f>
        <v>• Des objectifs d’alignement du SI avec le cadre de référence de l’architecture sont définis et suivis.</v>
      </c>
      <c r="L100" s="68"/>
      <c r="M100" s="82"/>
      <c r="N100" s="82"/>
      <c r="O100" s="68"/>
      <c r="P100" s="298"/>
    </row>
    <row r="101" spans="1:16" x14ac:dyDescent="0.3">
      <c r="A101" s="298"/>
      <c r="B101" s="68"/>
      <c r="C101" s="68" t="str">
        <f t="shared" si="3"/>
        <v>6</v>
      </c>
      <c r="D101" s="68"/>
      <c r="E101" s="68"/>
      <c r="F101" s="68"/>
      <c r="G101" s="68"/>
      <c r="H101" s="68"/>
      <c r="I101" s="68"/>
      <c r="J101" s="68"/>
      <c r="K101" s="68"/>
      <c r="L101" s="68"/>
      <c r="M101" s="68"/>
      <c r="N101" s="68"/>
      <c r="O101" s="68"/>
      <c r="P101" s="298"/>
    </row>
    <row r="102" spans="1:16" hidden="1" x14ac:dyDescent="0.3">
      <c r="A102" s="298"/>
      <c r="B102" s="68"/>
      <c r="C102" s="68" t="str">
        <f t="shared" si="3"/>
        <v>6</v>
      </c>
      <c r="D102" s="68"/>
      <c r="E102" s="68"/>
      <c r="F102" s="68"/>
      <c r="G102" s="68"/>
      <c r="H102" s="68"/>
      <c r="I102" s="68"/>
      <c r="J102" s="68"/>
      <c r="K102" s="68"/>
      <c r="L102" s="68"/>
      <c r="M102" s="68"/>
      <c r="N102" s="68"/>
      <c r="O102" s="68"/>
      <c r="P102" s="298"/>
    </row>
    <row r="103" spans="1:16" ht="25.8" hidden="1" x14ac:dyDescent="0.5">
      <c r="A103" s="304"/>
      <c r="B103" s="74"/>
      <c r="C103" s="68" t="str">
        <f t="shared" si="3"/>
        <v>6</v>
      </c>
      <c r="D103" s="68">
        <f>IF(LEFT(F103,14)="Bonne pratique",D99+1,D99)</f>
        <v>7</v>
      </c>
      <c r="E103" s="84" t="str">
        <f t="shared" ref="E103:E116" si="7">C103&amp;D103&amp;RIGHT(F103,1)</f>
        <v>677</v>
      </c>
      <c r="F103" s="208" t="s">
        <v>557</v>
      </c>
      <c r="G103" s="75"/>
      <c r="H103" s="205"/>
      <c r="I103" s="73"/>
      <c r="J103" s="73" t="e">
        <f>VLOOKUP(E110,BDD!$A$2:$N$567,6,FALSE)</f>
        <v>#N/A</v>
      </c>
      <c r="K103" s="72"/>
      <c r="L103" s="75"/>
      <c r="M103" s="75"/>
      <c r="N103" s="75"/>
      <c r="O103" s="74"/>
      <c r="P103" s="304"/>
    </row>
    <row r="104" spans="1:16" hidden="1" x14ac:dyDescent="0.3">
      <c r="A104" s="298"/>
      <c r="B104" s="68"/>
      <c r="C104" s="68" t="str">
        <f t="shared" si="3"/>
        <v>6</v>
      </c>
      <c r="D104" s="68">
        <f t="shared" ref="D104:D116" si="8">IF(LEFT(F104,14)="Bonne pratique",D103+1,D103)</f>
        <v>7</v>
      </c>
      <c r="E104" s="84" t="str">
        <f t="shared" si="7"/>
        <v>67</v>
      </c>
      <c r="F104" s="68"/>
      <c r="G104" s="68"/>
      <c r="H104" s="68"/>
      <c r="I104" s="68"/>
      <c r="J104" s="68"/>
      <c r="K104" s="68"/>
      <c r="L104" s="68"/>
      <c r="M104" s="68"/>
      <c r="N104" s="68"/>
      <c r="O104" s="68"/>
      <c r="P104" s="298"/>
    </row>
    <row r="105" spans="1:16" ht="18" hidden="1" x14ac:dyDescent="0.35">
      <c r="A105" s="305"/>
      <c r="B105" s="76"/>
      <c r="C105" s="68" t="str">
        <f t="shared" si="3"/>
        <v>6</v>
      </c>
      <c r="D105" s="68">
        <f t="shared" si="8"/>
        <v>7</v>
      </c>
      <c r="E105" s="84" t="str">
        <f t="shared" si="7"/>
        <v>67</v>
      </c>
      <c r="F105" s="76"/>
      <c r="G105" s="76"/>
      <c r="H105" s="76"/>
      <c r="I105" s="77"/>
      <c r="J105" s="207" t="e">
        <f>IFERROR(_xlfn.TEXTBEFORE(VLOOKUP(E110,BDD!$A$2:$N$567,7,FALSE)," ",30),VLOOKUP(E110,BDD!$A$2:$N$567,7,FALSE))</f>
        <v>#N/A</v>
      </c>
      <c r="K105" s="77"/>
      <c r="L105" s="76"/>
      <c r="M105" s="76"/>
      <c r="N105" s="76"/>
      <c r="O105" s="76"/>
      <c r="P105" s="305"/>
    </row>
    <row r="106" spans="1:16" ht="18" hidden="1" x14ac:dyDescent="0.35">
      <c r="A106" s="298"/>
      <c r="B106" s="68"/>
      <c r="C106" s="68" t="str">
        <f t="shared" si="3"/>
        <v>6</v>
      </c>
      <c r="D106" s="68">
        <f t="shared" si="8"/>
        <v>7</v>
      </c>
      <c r="E106" s="84" t="str">
        <f t="shared" si="7"/>
        <v>67</v>
      </c>
      <c r="F106" s="68"/>
      <c r="G106" s="68"/>
      <c r="H106" s="68"/>
      <c r="I106" s="68"/>
      <c r="J106" s="207" t="str">
        <f>IFERROR(_xlfn.TEXTAFTER(VLOOKUP(E110,BDD!$A$2:$N$567,7,FALSE)," ",30),"")</f>
        <v/>
      </c>
      <c r="K106" s="68"/>
      <c r="L106" s="68"/>
      <c r="M106" s="68"/>
      <c r="N106" s="68"/>
      <c r="O106" s="68"/>
      <c r="P106" s="298"/>
    </row>
    <row r="107" spans="1:16" hidden="1" x14ac:dyDescent="0.3">
      <c r="A107" s="298"/>
      <c r="B107" s="68"/>
      <c r="C107" s="68" t="str">
        <f t="shared" si="3"/>
        <v>6</v>
      </c>
      <c r="D107" s="68">
        <f t="shared" si="8"/>
        <v>7</v>
      </c>
      <c r="E107" s="84" t="str">
        <f t="shared" si="7"/>
        <v>67</v>
      </c>
      <c r="F107" s="68"/>
      <c r="G107" s="68"/>
      <c r="H107" s="68"/>
      <c r="I107" s="68"/>
      <c r="J107" s="78"/>
      <c r="K107" s="68"/>
      <c r="L107" s="68"/>
      <c r="M107" s="619" t="s">
        <v>92</v>
      </c>
      <c r="N107" s="619"/>
      <c r="O107" s="68"/>
      <c r="P107" s="298"/>
    </row>
    <row r="108" spans="1:16" ht="33" hidden="1" x14ac:dyDescent="0.3">
      <c r="A108" s="298"/>
      <c r="B108" s="68"/>
      <c r="C108" s="68" t="str">
        <f t="shared" si="3"/>
        <v>6</v>
      </c>
      <c r="D108" s="68">
        <f t="shared" si="8"/>
        <v>7</v>
      </c>
      <c r="E108" s="84" t="str">
        <f t="shared" si="7"/>
        <v>67</v>
      </c>
      <c r="F108" s="93"/>
      <c r="G108" s="80" t="s">
        <v>561</v>
      </c>
      <c r="H108" s="80" t="s">
        <v>82</v>
      </c>
      <c r="I108" s="80" t="s">
        <v>83</v>
      </c>
      <c r="J108" s="80" t="s">
        <v>84</v>
      </c>
      <c r="K108" s="80" t="s">
        <v>85</v>
      </c>
      <c r="L108" s="78"/>
      <c r="M108" s="81" t="s">
        <v>86</v>
      </c>
      <c r="N108" s="82" t="s">
        <v>87</v>
      </c>
      <c r="O108" s="68"/>
      <c r="P108" s="298"/>
    </row>
    <row r="109" spans="1:16" hidden="1" x14ac:dyDescent="0.3">
      <c r="A109" s="298"/>
      <c r="B109" s="68"/>
      <c r="C109" s="68" t="str">
        <f t="shared" si="3"/>
        <v>6</v>
      </c>
      <c r="D109" s="68">
        <f t="shared" si="8"/>
        <v>7</v>
      </c>
      <c r="E109" s="84" t="str">
        <f t="shared" si="7"/>
        <v>67</v>
      </c>
      <c r="F109" s="68"/>
      <c r="G109" s="83"/>
      <c r="H109" s="83"/>
      <c r="I109" s="83"/>
      <c r="J109" s="68"/>
      <c r="K109" s="83"/>
      <c r="L109" s="68"/>
      <c r="M109" s="68"/>
      <c r="N109" s="68"/>
      <c r="O109" s="68"/>
      <c r="P109" s="298"/>
    </row>
    <row r="110" spans="1:16" ht="130.05000000000001" hidden="1" customHeight="1" x14ac:dyDescent="0.3">
      <c r="A110" s="298"/>
      <c r="B110" s="68"/>
      <c r="C110" s="68" t="str">
        <f t="shared" si="3"/>
        <v>6</v>
      </c>
      <c r="D110" s="68">
        <f t="shared" si="8"/>
        <v>7</v>
      </c>
      <c r="E110" s="84" t="str">
        <f t="shared" si="7"/>
        <v>671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298"/>
    </row>
    <row r="111" spans="1:16" ht="130.05000000000001" hidden="1" customHeight="1" x14ac:dyDescent="0.3">
      <c r="A111" s="298"/>
      <c r="B111" s="68"/>
      <c r="C111" s="68" t="str">
        <f t="shared" si="3"/>
        <v>6</v>
      </c>
      <c r="D111" s="68">
        <f t="shared" si="8"/>
        <v>7</v>
      </c>
      <c r="E111" s="84" t="str">
        <f t="shared" si="7"/>
        <v>672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298"/>
    </row>
    <row r="112" spans="1:16" ht="130.05000000000001" hidden="1" customHeight="1" x14ac:dyDescent="0.3">
      <c r="A112" s="298"/>
      <c r="B112" s="68"/>
      <c r="C112" s="68" t="str">
        <f t="shared" si="3"/>
        <v>6</v>
      </c>
      <c r="D112" s="68">
        <f t="shared" si="8"/>
        <v>7</v>
      </c>
      <c r="E112" s="84" t="str">
        <f t="shared" si="7"/>
        <v>673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298"/>
    </row>
    <row r="113" spans="1:16" ht="130.05000000000001" hidden="1" customHeight="1" x14ac:dyDescent="0.3">
      <c r="A113" s="298"/>
      <c r="B113" s="68"/>
      <c r="C113" s="68" t="str">
        <f t="shared" si="3"/>
        <v>6</v>
      </c>
      <c r="D113" s="68">
        <f t="shared" si="8"/>
        <v>7</v>
      </c>
      <c r="E113" s="84" t="str">
        <f t="shared" si="7"/>
        <v>674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298"/>
    </row>
    <row r="114" spans="1:16" ht="130.05000000000001" hidden="1" customHeight="1" x14ac:dyDescent="0.3">
      <c r="A114" s="298"/>
      <c r="B114" s="68"/>
      <c r="C114" s="68" t="str">
        <f t="shared" si="3"/>
        <v>6</v>
      </c>
      <c r="D114" s="68">
        <f t="shared" si="8"/>
        <v>7</v>
      </c>
      <c r="E114" s="84" t="str">
        <f t="shared" si="7"/>
        <v>675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298"/>
    </row>
    <row r="115" spans="1:16" ht="130.05000000000001" hidden="1" customHeight="1" x14ac:dyDescent="0.3">
      <c r="A115" s="298"/>
      <c r="B115" s="68"/>
      <c r="C115" s="68" t="str">
        <f t="shared" si="3"/>
        <v>6</v>
      </c>
      <c r="D115" s="68">
        <f t="shared" si="8"/>
        <v>7</v>
      </c>
      <c r="E115" s="84" t="str">
        <f t="shared" si="7"/>
        <v>676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298"/>
    </row>
    <row r="116" spans="1:16" ht="130.05000000000001" hidden="1" customHeight="1" x14ac:dyDescent="0.3">
      <c r="A116" s="298"/>
      <c r="B116" s="68"/>
      <c r="C116" s="68" t="str">
        <f t="shared" ref="C116" si="9">RIGHT($B$1,1)</f>
        <v>6</v>
      </c>
      <c r="D116" s="68">
        <f t="shared" si="8"/>
        <v>7</v>
      </c>
      <c r="E116" s="84" t="str">
        <f t="shared" si="7"/>
        <v>677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98"/>
    </row>
    <row r="117" spans="1:16" x14ac:dyDescent="0.3">
      <c r="A117" s="298"/>
      <c r="B117" s="68"/>
      <c r="C117" s="68"/>
      <c r="D117" s="68"/>
      <c r="E117" s="68"/>
      <c r="F117" s="68"/>
      <c r="G117" s="68"/>
      <c r="H117" s="68"/>
      <c r="I117" s="68"/>
      <c r="J117" s="68"/>
      <c r="K117" s="68"/>
      <c r="L117" s="68"/>
      <c r="M117" s="68"/>
      <c r="N117" s="68"/>
      <c r="O117" s="68"/>
      <c r="P117" s="298"/>
    </row>
    <row r="118" spans="1:16" x14ac:dyDescent="0.3">
      <c r="A118" s="298" t="s">
        <v>164</v>
      </c>
      <c r="B118" s="298"/>
      <c r="C118" s="298"/>
      <c r="D118" s="298"/>
      <c r="E118" s="298"/>
      <c r="F118" s="298"/>
      <c r="G118" s="298"/>
      <c r="H118" s="298"/>
      <c r="I118" s="298"/>
      <c r="J118" s="298"/>
      <c r="K118" s="298"/>
      <c r="L118" s="298"/>
      <c r="M118" s="298"/>
      <c r="N118" s="298"/>
      <c r="O118" s="298"/>
      <c r="P118" s="298" t="s">
        <v>164</v>
      </c>
    </row>
  </sheetData>
  <sheetProtection algorithmName="SHA-512" hashValue="uE1xal8vBsdfa3d/59EVJijSjLUAmkQKL5BNiEXYTpLLxKboV4RDCrbhQaGacPvx4ptta3d0QVtO0gm9yDu1bA==" saltValue="fooeIPKBDaKdhkVkgrGnHQ=="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71894778-114A-43C4-AB7A-A82C9933D7C1}"/>
    <hyperlink ref="F29" location="V2Quest!A1" display="(Cf. Vecteur 2 - Innovation)" xr:uid="{2BEF07C6-539B-49D2-9288-F107BB48D0F6}"/>
    <hyperlink ref="F45" location="V2Quest!A1" display="(Cf. Vecteur 2 - Innovation)" xr:uid="{54A2BA58-51B4-4D42-AB8E-9240177573B9}"/>
    <hyperlink ref="F61" location="V2Quest!A1" display="(Cf. Vecteur 2 - Innovation)" xr:uid="{43628C35-251B-485C-B531-74E4B7E59706}"/>
    <hyperlink ref="F79" location="V2Quest!A1" display="(Cf. Vecteur 2 - Innovation)" xr:uid="{86F0BA90-5EDB-4D8D-A64D-9C1C854EF26E}"/>
    <hyperlink ref="F95" location="V2Quest!A1" display="(Cf. Vecteur 2 - Innovation)" xr:uid="{EB8D45B4-D4E0-403F-8A59-2E591DBA0EF3}"/>
    <hyperlink ref="F111" location="V2Quest!A1" display="(Cf. Vecteur 2 - Innovation)" xr:uid="{A6F0A7B8-F730-4BBD-8E56-5D72E86D160F}"/>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5649" r:id="rId3" name="Option Button 1">
              <controlPr defaultSize="0" autoFill="0" autoLine="0" autoPict="0">
                <anchor moveWithCells="1">
                  <from>
                    <xdr:col>7</xdr:col>
                    <xdr:colOff>114300</xdr:colOff>
                    <xdr:row>12</xdr:row>
                    <xdr:rowOff>205740</xdr:rowOff>
                  </from>
                  <to>
                    <xdr:col>7</xdr:col>
                    <xdr:colOff>1950720</xdr:colOff>
                    <xdr:row>12</xdr:row>
                    <xdr:rowOff>457200</xdr:rowOff>
                  </to>
                </anchor>
              </controlPr>
            </control>
          </mc:Choice>
        </mc:AlternateContent>
        <mc:AlternateContent xmlns:mc="http://schemas.openxmlformats.org/markup-compatibility/2006">
          <mc:Choice Requires="x14">
            <control shapeId="155650" r:id="rId4" name="Option Button 2">
              <controlPr defaultSize="0" autoFill="0" autoLine="0" autoPict="0">
                <anchor moveWithCells="1">
                  <from>
                    <xdr:col>7</xdr:col>
                    <xdr:colOff>114300</xdr:colOff>
                    <xdr:row>12</xdr:row>
                    <xdr:rowOff>472440</xdr:rowOff>
                  </from>
                  <to>
                    <xdr:col>7</xdr:col>
                    <xdr:colOff>1950720</xdr:colOff>
                    <xdr:row>12</xdr:row>
                    <xdr:rowOff>746760</xdr:rowOff>
                  </to>
                </anchor>
              </controlPr>
            </control>
          </mc:Choice>
        </mc:AlternateContent>
        <mc:AlternateContent xmlns:mc="http://schemas.openxmlformats.org/markup-compatibility/2006">
          <mc:Choice Requires="x14">
            <control shapeId="155651" r:id="rId5" name="Option Button 3">
              <controlPr defaultSize="0" autoFill="0" autoLine="0" autoPict="0">
                <anchor moveWithCells="1">
                  <from>
                    <xdr:col>7</xdr:col>
                    <xdr:colOff>114300</xdr:colOff>
                    <xdr:row>12</xdr:row>
                    <xdr:rowOff>754380</xdr:rowOff>
                  </from>
                  <to>
                    <xdr:col>7</xdr:col>
                    <xdr:colOff>1950720</xdr:colOff>
                    <xdr:row>12</xdr:row>
                    <xdr:rowOff>1028700</xdr:rowOff>
                  </to>
                </anchor>
              </controlPr>
            </control>
          </mc:Choice>
        </mc:AlternateContent>
        <mc:AlternateContent xmlns:mc="http://schemas.openxmlformats.org/markup-compatibility/2006">
          <mc:Choice Requires="x14">
            <control shapeId="155652" r:id="rId6" name="Option Button 4">
              <controlPr defaultSize="0" autoFill="0" autoLine="0" autoPict="0">
                <anchor moveWithCells="1">
                  <from>
                    <xdr:col>7</xdr:col>
                    <xdr:colOff>114300</xdr:colOff>
                    <xdr:row>12</xdr:row>
                    <xdr:rowOff>1043940</xdr:rowOff>
                  </from>
                  <to>
                    <xdr:col>7</xdr:col>
                    <xdr:colOff>1950720</xdr:colOff>
                    <xdr:row>12</xdr:row>
                    <xdr:rowOff>1318260</xdr:rowOff>
                  </to>
                </anchor>
              </controlPr>
            </control>
          </mc:Choice>
        </mc:AlternateContent>
        <mc:AlternateContent xmlns:mc="http://schemas.openxmlformats.org/markup-compatibility/2006">
          <mc:Choice Requires="x14">
            <control shapeId="155653"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5655"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5656" r:id="rId9" name="Option Button 8">
              <controlPr defaultSize="0" autoFill="0" autoLine="0" autoPict="0" altText="Case d'option 47">
                <anchor moveWithCells="1">
                  <from>
                    <xdr:col>7</xdr:col>
                    <xdr:colOff>106680</xdr:colOff>
                    <xdr:row>11</xdr:row>
                    <xdr:rowOff>83820</xdr:rowOff>
                  </from>
                  <to>
                    <xdr:col>7</xdr:col>
                    <xdr:colOff>1501140</xdr:colOff>
                    <xdr:row>11</xdr:row>
                    <xdr:rowOff>320040</xdr:rowOff>
                  </to>
                </anchor>
              </controlPr>
            </control>
          </mc:Choice>
        </mc:AlternateContent>
        <mc:AlternateContent xmlns:mc="http://schemas.openxmlformats.org/markup-compatibility/2006">
          <mc:Choice Requires="x14">
            <control shapeId="155657" r:id="rId10" name="Option Button 9">
              <controlPr defaultSize="0" autoFill="0" autoLine="0" autoPict="0">
                <anchor moveWithCells="1">
                  <from>
                    <xdr:col>7</xdr:col>
                    <xdr:colOff>106680</xdr:colOff>
                    <xdr:row>11</xdr:row>
                    <xdr:rowOff>365760</xdr:rowOff>
                  </from>
                  <to>
                    <xdr:col>7</xdr:col>
                    <xdr:colOff>1958340</xdr:colOff>
                    <xdr:row>11</xdr:row>
                    <xdr:rowOff>609600</xdr:rowOff>
                  </to>
                </anchor>
              </controlPr>
            </control>
          </mc:Choice>
        </mc:AlternateContent>
        <mc:AlternateContent xmlns:mc="http://schemas.openxmlformats.org/markup-compatibility/2006">
          <mc:Choice Requires="x14">
            <control shapeId="155658" r:id="rId11" name="Option Button 10">
              <controlPr defaultSize="0" autoFill="0" autoLine="0" autoPict="0">
                <anchor moveWithCells="1">
                  <from>
                    <xdr:col>7</xdr:col>
                    <xdr:colOff>106680</xdr:colOff>
                    <xdr:row>11</xdr:row>
                    <xdr:rowOff>647700</xdr:rowOff>
                  </from>
                  <to>
                    <xdr:col>8</xdr:col>
                    <xdr:colOff>0</xdr:colOff>
                    <xdr:row>11</xdr:row>
                    <xdr:rowOff>868680</xdr:rowOff>
                  </to>
                </anchor>
              </controlPr>
            </control>
          </mc:Choice>
        </mc:AlternateContent>
        <mc:AlternateContent xmlns:mc="http://schemas.openxmlformats.org/markup-compatibility/2006">
          <mc:Choice Requires="x14">
            <control shapeId="155659" r:id="rId12" name="Option Button 11">
              <controlPr defaultSize="0" autoFill="0" autoLine="0" autoPict="0">
                <anchor moveWithCells="1">
                  <from>
                    <xdr:col>7</xdr:col>
                    <xdr:colOff>106680</xdr:colOff>
                    <xdr:row>11</xdr:row>
                    <xdr:rowOff>906780</xdr:rowOff>
                  </from>
                  <to>
                    <xdr:col>7</xdr:col>
                    <xdr:colOff>937260</xdr:colOff>
                    <xdr:row>11</xdr:row>
                    <xdr:rowOff>1135380</xdr:rowOff>
                  </to>
                </anchor>
              </controlPr>
            </control>
          </mc:Choice>
        </mc:AlternateContent>
        <mc:AlternateContent xmlns:mc="http://schemas.openxmlformats.org/markup-compatibility/2006">
          <mc:Choice Requires="x14">
            <control shapeId="155675" r:id="rId13" name="Option Button 27">
              <controlPr defaultSize="0" autoFill="0" autoLine="0" autoPict="0" altText="Case d'option 47">
                <anchor moveWithCells="1">
                  <from>
                    <xdr:col>7</xdr:col>
                    <xdr:colOff>106680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155676" r:id="rId14" name="Option Button 28">
              <controlPr defaultSize="0" autoFill="0" autoLine="0" autoPict="0">
                <anchor moveWithCells="1">
                  <from>
                    <xdr:col>7</xdr:col>
                    <xdr:colOff>106680</xdr:colOff>
                    <xdr:row>14</xdr:row>
                    <xdr:rowOff>304800</xdr:rowOff>
                  </from>
                  <to>
                    <xdr:col>7</xdr:col>
                    <xdr:colOff>1950720</xdr:colOff>
                    <xdr:row>14</xdr:row>
                    <xdr:rowOff>502920</xdr:rowOff>
                  </to>
                </anchor>
              </controlPr>
            </control>
          </mc:Choice>
        </mc:AlternateContent>
        <mc:AlternateContent xmlns:mc="http://schemas.openxmlformats.org/markup-compatibility/2006">
          <mc:Choice Requires="x14">
            <control shapeId="155677" r:id="rId15" name="Option Button 29">
              <controlPr defaultSize="0" autoFill="0" autoLine="0" autoPict="0">
                <anchor moveWithCells="1">
                  <from>
                    <xdr:col>7</xdr:col>
                    <xdr:colOff>106680</xdr:colOff>
                    <xdr:row>14</xdr:row>
                    <xdr:rowOff>579120</xdr:rowOff>
                  </from>
                  <to>
                    <xdr:col>7</xdr:col>
                    <xdr:colOff>1958340</xdr:colOff>
                    <xdr:row>14</xdr:row>
                    <xdr:rowOff>754380</xdr:rowOff>
                  </to>
                </anchor>
              </controlPr>
            </control>
          </mc:Choice>
        </mc:AlternateContent>
        <mc:AlternateContent xmlns:mc="http://schemas.openxmlformats.org/markup-compatibility/2006">
          <mc:Choice Requires="x14">
            <control shapeId="155678" r:id="rId16" name="Option Button 30">
              <controlPr defaultSize="0" autoFill="0" autoLine="0" autoPict="0">
                <anchor moveWithCells="1">
                  <from>
                    <xdr:col>7</xdr:col>
                    <xdr:colOff>106680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155679" r:id="rId17"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5680" r:id="rId18"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155681" r:id="rId19" name="Option Button 33">
              <controlPr defaultSize="0" autoFill="0" autoLine="0" autoPict="0">
                <anchor moveWithCells="1">
                  <from>
                    <xdr:col>7</xdr:col>
                    <xdr:colOff>106680</xdr:colOff>
                    <xdr:row>13</xdr:row>
                    <xdr:rowOff>304800</xdr:rowOff>
                  </from>
                  <to>
                    <xdr:col>7</xdr:col>
                    <xdr:colOff>1950720</xdr:colOff>
                    <xdr:row>13</xdr:row>
                    <xdr:rowOff>502920</xdr:rowOff>
                  </to>
                </anchor>
              </controlPr>
            </control>
          </mc:Choice>
        </mc:AlternateContent>
        <mc:AlternateContent xmlns:mc="http://schemas.openxmlformats.org/markup-compatibility/2006">
          <mc:Choice Requires="x14">
            <control shapeId="155682" r:id="rId20" name="Option Button 34">
              <controlPr defaultSize="0" autoFill="0" autoLine="0" autoPict="0">
                <anchor moveWithCells="1">
                  <from>
                    <xdr:col>7</xdr:col>
                    <xdr:colOff>106680</xdr:colOff>
                    <xdr:row>13</xdr:row>
                    <xdr:rowOff>579120</xdr:rowOff>
                  </from>
                  <to>
                    <xdr:col>7</xdr:col>
                    <xdr:colOff>1958340</xdr:colOff>
                    <xdr:row>13</xdr:row>
                    <xdr:rowOff>754380</xdr:rowOff>
                  </to>
                </anchor>
              </controlPr>
            </control>
          </mc:Choice>
        </mc:AlternateContent>
        <mc:AlternateContent xmlns:mc="http://schemas.openxmlformats.org/markup-compatibility/2006">
          <mc:Choice Requires="x14">
            <control shapeId="155683" r:id="rId21"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55684" r:id="rId22"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5685" r:id="rId23"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55686" r:id="rId24"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55687" r:id="rId25"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55688" r:id="rId26"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55689" r:id="rId27"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5706" r:id="rId28"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155707" r:id="rId29" name="Option Button 59">
              <controlPr defaultSize="0" autoFill="0" autoLine="0" autoPict="0">
                <anchor moveWithCells="1">
                  <from>
                    <xdr:col>7</xdr:col>
                    <xdr:colOff>106680</xdr:colOff>
                    <xdr:row>30</xdr:row>
                    <xdr:rowOff>304800</xdr:rowOff>
                  </from>
                  <to>
                    <xdr:col>7</xdr:col>
                    <xdr:colOff>1950720</xdr:colOff>
                    <xdr:row>30</xdr:row>
                    <xdr:rowOff>502920</xdr:rowOff>
                  </to>
                </anchor>
              </controlPr>
            </control>
          </mc:Choice>
        </mc:AlternateContent>
        <mc:AlternateContent xmlns:mc="http://schemas.openxmlformats.org/markup-compatibility/2006">
          <mc:Choice Requires="x14">
            <control shapeId="155708" r:id="rId30" name="Option Button 60">
              <controlPr defaultSize="0" autoFill="0" autoLine="0" autoPict="0">
                <anchor moveWithCells="1">
                  <from>
                    <xdr:col>7</xdr:col>
                    <xdr:colOff>106680</xdr:colOff>
                    <xdr:row>30</xdr:row>
                    <xdr:rowOff>579120</xdr:rowOff>
                  </from>
                  <to>
                    <xdr:col>7</xdr:col>
                    <xdr:colOff>1958340</xdr:colOff>
                    <xdr:row>30</xdr:row>
                    <xdr:rowOff>754380</xdr:rowOff>
                  </to>
                </anchor>
              </controlPr>
            </control>
          </mc:Choice>
        </mc:AlternateContent>
        <mc:AlternateContent xmlns:mc="http://schemas.openxmlformats.org/markup-compatibility/2006">
          <mc:Choice Requires="x14">
            <control shapeId="155709" r:id="rId31" name="Option Button 61">
              <controlPr defaultSize="0" autoFill="0" autoLine="0" autoPict="0">
                <anchor moveWithCells="1">
                  <from>
                    <xdr:col>7</xdr:col>
                    <xdr:colOff>106680</xdr:colOff>
                    <xdr:row>30</xdr:row>
                    <xdr:rowOff>822960</xdr:rowOff>
                  </from>
                  <to>
                    <xdr:col>7</xdr:col>
                    <xdr:colOff>937260</xdr:colOff>
                    <xdr:row>30</xdr:row>
                    <xdr:rowOff>1005840</xdr:rowOff>
                  </to>
                </anchor>
              </controlPr>
            </control>
          </mc:Choice>
        </mc:AlternateContent>
        <mc:AlternateContent xmlns:mc="http://schemas.openxmlformats.org/markup-compatibility/2006">
          <mc:Choice Requires="x14">
            <control shapeId="155710" r:id="rId32" name="Group Box 62">
              <controlPr defaultSize="0" autoFill="0" autoPict="0">
                <anchor moveWithCells="1">
                  <from>
                    <xdr:col>7</xdr:col>
                    <xdr:colOff>0</xdr:colOff>
                    <xdr:row>30</xdr:row>
                    <xdr:rowOff>0</xdr:rowOff>
                  </from>
                  <to>
                    <xdr:col>7</xdr:col>
                    <xdr:colOff>1958340</xdr:colOff>
                    <xdr:row>31</xdr:row>
                    <xdr:rowOff>0</xdr:rowOff>
                  </to>
                </anchor>
              </controlPr>
            </control>
          </mc:Choice>
        </mc:AlternateContent>
        <mc:AlternateContent xmlns:mc="http://schemas.openxmlformats.org/markup-compatibility/2006">
          <mc:Choice Requires="x14">
            <control shapeId="155711" r:id="rId33"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55712" r:id="rId34"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55713" r:id="rId35"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55714" r:id="rId36"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55715" r:id="rId37"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5716" r:id="rId38"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155717" r:id="rId39"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55718" r:id="rId40"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155719" r:id="rId41"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55720" r:id="rId42"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55721" r:id="rId43" name="Option Button 73">
              <controlPr defaultSize="0" autoFill="0" autoLine="0" autoPict="0">
                <anchor moveWithCells="1">
                  <from>
                    <xdr:col>7</xdr:col>
                    <xdr:colOff>114300</xdr:colOff>
                    <xdr:row>44</xdr:row>
                    <xdr:rowOff>167640</xdr:rowOff>
                  </from>
                  <to>
                    <xdr:col>7</xdr:col>
                    <xdr:colOff>1950720</xdr:colOff>
                    <xdr:row>44</xdr:row>
                    <xdr:rowOff>373380</xdr:rowOff>
                  </to>
                </anchor>
              </controlPr>
            </control>
          </mc:Choice>
        </mc:AlternateContent>
        <mc:AlternateContent xmlns:mc="http://schemas.openxmlformats.org/markup-compatibility/2006">
          <mc:Choice Requires="x14">
            <control shapeId="155722" r:id="rId44" name="Option Button 74">
              <controlPr defaultSize="0" autoFill="0" autoLine="0" autoPict="0">
                <anchor moveWithCells="1">
                  <from>
                    <xdr:col>7</xdr:col>
                    <xdr:colOff>114300</xdr:colOff>
                    <xdr:row>44</xdr:row>
                    <xdr:rowOff>457200</xdr:rowOff>
                  </from>
                  <to>
                    <xdr:col>7</xdr:col>
                    <xdr:colOff>1950720</xdr:colOff>
                    <xdr:row>44</xdr:row>
                    <xdr:rowOff>678180</xdr:rowOff>
                  </to>
                </anchor>
              </controlPr>
            </control>
          </mc:Choice>
        </mc:AlternateContent>
        <mc:AlternateContent xmlns:mc="http://schemas.openxmlformats.org/markup-compatibility/2006">
          <mc:Choice Requires="x14">
            <control shapeId="155723" r:id="rId45" name="Option Button 75">
              <controlPr defaultSize="0" autoFill="0" autoLine="0" autoPict="0">
                <anchor moveWithCells="1">
                  <from>
                    <xdr:col>7</xdr:col>
                    <xdr:colOff>114300</xdr:colOff>
                    <xdr:row>44</xdr:row>
                    <xdr:rowOff>746760</xdr:rowOff>
                  </from>
                  <to>
                    <xdr:col>7</xdr:col>
                    <xdr:colOff>1950720</xdr:colOff>
                    <xdr:row>44</xdr:row>
                    <xdr:rowOff>967740</xdr:rowOff>
                  </to>
                </anchor>
              </controlPr>
            </control>
          </mc:Choice>
        </mc:AlternateContent>
        <mc:AlternateContent xmlns:mc="http://schemas.openxmlformats.org/markup-compatibility/2006">
          <mc:Choice Requires="x14">
            <control shapeId="155724" r:id="rId46" name="Option Button 76">
              <controlPr defaultSize="0" autoFill="0" autoLine="0" autoPict="0">
                <anchor moveWithCells="1">
                  <from>
                    <xdr:col>7</xdr:col>
                    <xdr:colOff>114300</xdr:colOff>
                    <xdr:row>44</xdr:row>
                    <xdr:rowOff>1074420</xdr:rowOff>
                  </from>
                  <to>
                    <xdr:col>7</xdr:col>
                    <xdr:colOff>1950720</xdr:colOff>
                    <xdr:row>44</xdr:row>
                    <xdr:rowOff>1295400</xdr:rowOff>
                  </to>
                </anchor>
              </controlPr>
            </control>
          </mc:Choice>
        </mc:AlternateContent>
        <mc:AlternateContent xmlns:mc="http://schemas.openxmlformats.org/markup-compatibility/2006">
          <mc:Choice Requires="x14">
            <control shapeId="155725" r:id="rId47"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55726" r:id="rId48"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155727" r:id="rId49" name="Option Button 79">
              <controlPr defaultSize="0" autoFill="0" autoLine="0" autoPict="0">
                <anchor moveWithCells="1">
                  <from>
                    <xdr:col>7</xdr:col>
                    <xdr:colOff>106680</xdr:colOff>
                    <xdr:row>46</xdr:row>
                    <xdr:rowOff>281940</xdr:rowOff>
                  </from>
                  <to>
                    <xdr:col>7</xdr:col>
                    <xdr:colOff>1950720</xdr:colOff>
                    <xdr:row>46</xdr:row>
                    <xdr:rowOff>464820</xdr:rowOff>
                  </to>
                </anchor>
              </controlPr>
            </control>
          </mc:Choice>
        </mc:AlternateContent>
        <mc:AlternateContent xmlns:mc="http://schemas.openxmlformats.org/markup-compatibility/2006">
          <mc:Choice Requires="x14">
            <control shapeId="155728" r:id="rId50" name="Option Button 80">
              <controlPr defaultSize="0" autoFill="0" autoLine="0" autoPict="0">
                <anchor moveWithCells="1">
                  <from>
                    <xdr:col>7</xdr:col>
                    <xdr:colOff>106680</xdr:colOff>
                    <xdr:row>46</xdr:row>
                    <xdr:rowOff>533400</xdr:rowOff>
                  </from>
                  <to>
                    <xdr:col>7</xdr:col>
                    <xdr:colOff>1958340</xdr:colOff>
                    <xdr:row>46</xdr:row>
                    <xdr:rowOff>693420</xdr:rowOff>
                  </to>
                </anchor>
              </controlPr>
            </control>
          </mc:Choice>
        </mc:AlternateContent>
        <mc:AlternateContent xmlns:mc="http://schemas.openxmlformats.org/markup-compatibility/2006">
          <mc:Choice Requires="x14">
            <control shapeId="155729" r:id="rId51"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155730" r:id="rId52"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155731" r:id="rId53"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155732" r:id="rId54"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55733" r:id="rId55"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155734" r:id="rId56"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55735" r:id="rId57"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5736" r:id="rId58"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55737" r:id="rId59"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55738" r:id="rId60"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55739" r:id="rId61"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55740" r:id="rId62"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55741" r:id="rId63"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55742" r:id="rId64"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55743" r:id="rId65"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55744" r:id="rId66"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55745" r:id="rId67"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55752" r:id="rId68"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155753" r:id="rId69"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55754" r:id="rId70"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155755" r:id="rId71"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55756" r:id="rId72"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55757" r:id="rId73"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155758" r:id="rId74"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55759" r:id="rId75"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155760" r:id="rId76"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55761" r:id="rId77"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55767" r:id="rId78"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155768" r:id="rId79"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155769" r:id="rId80"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155770" r:id="rId81"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155771" r:id="rId82"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55772" r:id="rId83"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155773" r:id="rId84"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155774" r:id="rId85"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155775" r:id="rId86"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155776" r:id="rId87"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55777" r:id="rId88" name="Option Button 129">
              <controlPr defaultSize="0" autoFill="0" autoLine="0" autoPict="0">
                <anchor moveWithCells="1">
                  <from>
                    <xdr:col>7</xdr:col>
                    <xdr:colOff>114300</xdr:colOff>
                    <xdr:row>81</xdr:row>
                    <xdr:rowOff>144780</xdr:rowOff>
                  </from>
                  <to>
                    <xdr:col>7</xdr:col>
                    <xdr:colOff>1950720</xdr:colOff>
                    <xdr:row>81</xdr:row>
                    <xdr:rowOff>320040</xdr:rowOff>
                  </to>
                </anchor>
              </controlPr>
            </control>
          </mc:Choice>
        </mc:AlternateContent>
        <mc:AlternateContent xmlns:mc="http://schemas.openxmlformats.org/markup-compatibility/2006">
          <mc:Choice Requires="x14">
            <control shapeId="155778" r:id="rId89" name="Option Button 130">
              <controlPr defaultSize="0" autoFill="0" autoLine="0" autoPict="0">
                <anchor moveWithCells="1">
                  <from>
                    <xdr:col>7</xdr:col>
                    <xdr:colOff>114300</xdr:colOff>
                    <xdr:row>81</xdr:row>
                    <xdr:rowOff>396240</xdr:rowOff>
                  </from>
                  <to>
                    <xdr:col>7</xdr:col>
                    <xdr:colOff>1950720</xdr:colOff>
                    <xdr:row>81</xdr:row>
                    <xdr:rowOff>586740</xdr:rowOff>
                  </to>
                </anchor>
              </controlPr>
            </control>
          </mc:Choice>
        </mc:AlternateContent>
        <mc:AlternateContent xmlns:mc="http://schemas.openxmlformats.org/markup-compatibility/2006">
          <mc:Choice Requires="x14">
            <control shapeId="155779" r:id="rId90" name="Option Button 131">
              <controlPr defaultSize="0" autoFill="0" autoLine="0" autoPict="0">
                <anchor moveWithCells="1">
                  <from>
                    <xdr:col>7</xdr:col>
                    <xdr:colOff>114300</xdr:colOff>
                    <xdr:row>81</xdr:row>
                    <xdr:rowOff>640080</xdr:rowOff>
                  </from>
                  <to>
                    <xdr:col>7</xdr:col>
                    <xdr:colOff>1950720</xdr:colOff>
                    <xdr:row>81</xdr:row>
                    <xdr:rowOff>830580</xdr:rowOff>
                  </to>
                </anchor>
              </controlPr>
            </control>
          </mc:Choice>
        </mc:AlternateContent>
        <mc:AlternateContent xmlns:mc="http://schemas.openxmlformats.org/markup-compatibility/2006">
          <mc:Choice Requires="x14">
            <control shapeId="155780" r:id="rId91" name="Option Button 132">
              <controlPr defaultSize="0" autoFill="0" autoLine="0" autoPict="0">
                <anchor moveWithCells="1">
                  <from>
                    <xdr:col>7</xdr:col>
                    <xdr:colOff>114300</xdr:colOff>
                    <xdr:row>81</xdr:row>
                    <xdr:rowOff>922020</xdr:rowOff>
                  </from>
                  <to>
                    <xdr:col>7</xdr:col>
                    <xdr:colOff>1950720</xdr:colOff>
                    <xdr:row>81</xdr:row>
                    <xdr:rowOff>1112520</xdr:rowOff>
                  </to>
                </anchor>
              </controlPr>
            </control>
          </mc:Choice>
        </mc:AlternateContent>
        <mc:AlternateContent xmlns:mc="http://schemas.openxmlformats.org/markup-compatibility/2006">
          <mc:Choice Requires="x14">
            <control shapeId="155781" r:id="rId92"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155782" r:id="rId93" name="Option Button 134">
              <controlPr defaultSize="0" autoFill="0" autoLine="0" autoPict="0" altText="Case d'option 47">
                <anchor moveWithCells="1">
                  <from>
                    <xdr:col>7</xdr:col>
                    <xdr:colOff>106680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155783" r:id="rId94"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155784" r:id="rId95" name="Option Button 136">
              <controlPr defaultSize="0" autoFill="0" autoLine="0" autoPict="0">
                <anchor moveWithCells="1">
                  <from>
                    <xdr:col>7</xdr:col>
                    <xdr:colOff>106680</xdr:colOff>
                    <xdr:row>80</xdr:row>
                    <xdr:rowOff>579120</xdr:rowOff>
                  </from>
                  <to>
                    <xdr:col>7</xdr:col>
                    <xdr:colOff>1958340</xdr:colOff>
                    <xdr:row>80</xdr:row>
                    <xdr:rowOff>754380</xdr:rowOff>
                  </to>
                </anchor>
              </controlPr>
            </control>
          </mc:Choice>
        </mc:AlternateContent>
        <mc:AlternateContent xmlns:mc="http://schemas.openxmlformats.org/markup-compatibility/2006">
          <mc:Choice Requires="x14">
            <control shapeId="155785" r:id="rId96"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155786" r:id="rId97"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155787" r:id="rId98"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155788" r:id="rId99"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155789" r:id="rId100"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155790" r:id="rId101"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155791" r:id="rId102"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1" r:id="rId103"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155794" r:id="rId104"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55795" r:id="rId105"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55796" r:id="rId106"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55797" r:id="rId107"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5803" r:id="rId108"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155804" r:id="rId109" name="Option Button 156">
              <controlPr defaultSize="0" autoFill="0" autoLine="0" autoPict="0">
                <anchor moveWithCells="1">
                  <from>
                    <xdr:col>7</xdr:col>
                    <xdr:colOff>106680</xdr:colOff>
                    <xdr:row>47</xdr:row>
                    <xdr:rowOff>304800</xdr:rowOff>
                  </from>
                  <to>
                    <xdr:col>7</xdr:col>
                    <xdr:colOff>1950720</xdr:colOff>
                    <xdr:row>47</xdr:row>
                    <xdr:rowOff>502920</xdr:rowOff>
                  </to>
                </anchor>
              </controlPr>
            </control>
          </mc:Choice>
        </mc:AlternateContent>
        <mc:AlternateContent xmlns:mc="http://schemas.openxmlformats.org/markup-compatibility/2006">
          <mc:Choice Requires="x14">
            <control shapeId="155805" r:id="rId110" name="Option Button 157">
              <controlPr defaultSize="0" autoFill="0" autoLine="0" autoPict="0">
                <anchor moveWithCells="1">
                  <from>
                    <xdr:col>7</xdr:col>
                    <xdr:colOff>106680</xdr:colOff>
                    <xdr:row>47</xdr:row>
                    <xdr:rowOff>579120</xdr:rowOff>
                  </from>
                  <to>
                    <xdr:col>7</xdr:col>
                    <xdr:colOff>1958340</xdr:colOff>
                    <xdr:row>47</xdr:row>
                    <xdr:rowOff>754380</xdr:rowOff>
                  </to>
                </anchor>
              </controlPr>
            </control>
          </mc:Choice>
        </mc:AlternateContent>
        <mc:AlternateContent xmlns:mc="http://schemas.openxmlformats.org/markup-compatibility/2006">
          <mc:Choice Requires="x14">
            <control shapeId="155806" r:id="rId111"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12" r:id="rId112"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5818" r:id="rId113" name="Option Button 170">
              <controlPr defaultSize="0" autoFill="0" autoLine="0" autoPict="0" altText="Case d'option 47">
                <anchor moveWithCells="1">
                  <from>
                    <xdr:col>7</xdr:col>
                    <xdr:colOff>106680</xdr:colOff>
                    <xdr:row>82</xdr:row>
                    <xdr:rowOff>68580</xdr:rowOff>
                  </from>
                  <to>
                    <xdr:col>7</xdr:col>
                    <xdr:colOff>1501140</xdr:colOff>
                    <xdr:row>82</xdr:row>
                    <xdr:rowOff>259080</xdr:rowOff>
                  </to>
                </anchor>
              </controlPr>
            </control>
          </mc:Choice>
        </mc:AlternateContent>
        <mc:AlternateContent xmlns:mc="http://schemas.openxmlformats.org/markup-compatibility/2006">
          <mc:Choice Requires="x14">
            <control shapeId="155819" r:id="rId114" name="Option Button 171">
              <controlPr defaultSize="0" autoFill="0" autoLine="0" autoPict="0">
                <anchor moveWithCells="1">
                  <from>
                    <xdr:col>7</xdr:col>
                    <xdr:colOff>106680</xdr:colOff>
                    <xdr:row>82</xdr:row>
                    <xdr:rowOff>304800</xdr:rowOff>
                  </from>
                  <to>
                    <xdr:col>7</xdr:col>
                    <xdr:colOff>1950720</xdr:colOff>
                    <xdr:row>82</xdr:row>
                    <xdr:rowOff>502920</xdr:rowOff>
                  </to>
                </anchor>
              </controlPr>
            </control>
          </mc:Choice>
        </mc:AlternateContent>
        <mc:AlternateContent xmlns:mc="http://schemas.openxmlformats.org/markup-compatibility/2006">
          <mc:Choice Requires="x14">
            <control shapeId="155820" r:id="rId115" name="Option Button 172">
              <controlPr defaultSize="0" autoFill="0" autoLine="0" autoPict="0">
                <anchor moveWithCells="1">
                  <from>
                    <xdr:col>7</xdr:col>
                    <xdr:colOff>106680</xdr:colOff>
                    <xdr:row>82</xdr:row>
                    <xdr:rowOff>579120</xdr:rowOff>
                  </from>
                  <to>
                    <xdr:col>7</xdr:col>
                    <xdr:colOff>1958340</xdr:colOff>
                    <xdr:row>82</xdr:row>
                    <xdr:rowOff>754380</xdr:rowOff>
                  </to>
                </anchor>
              </controlPr>
            </control>
          </mc:Choice>
        </mc:AlternateContent>
        <mc:AlternateContent xmlns:mc="http://schemas.openxmlformats.org/markup-compatibility/2006">
          <mc:Choice Requires="x14">
            <control shapeId="155821" r:id="rId116" name="Option Button 173">
              <controlPr defaultSize="0" autoFill="0" autoLine="0" autoPict="0">
                <anchor moveWithCells="1">
                  <from>
                    <xdr:col>7</xdr:col>
                    <xdr:colOff>106680</xdr:colOff>
                    <xdr:row>82</xdr:row>
                    <xdr:rowOff>822960</xdr:rowOff>
                  </from>
                  <to>
                    <xdr:col>7</xdr:col>
                    <xdr:colOff>937260</xdr:colOff>
                    <xdr:row>82</xdr:row>
                    <xdr:rowOff>1005840</xdr:rowOff>
                  </to>
                </anchor>
              </controlPr>
            </control>
          </mc:Choice>
        </mc:AlternateContent>
        <mc:AlternateContent xmlns:mc="http://schemas.openxmlformats.org/markup-compatibility/2006">
          <mc:Choice Requires="x14">
            <control shapeId="13" r:id="rId117" name="Group Box 174">
              <controlPr defaultSize="0" autoFill="0" autoPict="0">
                <anchor moveWithCells="1">
                  <from>
                    <xdr:col>7</xdr:col>
                    <xdr:colOff>0</xdr:colOff>
                    <xdr:row>82</xdr:row>
                    <xdr:rowOff>0</xdr:rowOff>
                  </from>
                  <to>
                    <xdr:col>8</xdr:col>
                    <xdr:colOff>0</xdr:colOff>
                    <xdr:row>83</xdr:row>
                    <xdr:rowOff>0</xdr:rowOff>
                  </to>
                </anchor>
              </controlPr>
            </control>
          </mc:Choice>
        </mc:AlternateContent>
        <mc:AlternateContent xmlns:mc="http://schemas.openxmlformats.org/markup-compatibility/2006">
          <mc:Choice Requires="x14">
            <control shapeId="24" r:id="rId118" name="Option Button 175">
              <controlPr defaultSize="0" autoFill="0" autoLine="0" autoPict="0">
                <anchor moveWithCells="1">
                  <from>
                    <xdr:col>7</xdr:col>
                    <xdr:colOff>114300</xdr:colOff>
                    <xdr:row>94</xdr:row>
                    <xdr:rowOff>152400</xdr:rowOff>
                  </from>
                  <to>
                    <xdr:col>7</xdr:col>
                    <xdr:colOff>1950720</xdr:colOff>
                    <xdr:row>94</xdr:row>
                    <xdr:rowOff>327660</xdr:rowOff>
                  </to>
                </anchor>
              </controlPr>
            </control>
          </mc:Choice>
        </mc:AlternateContent>
        <mc:AlternateContent xmlns:mc="http://schemas.openxmlformats.org/markup-compatibility/2006">
          <mc:Choice Requires="x14">
            <control shapeId="155824" r:id="rId119" name="Option Button 176">
              <controlPr defaultSize="0" autoFill="0" autoLine="0" autoPict="0">
                <anchor moveWithCells="1">
                  <from>
                    <xdr:col>7</xdr:col>
                    <xdr:colOff>114300</xdr:colOff>
                    <xdr:row>94</xdr:row>
                    <xdr:rowOff>411480</xdr:rowOff>
                  </from>
                  <to>
                    <xdr:col>7</xdr:col>
                    <xdr:colOff>1950720</xdr:colOff>
                    <xdr:row>94</xdr:row>
                    <xdr:rowOff>601980</xdr:rowOff>
                  </to>
                </anchor>
              </controlPr>
            </control>
          </mc:Choice>
        </mc:AlternateContent>
        <mc:AlternateContent xmlns:mc="http://schemas.openxmlformats.org/markup-compatibility/2006">
          <mc:Choice Requires="x14">
            <control shapeId="155825" r:id="rId120" name="Option Button 177">
              <controlPr defaultSize="0" autoFill="0" autoLine="0" autoPict="0">
                <anchor moveWithCells="1">
                  <from>
                    <xdr:col>7</xdr:col>
                    <xdr:colOff>114300</xdr:colOff>
                    <xdr:row>94</xdr:row>
                    <xdr:rowOff>662940</xdr:rowOff>
                  </from>
                  <to>
                    <xdr:col>7</xdr:col>
                    <xdr:colOff>1950720</xdr:colOff>
                    <xdr:row>94</xdr:row>
                    <xdr:rowOff>853440</xdr:rowOff>
                  </to>
                </anchor>
              </controlPr>
            </control>
          </mc:Choice>
        </mc:AlternateContent>
        <mc:AlternateContent xmlns:mc="http://schemas.openxmlformats.org/markup-compatibility/2006">
          <mc:Choice Requires="x14">
            <control shapeId="155826" r:id="rId121" name="Option Button 178">
              <controlPr defaultSize="0" autoFill="0" autoLine="0" autoPict="0">
                <anchor moveWithCells="1">
                  <from>
                    <xdr:col>7</xdr:col>
                    <xdr:colOff>114300</xdr:colOff>
                    <xdr:row>94</xdr:row>
                    <xdr:rowOff>952500</xdr:rowOff>
                  </from>
                  <to>
                    <xdr:col>7</xdr:col>
                    <xdr:colOff>1950720</xdr:colOff>
                    <xdr:row>94</xdr:row>
                    <xdr:rowOff>1143000</xdr:rowOff>
                  </to>
                </anchor>
              </controlPr>
            </control>
          </mc:Choice>
        </mc:AlternateContent>
        <mc:AlternateContent xmlns:mc="http://schemas.openxmlformats.org/markup-compatibility/2006">
          <mc:Choice Requires="x14">
            <control shapeId="155827" r:id="rId122"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155828" r:id="rId123"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155829" r:id="rId124" name="Option Button 181">
              <controlPr defaultSize="0" autoFill="0" autoLine="0" autoPict="0">
                <anchor moveWithCells="1">
                  <from>
                    <xdr:col>7</xdr:col>
                    <xdr:colOff>106680</xdr:colOff>
                    <xdr:row>93</xdr:row>
                    <xdr:rowOff>304800</xdr:rowOff>
                  </from>
                  <to>
                    <xdr:col>7</xdr:col>
                    <xdr:colOff>1950720</xdr:colOff>
                    <xdr:row>93</xdr:row>
                    <xdr:rowOff>502920</xdr:rowOff>
                  </to>
                </anchor>
              </controlPr>
            </control>
          </mc:Choice>
        </mc:AlternateContent>
        <mc:AlternateContent xmlns:mc="http://schemas.openxmlformats.org/markup-compatibility/2006">
          <mc:Choice Requires="x14">
            <control shapeId="25" r:id="rId125"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155831" r:id="rId126"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155832" r:id="rId127"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155833" r:id="rId128" name="Option Button 185">
              <controlPr defaultSize="0" autoFill="0" autoLine="0" autoPict="0">
                <anchor moveWithCells="1">
                  <from>
                    <xdr:col>7</xdr:col>
                    <xdr:colOff>114300</xdr:colOff>
                    <xdr:row>97</xdr:row>
                    <xdr:rowOff>144780</xdr:rowOff>
                  </from>
                  <to>
                    <xdr:col>7</xdr:col>
                    <xdr:colOff>1950720</xdr:colOff>
                    <xdr:row>97</xdr:row>
                    <xdr:rowOff>320040</xdr:rowOff>
                  </to>
                </anchor>
              </controlPr>
            </control>
          </mc:Choice>
        </mc:AlternateContent>
        <mc:AlternateContent xmlns:mc="http://schemas.openxmlformats.org/markup-compatibility/2006">
          <mc:Choice Requires="x14">
            <control shapeId="155834" r:id="rId129" name="Option Button 186">
              <controlPr defaultSize="0" autoFill="0" autoLine="0" autoPict="0">
                <anchor moveWithCells="1">
                  <from>
                    <xdr:col>7</xdr:col>
                    <xdr:colOff>114300</xdr:colOff>
                    <xdr:row>97</xdr:row>
                    <xdr:rowOff>396240</xdr:rowOff>
                  </from>
                  <to>
                    <xdr:col>7</xdr:col>
                    <xdr:colOff>1950720</xdr:colOff>
                    <xdr:row>97</xdr:row>
                    <xdr:rowOff>586740</xdr:rowOff>
                  </to>
                </anchor>
              </controlPr>
            </control>
          </mc:Choice>
        </mc:AlternateContent>
        <mc:AlternateContent xmlns:mc="http://schemas.openxmlformats.org/markup-compatibility/2006">
          <mc:Choice Requires="x14">
            <control shapeId="155835" r:id="rId130" name="Option Button 187">
              <controlPr defaultSize="0" autoFill="0" autoLine="0" autoPict="0">
                <anchor moveWithCells="1">
                  <from>
                    <xdr:col>7</xdr:col>
                    <xdr:colOff>114300</xdr:colOff>
                    <xdr:row>97</xdr:row>
                    <xdr:rowOff>640080</xdr:rowOff>
                  </from>
                  <to>
                    <xdr:col>7</xdr:col>
                    <xdr:colOff>1950720</xdr:colOff>
                    <xdr:row>97</xdr:row>
                    <xdr:rowOff>830580</xdr:rowOff>
                  </to>
                </anchor>
              </controlPr>
            </control>
          </mc:Choice>
        </mc:AlternateContent>
        <mc:AlternateContent xmlns:mc="http://schemas.openxmlformats.org/markup-compatibility/2006">
          <mc:Choice Requires="x14">
            <control shapeId="26" r:id="rId131" name="Option Button 188">
              <controlPr defaultSize="0" autoFill="0" autoLine="0" autoPict="0">
                <anchor moveWithCells="1">
                  <from>
                    <xdr:col>7</xdr:col>
                    <xdr:colOff>114300</xdr:colOff>
                    <xdr:row>97</xdr:row>
                    <xdr:rowOff>922020</xdr:rowOff>
                  </from>
                  <to>
                    <xdr:col>7</xdr:col>
                    <xdr:colOff>1950720</xdr:colOff>
                    <xdr:row>97</xdr:row>
                    <xdr:rowOff>1112520</xdr:rowOff>
                  </to>
                </anchor>
              </controlPr>
            </control>
          </mc:Choice>
        </mc:AlternateContent>
        <mc:AlternateContent xmlns:mc="http://schemas.openxmlformats.org/markup-compatibility/2006">
          <mc:Choice Requires="x14">
            <control shapeId="46" r:id="rId132" name="Group Box 189">
              <controlPr defaultSize="0" autoFill="0" autoPict="0">
                <anchor moveWithCells="1">
                  <from>
                    <xdr:col>7</xdr:col>
                    <xdr:colOff>0</xdr:colOff>
                    <xdr:row>97</xdr:row>
                    <xdr:rowOff>0</xdr:rowOff>
                  </from>
                  <to>
                    <xdr:col>8</xdr:col>
                    <xdr:colOff>0</xdr:colOff>
                    <xdr:row>98</xdr:row>
                    <xdr:rowOff>0</xdr:rowOff>
                  </to>
                </anchor>
              </controlPr>
            </control>
          </mc:Choice>
        </mc:AlternateContent>
        <mc:AlternateContent xmlns:mc="http://schemas.openxmlformats.org/markup-compatibility/2006">
          <mc:Choice Requires="x14">
            <control shapeId="49" r:id="rId133" name="Option Button 190">
              <controlPr defaultSize="0" autoFill="0" autoLine="0" autoPict="0" altText="Case d'option 47">
                <anchor moveWithCells="1">
                  <from>
                    <xdr:col>7</xdr:col>
                    <xdr:colOff>106680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155839" r:id="rId134" name="Option Button 191">
              <controlPr defaultSize="0" autoFill="0" autoLine="0" autoPict="0">
                <anchor moveWithCells="1">
                  <from>
                    <xdr:col>7</xdr:col>
                    <xdr:colOff>106680</xdr:colOff>
                    <xdr:row>96</xdr:row>
                    <xdr:rowOff>304800</xdr:rowOff>
                  </from>
                  <to>
                    <xdr:col>7</xdr:col>
                    <xdr:colOff>1950720</xdr:colOff>
                    <xdr:row>96</xdr:row>
                    <xdr:rowOff>502920</xdr:rowOff>
                  </to>
                </anchor>
              </controlPr>
            </control>
          </mc:Choice>
        </mc:AlternateContent>
        <mc:AlternateContent xmlns:mc="http://schemas.openxmlformats.org/markup-compatibility/2006">
          <mc:Choice Requires="x14">
            <control shapeId="155840" r:id="rId135" name="Option Button 192">
              <controlPr defaultSize="0" autoFill="0" autoLine="0" autoPict="0">
                <anchor moveWithCells="1">
                  <from>
                    <xdr:col>7</xdr:col>
                    <xdr:colOff>106680</xdr:colOff>
                    <xdr:row>96</xdr:row>
                    <xdr:rowOff>579120</xdr:rowOff>
                  </from>
                  <to>
                    <xdr:col>7</xdr:col>
                    <xdr:colOff>1958340</xdr:colOff>
                    <xdr:row>96</xdr:row>
                    <xdr:rowOff>754380</xdr:rowOff>
                  </to>
                </anchor>
              </controlPr>
            </control>
          </mc:Choice>
        </mc:AlternateContent>
        <mc:AlternateContent xmlns:mc="http://schemas.openxmlformats.org/markup-compatibility/2006">
          <mc:Choice Requires="x14">
            <control shapeId="155841" r:id="rId136" name="Option Button 193">
              <controlPr defaultSize="0" autoFill="0" autoLine="0" autoPict="0">
                <anchor moveWithCells="1">
                  <from>
                    <xdr:col>7</xdr:col>
                    <xdr:colOff>106680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155842" r:id="rId137"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155843" r:id="rId138"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155904" r:id="rId139" name="Option Button 196">
              <controlPr defaultSize="0" autoFill="0" autoLine="0" autoPict="0">
                <anchor moveWithCells="1">
                  <from>
                    <xdr:col>7</xdr:col>
                    <xdr:colOff>106680</xdr:colOff>
                    <xdr:row>95</xdr:row>
                    <xdr:rowOff>304800</xdr:rowOff>
                  </from>
                  <to>
                    <xdr:col>7</xdr:col>
                    <xdr:colOff>1950720</xdr:colOff>
                    <xdr:row>95</xdr:row>
                    <xdr:rowOff>502920</xdr:rowOff>
                  </to>
                </anchor>
              </controlPr>
            </control>
          </mc:Choice>
        </mc:AlternateContent>
        <mc:AlternateContent xmlns:mc="http://schemas.openxmlformats.org/markup-compatibility/2006">
          <mc:Choice Requires="x14">
            <control shapeId="155845" r:id="rId140"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155846" r:id="rId141"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155847" r:id="rId142"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155848" r:id="rId143" name="Option Button 200">
              <controlPr defaultSize="0" autoFill="0" autoLine="0" autoPict="0">
                <anchor moveWithCells="1">
                  <from>
                    <xdr:col>7</xdr:col>
                    <xdr:colOff>114300</xdr:colOff>
                    <xdr:row>99</xdr:row>
                    <xdr:rowOff>144780</xdr:rowOff>
                  </from>
                  <to>
                    <xdr:col>7</xdr:col>
                    <xdr:colOff>1950720</xdr:colOff>
                    <xdr:row>99</xdr:row>
                    <xdr:rowOff>320040</xdr:rowOff>
                  </to>
                </anchor>
              </controlPr>
            </control>
          </mc:Choice>
        </mc:AlternateContent>
        <mc:AlternateContent xmlns:mc="http://schemas.openxmlformats.org/markup-compatibility/2006">
          <mc:Choice Requires="x14">
            <control shapeId="155849" r:id="rId144" name="Option Button 201">
              <controlPr defaultSize="0" autoFill="0" autoLine="0" autoPict="0">
                <anchor moveWithCells="1">
                  <from>
                    <xdr:col>7</xdr:col>
                    <xdr:colOff>114300</xdr:colOff>
                    <xdr:row>99</xdr:row>
                    <xdr:rowOff>396240</xdr:rowOff>
                  </from>
                  <to>
                    <xdr:col>7</xdr:col>
                    <xdr:colOff>1950720</xdr:colOff>
                    <xdr:row>99</xdr:row>
                    <xdr:rowOff>586740</xdr:rowOff>
                  </to>
                </anchor>
              </controlPr>
            </control>
          </mc:Choice>
        </mc:AlternateContent>
        <mc:AlternateContent xmlns:mc="http://schemas.openxmlformats.org/markup-compatibility/2006">
          <mc:Choice Requires="x14">
            <control shapeId="155905" r:id="rId145" name="Option Button 202">
              <controlPr defaultSize="0" autoFill="0" autoLine="0" autoPict="0">
                <anchor moveWithCells="1">
                  <from>
                    <xdr:col>7</xdr:col>
                    <xdr:colOff>114300</xdr:colOff>
                    <xdr:row>99</xdr:row>
                    <xdr:rowOff>640080</xdr:rowOff>
                  </from>
                  <to>
                    <xdr:col>7</xdr:col>
                    <xdr:colOff>1950720</xdr:colOff>
                    <xdr:row>99</xdr:row>
                    <xdr:rowOff>830580</xdr:rowOff>
                  </to>
                </anchor>
              </controlPr>
            </control>
          </mc:Choice>
        </mc:AlternateContent>
        <mc:AlternateContent xmlns:mc="http://schemas.openxmlformats.org/markup-compatibility/2006">
          <mc:Choice Requires="x14">
            <control shapeId="155906" r:id="rId146" name="Option Button 203">
              <controlPr defaultSize="0" autoFill="0" autoLine="0" autoPict="0">
                <anchor moveWithCells="1">
                  <from>
                    <xdr:col>7</xdr:col>
                    <xdr:colOff>114300</xdr:colOff>
                    <xdr:row>99</xdr:row>
                    <xdr:rowOff>922020</xdr:rowOff>
                  </from>
                  <to>
                    <xdr:col>7</xdr:col>
                    <xdr:colOff>1950720</xdr:colOff>
                    <xdr:row>99</xdr:row>
                    <xdr:rowOff>1112520</xdr:rowOff>
                  </to>
                </anchor>
              </controlPr>
            </control>
          </mc:Choice>
        </mc:AlternateContent>
        <mc:AlternateContent xmlns:mc="http://schemas.openxmlformats.org/markup-compatibility/2006">
          <mc:Choice Requires="x14">
            <control shapeId="155907" r:id="rId147" name="Group Box 204">
              <controlPr defaultSize="0" autoFill="0" autoPict="0">
                <anchor moveWithCells="1">
                  <from>
                    <xdr:col>7</xdr:col>
                    <xdr:colOff>0</xdr:colOff>
                    <xdr:row>99</xdr:row>
                    <xdr:rowOff>0</xdr:rowOff>
                  </from>
                  <to>
                    <xdr:col>8</xdr:col>
                    <xdr:colOff>0</xdr:colOff>
                    <xdr:row>100</xdr:row>
                    <xdr:rowOff>0</xdr:rowOff>
                  </to>
                </anchor>
              </controlPr>
            </control>
          </mc:Choice>
        </mc:AlternateContent>
        <mc:AlternateContent xmlns:mc="http://schemas.openxmlformats.org/markup-compatibility/2006">
          <mc:Choice Requires="x14">
            <control shapeId="155908" r:id="rId148" name="Option Button 205">
              <controlPr defaultSize="0" autoFill="0" autoLine="0" autoPict="0" altText="Case d'option 47">
                <anchor moveWithCells="1">
                  <from>
                    <xdr:col>7</xdr:col>
                    <xdr:colOff>106680</xdr:colOff>
                    <xdr:row>98</xdr:row>
                    <xdr:rowOff>68580</xdr:rowOff>
                  </from>
                  <to>
                    <xdr:col>7</xdr:col>
                    <xdr:colOff>1501140</xdr:colOff>
                    <xdr:row>98</xdr:row>
                    <xdr:rowOff>259080</xdr:rowOff>
                  </to>
                </anchor>
              </controlPr>
            </control>
          </mc:Choice>
        </mc:AlternateContent>
        <mc:AlternateContent xmlns:mc="http://schemas.openxmlformats.org/markup-compatibility/2006">
          <mc:Choice Requires="x14">
            <control shapeId="155854" r:id="rId149" name="Option Button 206">
              <controlPr defaultSize="0" autoFill="0" autoLine="0" autoPict="0">
                <anchor moveWithCells="1">
                  <from>
                    <xdr:col>7</xdr:col>
                    <xdr:colOff>106680</xdr:colOff>
                    <xdr:row>98</xdr:row>
                    <xdr:rowOff>304800</xdr:rowOff>
                  </from>
                  <to>
                    <xdr:col>7</xdr:col>
                    <xdr:colOff>1950720</xdr:colOff>
                    <xdr:row>98</xdr:row>
                    <xdr:rowOff>502920</xdr:rowOff>
                  </to>
                </anchor>
              </controlPr>
            </control>
          </mc:Choice>
        </mc:AlternateContent>
        <mc:AlternateContent xmlns:mc="http://schemas.openxmlformats.org/markup-compatibility/2006">
          <mc:Choice Requires="x14">
            <control shapeId="155855" r:id="rId150" name="Option Button 207">
              <controlPr defaultSize="0" autoFill="0" autoLine="0" autoPict="0">
                <anchor moveWithCells="1">
                  <from>
                    <xdr:col>7</xdr:col>
                    <xdr:colOff>106680</xdr:colOff>
                    <xdr:row>98</xdr:row>
                    <xdr:rowOff>579120</xdr:rowOff>
                  </from>
                  <to>
                    <xdr:col>7</xdr:col>
                    <xdr:colOff>1958340</xdr:colOff>
                    <xdr:row>98</xdr:row>
                    <xdr:rowOff>754380</xdr:rowOff>
                  </to>
                </anchor>
              </controlPr>
            </control>
          </mc:Choice>
        </mc:AlternateContent>
        <mc:AlternateContent xmlns:mc="http://schemas.openxmlformats.org/markup-compatibility/2006">
          <mc:Choice Requires="x14">
            <control shapeId="155856" r:id="rId151" name="Option Button 208">
              <controlPr defaultSize="0" autoFill="0" autoLine="0" autoPict="0">
                <anchor moveWithCells="1">
                  <from>
                    <xdr:col>7</xdr:col>
                    <xdr:colOff>106680</xdr:colOff>
                    <xdr:row>98</xdr:row>
                    <xdr:rowOff>822960</xdr:rowOff>
                  </from>
                  <to>
                    <xdr:col>7</xdr:col>
                    <xdr:colOff>937260</xdr:colOff>
                    <xdr:row>98</xdr:row>
                    <xdr:rowOff>1005840</xdr:rowOff>
                  </to>
                </anchor>
              </controlPr>
            </control>
          </mc:Choice>
        </mc:AlternateContent>
        <mc:AlternateContent xmlns:mc="http://schemas.openxmlformats.org/markup-compatibility/2006">
          <mc:Choice Requires="x14">
            <control shapeId="155857" r:id="rId152" name="Group Box 209">
              <controlPr defaultSize="0" autoFill="0" autoPict="0">
                <anchor moveWithCells="1">
                  <from>
                    <xdr:col>7</xdr:col>
                    <xdr:colOff>0</xdr:colOff>
                    <xdr:row>98</xdr:row>
                    <xdr:rowOff>0</xdr:rowOff>
                  </from>
                  <to>
                    <xdr:col>8</xdr:col>
                    <xdr:colOff>0</xdr:colOff>
                    <xdr:row>99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9A570-373E-41C3-885E-65FFB70D8C99}">
  <sheetPr codeName="Feuil25">
    <tabColor rgb="FF203B7D"/>
  </sheetPr>
  <dimension ref="A1:AI80"/>
  <sheetViews>
    <sheetView showGridLines="0" showRowColHeaders="0" zoomScale="53" zoomScaleNormal="53" workbookViewId="0">
      <selection activeCell="AY9" sqref="AY9"/>
    </sheetView>
  </sheetViews>
  <sheetFormatPr baseColWidth="10" defaultColWidth="8.88671875" defaultRowHeight="14.4" x14ac:dyDescent="0.3"/>
  <cols>
    <col min="1" max="2" width="5.77734375" style="31" customWidth="1"/>
    <col min="3" max="5" width="5.77734375" style="31" hidden="1" customWidth="1"/>
    <col min="6" max="6" width="25.554687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23"/>
      <c r="B1" s="222" t="s">
        <v>563</v>
      </c>
      <c r="C1" s="223"/>
      <c r="D1" s="223"/>
      <c r="E1" s="99"/>
      <c r="F1" s="99"/>
      <c r="G1" s="99"/>
      <c r="H1" s="99"/>
      <c r="I1" s="99"/>
      <c r="J1" s="225"/>
      <c r="K1" s="226"/>
      <c r="L1" s="99"/>
      <c r="M1" s="99"/>
      <c r="N1" s="310"/>
      <c r="O1" s="310"/>
      <c r="P1" s="310"/>
      <c r="Q1" s="310" t="str">
        <f>VLOOKUP($E$27,BDD!$A$2:$N$567,3,FALSE)</f>
        <v>Architecture</v>
      </c>
      <c r="R1" s="298"/>
      <c r="S1" s="101"/>
      <c r="T1" s="101"/>
      <c r="U1" s="101"/>
      <c r="V1" s="101"/>
      <c r="W1" s="101"/>
      <c r="X1" s="101"/>
      <c r="Y1" s="101"/>
      <c r="Z1" s="101"/>
      <c r="AA1" s="101"/>
      <c r="AB1" s="101"/>
      <c r="AC1" s="101"/>
      <c r="AD1" s="101"/>
      <c r="AE1" s="101"/>
      <c r="AF1" s="101"/>
      <c r="AG1" s="101"/>
      <c r="AH1" s="101"/>
      <c r="AI1" s="30"/>
    </row>
    <row r="2" spans="1:35" ht="45" customHeight="1" x14ac:dyDescent="0.3">
      <c r="A2" s="98"/>
      <c r="B2" s="98"/>
      <c r="C2" s="98"/>
      <c r="D2" s="98"/>
      <c r="E2" s="98"/>
      <c r="F2" s="98"/>
      <c r="G2" s="298"/>
      <c r="H2" s="98"/>
      <c r="I2" s="98"/>
      <c r="J2" s="98"/>
      <c r="K2" s="98"/>
      <c r="L2" s="98"/>
      <c r="M2" s="98"/>
      <c r="N2" s="303"/>
      <c r="O2" s="303"/>
      <c r="P2" s="303"/>
      <c r="Q2" s="303" t="str">
        <f>VLOOKUP($E$27,BDD!$A$2:$N$567,4,FALSE)</f>
        <v>Mettre l'architecture du SI au service des enjeux stratégiques.</v>
      </c>
      <c r="R2" s="298"/>
      <c r="S2" s="102"/>
      <c r="T2" s="102"/>
      <c r="U2" s="102"/>
      <c r="V2" s="102"/>
      <c r="W2" s="102"/>
      <c r="X2" s="102"/>
      <c r="Y2" s="102"/>
      <c r="Z2" s="102"/>
      <c r="AA2" s="102"/>
      <c r="AB2" s="102"/>
      <c r="AC2" s="102"/>
      <c r="AD2" s="102"/>
      <c r="AE2" s="102"/>
      <c r="AF2" s="102"/>
      <c r="AG2" s="102"/>
      <c r="AH2" s="102"/>
      <c r="AI2" s="30"/>
    </row>
    <row r="3" spans="1:35" ht="45" customHeight="1" thickBot="1" x14ac:dyDescent="0.35">
      <c r="A3" s="100"/>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100"/>
      <c r="AI3" s="30"/>
    </row>
    <row r="4" spans="1:35" ht="26.4" thickBot="1" x14ac:dyDescent="0.55000000000000004">
      <c r="A4" s="100"/>
      <c r="B4" s="30"/>
      <c r="C4" s="30"/>
      <c r="D4" s="30"/>
      <c r="E4" s="30"/>
      <c r="F4" s="30"/>
      <c r="G4" s="36" t="s">
        <v>1</v>
      </c>
      <c r="H4" s="34"/>
      <c r="I4" s="32"/>
      <c r="J4" s="34"/>
      <c r="K4" s="34"/>
      <c r="L4" s="34"/>
      <c r="M4" s="34"/>
      <c r="N4" s="30"/>
      <c r="O4" s="30"/>
      <c r="P4" s="30"/>
      <c r="Q4" s="30"/>
      <c r="R4" s="30"/>
      <c r="S4" s="30"/>
      <c r="T4" s="30"/>
      <c r="U4" s="30"/>
      <c r="V4" s="30"/>
      <c r="W4" s="108" t="s">
        <v>0</v>
      </c>
      <c r="X4" s="30"/>
      <c r="Y4" s="30"/>
      <c r="Z4" s="30"/>
      <c r="AA4" s="417"/>
      <c r="AB4" s="418" t="s">
        <v>1079</v>
      </c>
      <c r="AC4" s="30"/>
      <c r="AD4" s="30"/>
      <c r="AE4" s="30"/>
      <c r="AF4" s="35"/>
      <c r="AG4" s="35"/>
      <c r="AH4" s="103"/>
      <c r="AI4" s="30"/>
    </row>
    <row r="5" spans="1:35" ht="42" thickBot="1" x14ac:dyDescent="0.35">
      <c r="A5" s="100"/>
      <c r="B5" s="30"/>
      <c r="C5" s="30"/>
      <c r="D5" s="30"/>
      <c r="E5" s="30" t="str">
        <f>RIGHT($B$1,1)&amp;"11"</f>
        <v>611</v>
      </c>
      <c r="F5" s="30"/>
      <c r="G5" s="196" t="str">
        <f>IF(VLOOKUP(E5,BDD!$A$2:$N$567,13,FALSE)=0,"",VLOOKUP(E5,BDD!$A$2:$N$567,13,FALSE))</f>
        <v>Permettre la réalisation des enjeux stratégiques en matière de performance, de croissance, d’adaptabilité, d'autonomie, de résilience et d'interopérabilité avec l'écosystème.</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100"/>
      <c r="AI5" s="30"/>
    </row>
    <row r="6" spans="1:35" ht="30" customHeight="1" x14ac:dyDescent="0.3">
      <c r="A6" s="107"/>
      <c r="B6" s="38"/>
      <c r="C6" s="38"/>
      <c r="D6" s="38"/>
      <c r="E6" s="38" t="str">
        <f>RIGHT($B$1,1)&amp;"12"</f>
        <v>612</v>
      </c>
      <c r="F6" s="38"/>
      <c r="G6" s="196" t="str">
        <f>IF(VLOOKUP(E6,BDD!$A$2:$N$567,13,FALSE)=0,"",VLOOKUP(E6,BDD!$A$2:$N$567,13,FALSE))</f>
        <v>Définir la trajectoire et les principales étapes pour atteindre la cible SI du plan stratégique. </v>
      </c>
      <c r="H6" s="39"/>
      <c r="I6" s="32"/>
      <c r="K6" s="39"/>
      <c r="L6" s="505"/>
      <c r="M6" s="506"/>
      <c r="N6" s="507"/>
      <c r="O6" s="508"/>
      <c r="P6" s="508"/>
      <c r="Q6" s="508"/>
      <c r="R6" s="508"/>
      <c r="S6" s="508"/>
      <c r="T6" s="508"/>
      <c r="U6" s="508"/>
      <c r="V6" s="508"/>
      <c r="W6" s="508"/>
      <c r="X6" s="508"/>
      <c r="Y6" s="508"/>
      <c r="Z6" s="508"/>
      <c r="AA6" s="508"/>
      <c r="AB6" s="509"/>
      <c r="AC6" s="35"/>
      <c r="AD6" s="35"/>
      <c r="AE6" s="35"/>
      <c r="AF6" s="32"/>
      <c r="AG6" s="32"/>
      <c r="AH6" s="104"/>
      <c r="AI6" s="38"/>
    </row>
    <row r="7" spans="1:35" ht="31.8" thickBot="1" x14ac:dyDescent="0.35">
      <c r="A7" s="107"/>
      <c r="B7" s="38"/>
      <c r="C7" s="38"/>
      <c r="D7" s="38"/>
      <c r="E7" s="38" t="str">
        <f>RIGHT($B$1,1)&amp;"13"</f>
        <v>613</v>
      </c>
      <c r="F7" s="38"/>
      <c r="G7" s="196" t="str">
        <f>IF(VLOOKUP(E7,BDD!$A$2:$N$567,13,FALSE)=0,"",VLOOKUP(E7,BDD!$A$2:$N$567,13,FALSE))</f>
        <v>Fournir un cadre d’architecture au portefeuille de projets pour s'assurer qu'ils contribuent à l'atteinte de la cible SI.</v>
      </c>
      <c r="H7" s="39"/>
      <c r="I7" s="32"/>
      <c r="K7" s="39"/>
      <c r="L7" s="510"/>
      <c r="M7" s="511"/>
      <c r="N7" s="420" t="s">
        <v>2</v>
      </c>
      <c r="O7" s="421" t="s">
        <v>3</v>
      </c>
      <c r="P7" s="421" t="s">
        <v>4</v>
      </c>
      <c r="Q7" s="421" t="s">
        <v>5</v>
      </c>
      <c r="R7" s="421" t="s">
        <v>6</v>
      </c>
      <c r="S7" s="421" t="s">
        <v>7</v>
      </c>
      <c r="T7" s="421" t="s">
        <v>8</v>
      </c>
      <c r="U7" s="421" t="s">
        <v>9</v>
      </c>
      <c r="V7" s="512"/>
      <c r="W7" s="460" t="s">
        <v>10</v>
      </c>
      <c r="X7" s="461" t="s">
        <v>11</v>
      </c>
      <c r="Y7" s="513"/>
      <c r="Z7" s="463" t="s">
        <v>12</v>
      </c>
      <c r="AA7" s="464" t="s">
        <v>13</v>
      </c>
      <c r="AB7" s="514"/>
      <c r="AC7" s="40"/>
      <c r="AD7" s="637" t="s">
        <v>14</v>
      </c>
      <c r="AE7" s="41" t="s">
        <v>15</v>
      </c>
      <c r="AF7" s="32"/>
      <c r="AG7" s="32"/>
      <c r="AH7" s="104"/>
      <c r="AI7" s="38"/>
    </row>
    <row r="8" spans="1:35" ht="41.4" x14ac:dyDescent="0.3">
      <c r="A8" s="107"/>
      <c r="B8" s="38"/>
      <c r="C8" s="38"/>
      <c r="D8" s="38"/>
      <c r="E8" s="38" t="str">
        <f>RIGHT($B$1,1)&amp;"14"</f>
        <v>614</v>
      </c>
      <c r="F8" s="38"/>
      <c r="G8" s="196" t="str">
        <f>IF(VLOOKUP(E8,BDD!$A$2:$N$567,13,FALSE)=0,"",VLOOKUP(E8,BDD!$A$2:$N$567,13,FALSE))</f>
        <v>Réduire les coûts du SI et accroître son adaptabilité en le rationalisant, en le simplifiant, en favorisant la réutilisation de fonctionnalités et en tirant parti des opportunités de services externalisés.</v>
      </c>
      <c r="H8" s="39"/>
      <c r="I8" s="32"/>
      <c r="K8" s="39"/>
      <c r="L8" s="510"/>
      <c r="M8" s="419" t="str">
        <f>IF(LEFT(RIGHT($B$1,2),1)=" ",RIGHT($B$1,1),RIGHT($B$1,2))&amp;1</f>
        <v>61</v>
      </c>
      <c r="N8" s="422" t="str">
        <f>RIGHT(M8,1)&amp;" : "&amp;VLOOKUP($M8&amp;"1",BDD!$A$2:$N$567,6,FALSE)</f>
        <v>1 : Cartographie</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23" t="str">
        <f>IF(VLOOKUP($M8&amp;RIGHT(Q$7,1),BDD!$A$1:$S$428,15,FALSE)=4,"NE",IF(VLOOKUP($M8&amp;RIGHT(Q$7,1),BDD!$A$1:$S$428,15,FALSE)=0,"NE",VLOOKUP($M8&amp;RIGHT(Q$7,1),BDD!$A$1:$S$428,15,FALSE)))</f>
        <v>NE</v>
      </c>
      <c r="R8" s="423" t="str">
        <f>IF(VLOOKUP($M8&amp;RIGHT(R$7,1),BDD!$A$1:$S$428,15,FALSE)=4,"NE",IF(VLOOKUP($M8&amp;RIGHT(R$7,1),BDD!$A$1:$S$428,15,FALSE)=0,"NE",VLOOKUP($M8&amp;RIGHT(R$7,1),BDD!$A$1:$S$428,15,FALSE)))</f>
        <v>NE</v>
      </c>
      <c r="S8" s="475"/>
      <c r="T8" s="475"/>
      <c r="U8" s="475"/>
      <c r="V8" s="512"/>
      <c r="W8" s="441" t="s">
        <v>16</v>
      </c>
      <c r="X8" s="442"/>
      <c r="Y8" s="515"/>
      <c r="Z8" s="468">
        <f>O25</f>
        <v>0</v>
      </c>
      <c r="AA8" s="469">
        <f>S25</f>
        <v>0</v>
      </c>
      <c r="AB8" s="514"/>
      <c r="AC8" s="40"/>
      <c r="AD8" s="638"/>
      <c r="AE8" s="44" t="s">
        <v>17</v>
      </c>
      <c r="AF8" s="32"/>
      <c r="AG8" s="32"/>
      <c r="AH8" s="104"/>
      <c r="AI8" s="38"/>
    </row>
    <row r="9" spans="1:35" ht="30" customHeight="1" x14ac:dyDescent="0.3">
      <c r="A9" s="107"/>
      <c r="B9" s="38"/>
      <c r="C9" s="38"/>
      <c r="D9" s="38"/>
      <c r="E9" s="38" t="str">
        <f>RIGHT($B$1,1)&amp;"15"</f>
        <v>615</v>
      </c>
      <c r="F9" s="38"/>
      <c r="G9" s="196" t="str">
        <f>IF(VLOOKUP(E9,BDD!$A$2:$N$567,13,FALSE)=0,"",VLOOKUP(E9,BDD!$A$2:$N$567,13,FALSE))</f>
        <v>Optimiser l'empreinte environnementale du SI en appliquant des principes d'éco-conception.</v>
      </c>
      <c r="H9" s="39"/>
      <c r="I9" s="32"/>
      <c r="K9" s="39"/>
      <c r="L9" s="510"/>
      <c r="M9" s="419" t="str">
        <f>IF(LEFT(RIGHT($B$1,2),1)=" ",RIGHT($B$1,1),RIGHT($B$1,2))&amp;2</f>
        <v>62</v>
      </c>
      <c r="N9" s="424" t="str">
        <f>RIGHT(M9,1)&amp;" : "&amp;VLOOKUP($M9&amp;"1",BDD!$A$2:$N$567,6,FALSE)</f>
        <v>2 : Feuille de route SI</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5" t="str">
        <f>IF(VLOOKUP($M9&amp;RIGHT(R$7,1),BDD!$A$1:$S$428,15,FALSE)=4,"NE",IF(VLOOKUP($M9&amp;RIGHT(R$7,1),BDD!$A$1:$S$428,15,FALSE)=0,"NE",VLOOKUP($M9&amp;RIGHT(R$7,1),BDD!$A$1:$S$428,15,FALSE)))</f>
        <v>NE</v>
      </c>
      <c r="S9" s="426"/>
      <c r="T9" s="426"/>
      <c r="U9" s="427"/>
      <c r="V9" s="512"/>
      <c r="W9" s="443" t="s">
        <v>16</v>
      </c>
      <c r="X9" s="444"/>
      <c r="Y9" s="516"/>
      <c r="Z9" s="472">
        <f>O31</f>
        <v>0</v>
      </c>
      <c r="AA9" s="473">
        <f>S31</f>
        <v>0</v>
      </c>
      <c r="AB9" s="514"/>
      <c r="AC9" s="40"/>
      <c r="AD9" s="638"/>
      <c r="AE9" s="48" t="s">
        <v>18</v>
      </c>
      <c r="AF9" s="32"/>
      <c r="AG9" s="32"/>
      <c r="AH9" s="104"/>
      <c r="AI9" s="38"/>
    </row>
    <row r="10" spans="1:35" ht="58.2" customHeight="1" x14ac:dyDescent="0.3">
      <c r="A10" s="107"/>
      <c r="B10" s="38"/>
      <c r="C10" s="38"/>
      <c r="D10" s="38"/>
      <c r="E10" s="38" t="str">
        <f>RIGHT($B$1,1)&amp;"16"</f>
        <v>616</v>
      </c>
      <c r="F10" s="38"/>
      <c r="G10" s="243" t="str">
        <f>IF(VLOOKUP(E10,BDD!$A$2:$N$567,13,FALSE)=0,"",VLOOKUP(E10,BDD!$A$2:$N$567,13,FALSE))</f>
        <v>Maîtriser le patrimoine applicatif et technique sur le temps long en prenant en compte sa complexité, l'alignement avec les standards, la réduction de la dette technique, la gestion de l'obsolescence et l'autonomie stratégique.</v>
      </c>
      <c r="H10" s="39"/>
      <c r="I10" s="32"/>
      <c r="K10" s="39"/>
      <c r="L10" s="510"/>
      <c r="M10" s="419" t="str">
        <f>IF(LEFT(RIGHT($B$1,2),1)=" ",RIGHT($B$1,1),RIGHT($B$1,2))&amp;3</f>
        <v>63</v>
      </c>
      <c r="N10" s="422" t="str">
        <f>RIGHT(M10,1)&amp;" : "&amp;VLOOKUP($M10&amp;"1",BDD!$A$2:$N$567,6,FALSE)</f>
        <v>3 : Modularité et ouverture de l'architecture</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23" t="str">
        <f>IF(VLOOKUP($M10&amp;RIGHT(Q$7,1),BDD!$A$1:$S$428,15,FALSE)=4,"NE",IF(VLOOKUP($M10&amp;RIGHT(Q$7,1),BDD!$A$1:$S$428,15,FALSE)=0,"NE",VLOOKUP($M10&amp;RIGHT(Q$7,1),BDD!$A$1:$S$428,15,FALSE)))</f>
        <v>NE</v>
      </c>
      <c r="R10" s="428" t="str">
        <f>IF(VLOOKUP($M10&amp;RIGHT(R$7,1),BDD!$A$1:$S$428,15,FALSE)=4,"NE",IF(VLOOKUP($M10&amp;RIGHT(R$7,1),BDD!$A$1:$S$428,15,FALSE)=0,"NE",VLOOKUP($M10&amp;RIGHT(R$7,1),BDD!$A$1:$S$428,15,FALSE)))</f>
        <v>NE</v>
      </c>
      <c r="S10" s="423" t="str">
        <f>IF(VLOOKUP($M10&amp;RIGHT(S$7,1),BDD!$A$1:$S$428,15,FALSE)=4,"NE",IF(VLOOKUP($M10&amp;RIGHT(S$7,1),BDD!$A$1:$S$428,15,FALSE)=0,"NE",VLOOKUP($M10&amp;RIGHT(S$7,1),BDD!$A$1:$S$428,15,FALSE)))</f>
        <v>NE</v>
      </c>
      <c r="T10" s="475"/>
      <c r="U10" s="430"/>
      <c r="V10" s="512"/>
      <c r="W10" s="445" t="s">
        <v>16</v>
      </c>
      <c r="X10" s="446"/>
      <c r="Y10" s="515"/>
      <c r="Z10" s="468">
        <f>O37</f>
        <v>0</v>
      </c>
      <c r="AA10" s="469">
        <f>S37</f>
        <v>0</v>
      </c>
      <c r="AB10" s="514"/>
      <c r="AC10" s="40"/>
      <c r="AD10" s="638"/>
      <c r="AE10" s="53" t="s">
        <v>19</v>
      </c>
      <c r="AF10" s="51"/>
      <c r="AG10" s="52"/>
      <c r="AH10" s="105"/>
      <c r="AI10" s="38"/>
    </row>
    <row r="11" spans="1:35" ht="30" customHeight="1" x14ac:dyDescent="0.3">
      <c r="A11" s="100"/>
      <c r="B11" s="30"/>
      <c r="C11" s="30"/>
      <c r="D11" s="30"/>
      <c r="E11" s="30" t="str">
        <f>RIGHT($B$1,1)&amp;"17"</f>
        <v>617</v>
      </c>
      <c r="F11" s="30"/>
      <c r="G11" s="31" t="str">
        <f>IF(VLOOKUP(E11,BDD!$A$2:$N$567,13,FALSE)=0,"",VLOOKUP(E11,BDD!$A$2:$N$567,13,FALSE))</f>
        <v/>
      </c>
      <c r="H11" s="52"/>
      <c r="I11" s="32"/>
      <c r="K11" s="52"/>
      <c r="L11" s="517"/>
      <c r="M11" s="419" t="str">
        <f>IF(LEFT(RIGHT($B$1,2),1)=" ",RIGHT($B$1,1),RIGHT($B$1,2))&amp;4</f>
        <v>64</v>
      </c>
      <c r="N11" s="424" t="str">
        <f>RIGHT(M11,1)&amp;" : "&amp;VLOOKUP($M11&amp;"1",BDD!$A$2:$N$567,6,FALSE)</f>
        <v>4 : Communication vers le métier</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5" t="str">
        <f>IF(VLOOKUP($M11&amp;RIGHT(Q$7,1),BDD!$A$1:$S$428,15,FALSE)=4,"NE",IF(VLOOKUP($M11&amp;RIGHT(Q$7,1),BDD!$A$1:$S$428,15,FALSE)=0,"NE",VLOOKUP($M11&amp;RIGHT(Q$7,1),BDD!$A$1:$S$428,15,FALSE)))</f>
        <v>NE</v>
      </c>
      <c r="R11" s="425" t="str">
        <f>IF(VLOOKUP($M11&amp;RIGHT(R$7,1),BDD!$A$1:$S$428,15,FALSE)=4,"NE",IF(VLOOKUP($M11&amp;RIGHT(R$7,1),BDD!$A$1:$S$428,15,FALSE)=0,"NE",VLOOKUP($M11&amp;RIGHT(R$7,1),BDD!$A$1:$S$428,15,FALSE)))</f>
        <v>NE</v>
      </c>
      <c r="S11" s="426"/>
      <c r="T11" s="426"/>
      <c r="U11" s="427"/>
      <c r="V11" s="512"/>
      <c r="W11" s="443" t="s">
        <v>16</v>
      </c>
      <c r="X11" s="444"/>
      <c r="Y11" s="515"/>
      <c r="Z11" s="472">
        <f>O44</f>
        <v>0</v>
      </c>
      <c r="AA11" s="473">
        <f>S44</f>
        <v>0</v>
      </c>
      <c r="AB11" s="514"/>
      <c r="AC11" s="40"/>
      <c r="AD11" s="212"/>
      <c r="AF11" s="51"/>
      <c r="AG11" s="52"/>
      <c r="AH11" s="105"/>
      <c r="AI11" s="30"/>
    </row>
    <row r="12" spans="1:35" ht="30" customHeight="1" x14ac:dyDescent="0.3">
      <c r="A12" s="100"/>
      <c r="B12" s="30"/>
      <c r="C12" s="30"/>
      <c r="D12" s="30"/>
      <c r="E12" s="30"/>
      <c r="F12" s="30"/>
      <c r="G12" s="54" t="s">
        <v>20</v>
      </c>
      <c r="H12" s="32"/>
      <c r="I12" s="32"/>
      <c r="K12" s="32"/>
      <c r="L12" s="518"/>
      <c r="M12" s="419" t="str">
        <f>IF(LEFT(RIGHT($B$1,2),1)=" ",RIGHT($B$1,1),RIGHT($B$1,2))&amp;5</f>
        <v>65</v>
      </c>
      <c r="N12" s="422" t="str">
        <f>RIGHT(M12,1)&amp;" : "&amp;VLOOKUP($M12&amp;"1",BDD!$A$2:$N$567,6,FALSE)</f>
        <v>5 : Règles et Principes</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23" t="str">
        <f>IF(VLOOKUP($M12&amp;RIGHT(R$7,1),BDD!$A$1:$S$428,15,FALSE)=4,"NE",IF(VLOOKUP($M12&amp;RIGHT(R$7,1),BDD!$A$1:$S$428,15,FALSE)=0,"NE",VLOOKUP($M12&amp;RIGHT(R$7,1),BDD!$A$1:$S$428,15,FALSE)))</f>
        <v>NE</v>
      </c>
      <c r="S12" s="423" t="str">
        <f>IF(VLOOKUP($M12&amp;RIGHT(S$7,1),BDD!$A$1:$S$428,15,FALSE)=4,"NE",IF(VLOOKUP($M12&amp;RIGHT(S$7,1),BDD!$A$1:$S$428,15,FALSE)=0,"NE",VLOOKUP($M12&amp;RIGHT(S$7,1),BDD!$A$1:$S$428,15,FALSE)))</f>
        <v>NE</v>
      </c>
      <c r="T12" s="423" t="str">
        <f>IF(VLOOKUP($M12&amp;RIGHT(T$7,1),BDD!$A$1:$S$428,15,FALSE)=4,"NE",IF(VLOOKUP($M12&amp;RIGHT(T$7,1),BDD!$A$1:$S$428,15,FALSE)=0,"NE",VLOOKUP($M12&amp;RIGHT(T$7,1),BDD!$A$1:$S$428,15,FALSE)))</f>
        <v>NE</v>
      </c>
      <c r="U12" s="430"/>
      <c r="V12" s="512"/>
      <c r="W12" s="445" t="s">
        <v>16</v>
      </c>
      <c r="X12" s="446"/>
      <c r="Y12" s="515"/>
      <c r="Z12" s="468">
        <f>O50</f>
        <v>0</v>
      </c>
      <c r="AA12" s="469">
        <f>S50</f>
        <v>0</v>
      </c>
      <c r="AB12" s="514"/>
      <c r="AC12" s="40"/>
      <c r="AD12" s="213"/>
      <c r="AF12" s="55"/>
      <c r="AG12" s="30"/>
      <c r="AH12" s="100"/>
      <c r="AI12" s="30"/>
    </row>
    <row r="13" spans="1:35" ht="30" customHeight="1" thickBot="1" x14ac:dyDescent="0.35">
      <c r="A13" s="100"/>
      <c r="B13" s="30"/>
      <c r="C13" s="30"/>
      <c r="D13" s="30"/>
      <c r="E13" s="30" t="str">
        <f>RIGHT($B$1,1)&amp;"11"</f>
        <v>611</v>
      </c>
      <c r="F13" s="30"/>
      <c r="G13" s="197" t="str">
        <f>IF(VLOOKUP(E13,BDD!$A$2:$N$567,14,FALSE)=0,"",VLOOKUP(E13,BDD!$A$2:$N$567,14,FALSE))</f>
        <v>Mauvaise identification ou planification des moyens, entraînant un défaut d’alignement avec la cible stratégique.</v>
      </c>
      <c r="H13" s="34"/>
      <c r="I13" s="32"/>
      <c r="K13" s="52"/>
      <c r="L13" s="517"/>
      <c r="M13" s="419" t="str">
        <f>IF(LEFT(RIGHT($B$1,2),1)=" ",RIGHT($B$1,1),RIGHT($B$1,2))&amp;6</f>
        <v>66</v>
      </c>
      <c r="N13" s="424" t="str">
        <f>RIGHT(M13,1)&amp;" : "&amp;VLOOKUP($M13&amp;"1",BDD!$A$2:$N$567,6,FALSE)</f>
        <v>6 : Gouvernance et architecture</v>
      </c>
      <c r="O13" s="425" t="str">
        <f>IF(VLOOKUP($M13&amp;RIGHT(O$7,1),BDD!$A$1:$S$428,15,FALSE)=4,"NE",IF(VLOOKUP($M13&amp;RIGHT(O$7,1),BDD!$A$1:$S$428,15,FALSE)=0,"NE",VLOOKUP($M13&amp;RIGHT(O$7,1),BDD!$A$1:$S$428,15,FALSE)))</f>
        <v>NE</v>
      </c>
      <c r="P13" s="425" t="str">
        <f>IF(VLOOKUP($M13&amp;RIGHT(P$7,1),BDD!$A$1:$S$428,15,FALSE)=4,"NE",IF(VLOOKUP($M13&amp;RIGHT(P$7,1),BDD!$A$1:$S$428,15,FALSE)=0,"NE",VLOOKUP($M13&amp;RIGHT(P$7,1),BDD!$A$1:$S$428,15,FALSE)))</f>
        <v>NE</v>
      </c>
      <c r="Q13" s="425" t="str">
        <f>IF(VLOOKUP($M13&amp;RIGHT(Q$7,1),BDD!$A$1:$S$428,15,FALSE)=4,"NE",IF(VLOOKUP($M13&amp;RIGHT(Q$7,1),BDD!$A$1:$S$428,15,FALSE)=0,"NE",VLOOKUP($M13&amp;RIGHT(Q$7,1),BDD!$A$1:$S$428,15,FALSE)))</f>
        <v>NE</v>
      </c>
      <c r="R13" s="425" t="str">
        <f>IF(VLOOKUP($M13&amp;RIGHT(R$7,1),BDD!$A$1:$S$428,15,FALSE)=4,"NE",IF(VLOOKUP($M13&amp;RIGHT(R$7,1),BDD!$A$1:$S$428,15,FALSE)=0,"NE",VLOOKUP($M13&amp;RIGHT(R$7,1),BDD!$A$1:$S$428,15,FALSE)))</f>
        <v>NE</v>
      </c>
      <c r="S13" s="425" t="str">
        <f>IF(VLOOKUP($M13&amp;RIGHT(S$7,1),BDD!$A$1:$S$428,15,FALSE)=4,"NE",IF(VLOOKUP($M13&amp;RIGHT(S$7,1),BDD!$A$1:$S$428,15,FALSE)=0,"NE",VLOOKUP($M13&amp;RIGHT(S$7,1),BDD!$A$1:$S$428,15,FALSE)))</f>
        <v>NE</v>
      </c>
      <c r="T13" s="425" t="str">
        <f>IF(VLOOKUP($M13&amp;RIGHT(T$7,1),BDD!$A$1:$S$428,15,FALSE)=4,"NE",IF(VLOOKUP($M13&amp;RIGHT(T$7,1),BDD!$A$1:$S$428,15,FALSE)=0,"NE",VLOOKUP($M13&amp;RIGHT(T$7,1),BDD!$A$1:$S$428,15,FALSE)))</f>
        <v>NE</v>
      </c>
      <c r="U13" s="470" t="str">
        <f>IF(VLOOKUP($M13&amp;RIGHT(U$7,1),BDD!$A$1:$S$428,15,FALSE)=4,"NE",IF(VLOOKUP($M13&amp;RIGHT(U$7,1),BDD!$A$1:$S$428,15,FALSE)=0,"NE",VLOOKUP($M13&amp;RIGHT(U$7,1),BDD!$A$1:$S$428,15,FALSE)))</f>
        <v>NE</v>
      </c>
      <c r="V13" s="512"/>
      <c r="W13" s="447" t="s">
        <v>16</v>
      </c>
      <c r="X13" s="448"/>
      <c r="Y13" s="515"/>
      <c r="Z13" s="472">
        <f>O58</f>
        <v>0</v>
      </c>
      <c r="AA13" s="473">
        <f>S58</f>
        <v>0</v>
      </c>
      <c r="AB13" s="514"/>
      <c r="AC13" s="40"/>
      <c r="AD13" s="30"/>
      <c r="AE13" s="55"/>
      <c r="AF13" s="56"/>
      <c r="AG13" s="40"/>
      <c r="AH13" s="106"/>
      <c r="AI13" s="30"/>
    </row>
    <row r="14" spans="1:35" ht="30" customHeight="1" x14ac:dyDescent="0.3">
      <c r="A14" s="100"/>
      <c r="B14" s="30"/>
      <c r="C14" s="30"/>
      <c r="D14" s="30"/>
      <c r="E14" s="30" t="str">
        <f>RIGHT($B$1,1)&amp;"12"</f>
        <v>612</v>
      </c>
      <c r="F14" s="30"/>
      <c r="G14" s="197" t="str">
        <f>IF(VLOOKUP(E14,BDD!$A$2:$N$567,14,FALSE)=0,"",VLOOKUP(E14,BDD!$A$2:$N$567,14,FALSE))</f>
        <v>Non-exploitation des innovations, des offres de produits et services, et des opportunités technologiques.</v>
      </c>
      <c r="H14" s="57"/>
      <c r="I14" s="32"/>
      <c r="K14" s="34"/>
      <c r="L14" s="519"/>
      <c r="M14" s="520"/>
      <c r="N14" s="521"/>
      <c r="O14" s="521"/>
      <c r="P14" s="521"/>
      <c r="Q14" s="521"/>
      <c r="R14" s="521"/>
      <c r="S14" s="521"/>
      <c r="T14" s="521"/>
      <c r="U14" s="521"/>
      <c r="V14" s="521"/>
      <c r="W14" s="537"/>
      <c r="X14" s="522"/>
      <c r="Y14" s="522"/>
      <c r="Z14" s="522"/>
      <c r="AA14" s="522"/>
      <c r="AB14" s="523"/>
      <c r="AC14" s="55"/>
      <c r="AD14" s="56"/>
      <c r="AE14" s="56"/>
      <c r="AF14" s="30"/>
      <c r="AG14" s="30"/>
      <c r="AH14" s="100"/>
      <c r="AI14" s="30"/>
    </row>
    <row r="15" spans="1:35" ht="30" customHeight="1" thickBot="1" x14ac:dyDescent="0.35">
      <c r="A15" s="100"/>
      <c r="B15" s="30"/>
      <c r="C15" s="30"/>
      <c r="D15" s="30"/>
      <c r="E15" s="30" t="str">
        <f>RIGHT($B$1,1)&amp;"13"</f>
        <v>613</v>
      </c>
      <c r="F15" s="30"/>
      <c r="G15" s="197" t="str">
        <f>IF(VLOOKUP(E15,BDD!$A$2:$N$567,14,FALSE)=0,"",VLOOKUP(E15,BDD!$A$2:$N$567,14,FALSE))</f>
        <v>Surcoûts et limitation de la capacité d’évolution du SI, liés à un manque de rationalisation, à un défaut d’interopérabilité ou à une complexité croissante.</v>
      </c>
      <c r="H15" s="58"/>
      <c r="I15" s="32"/>
      <c r="K15" s="58"/>
      <c r="L15" s="524"/>
      <c r="M15" s="520"/>
      <c r="N15" s="525" t="str">
        <f>"Evaluation globale du vecteur "&amp;RIGHT(B1,2)</f>
        <v>Evaluation globale du vecteur  6</v>
      </c>
      <c r="O15" s="526"/>
      <c r="P15" s="526"/>
      <c r="Q15" s="526"/>
      <c r="R15" s="526"/>
      <c r="S15" s="526"/>
      <c r="T15" s="526"/>
      <c r="U15" s="526"/>
      <c r="V15" s="526"/>
      <c r="W15" s="527"/>
      <c r="X15" s="522"/>
      <c r="Y15" s="515"/>
      <c r="Z15" s="528" t="s">
        <v>642</v>
      </c>
      <c r="AA15" s="529" t="s">
        <v>643</v>
      </c>
      <c r="AB15" s="523"/>
      <c r="AC15" s="30"/>
      <c r="AD15" s="30"/>
      <c r="AE15" s="30"/>
      <c r="AF15" s="30"/>
      <c r="AG15" s="30"/>
      <c r="AH15" s="100"/>
      <c r="AI15" s="30"/>
    </row>
    <row r="16" spans="1:35" ht="30" customHeight="1" thickBot="1" x14ac:dyDescent="0.35">
      <c r="A16" s="100"/>
      <c r="B16" s="30"/>
      <c r="C16" s="30"/>
      <c r="D16" s="30"/>
      <c r="E16" s="30" t="str">
        <f>RIGHT($B$1,1)&amp;"14"</f>
        <v>614</v>
      </c>
      <c r="F16" s="30"/>
      <c r="G16" s="197" t="str">
        <f>IF(VLOOKUP(E16,BDD!$A$2:$N$567,14,FALSE)=0,"",VLOOKUP(E16,BDD!$A$2:$N$567,14,FALSE))</f>
        <v>Exposition accrue aux incidents de sécurité et aux non-conformités réglementaires (CNIL, RGPD, traçabilité, etc.).</v>
      </c>
      <c r="H16" s="58"/>
      <c r="I16" s="32"/>
      <c r="K16" s="32"/>
      <c r="L16" s="518"/>
      <c r="M16" s="520"/>
      <c r="N16" s="451"/>
      <c r="O16" s="526"/>
      <c r="P16" s="526"/>
      <c r="Q16" s="526"/>
      <c r="R16" s="526"/>
      <c r="S16" s="526"/>
      <c r="T16" s="526"/>
      <c r="U16" s="526"/>
      <c r="V16" s="526"/>
      <c r="W16" s="449" t="s">
        <v>16</v>
      </c>
      <c r="X16" s="450"/>
      <c r="Y16" s="522"/>
      <c r="Z16" s="530">
        <f>O22</f>
        <v>0</v>
      </c>
      <c r="AA16" s="531">
        <f>SUM($W$26:$W$82)</f>
        <v>0</v>
      </c>
      <c r="AB16" s="523"/>
      <c r="AC16" s="30"/>
      <c r="AD16" s="30"/>
      <c r="AE16" s="30"/>
      <c r="AF16" s="30"/>
      <c r="AG16" s="30"/>
      <c r="AH16" s="100"/>
      <c r="AI16" s="30"/>
    </row>
    <row r="17" spans="1:35" ht="41.4" customHeight="1" thickBot="1" x14ac:dyDescent="0.35">
      <c r="A17" s="100"/>
      <c r="B17" s="30"/>
      <c r="C17" s="30"/>
      <c r="D17" s="30"/>
      <c r="E17" s="30" t="str">
        <f>RIGHT($B$1,1)&amp;"15"</f>
        <v>615</v>
      </c>
      <c r="F17" s="30"/>
      <c r="G17" s="197" t="str">
        <f>IF(VLOOKUP(E17,BDD!$A$2:$N$567,14,FALSE)=0,"",VLOOKUP(E17,BDD!$A$2:$N$567,14,FALSE))</f>
        <v>Perte de connaissance et de maîtrise du patrimoine applicatif et technique.</v>
      </c>
      <c r="H17" s="58"/>
      <c r="I17" s="32"/>
      <c r="K17" s="58"/>
      <c r="L17" s="532"/>
      <c r="M17" s="533"/>
      <c r="N17" s="534"/>
      <c r="O17" s="534"/>
      <c r="P17" s="534"/>
      <c r="Q17" s="534"/>
      <c r="R17" s="534"/>
      <c r="S17" s="534"/>
      <c r="T17" s="534"/>
      <c r="U17" s="534"/>
      <c r="V17" s="534"/>
      <c r="W17" s="535"/>
      <c r="X17" s="534"/>
      <c r="Y17" s="534"/>
      <c r="Z17" s="534"/>
      <c r="AA17" s="534"/>
      <c r="AB17" s="536"/>
      <c r="AC17" s="30"/>
      <c r="AD17" s="30"/>
      <c r="AE17" s="30"/>
      <c r="AF17" s="30"/>
      <c r="AG17" s="30"/>
      <c r="AH17" s="100"/>
      <c r="AI17" s="30"/>
    </row>
    <row r="18" spans="1:35" ht="31.8" customHeight="1" x14ac:dyDescent="0.3">
      <c r="A18" s="100"/>
      <c r="B18" s="30"/>
      <c r="C18" s="30"/>
      <c r="D18" s="30"/>
      <c r="E18" s="30" t="str">
        <f>RIGHT($B$1,1)&amp;"16"</f>
        <v>616</v>
      </c>
      <c r="F18" s="30"/>
      <c r="G18" s="197" t="str">
        <f>IF(VLOOKUP(E18,BDD!$A$2:$N$567,14,FALSE)=0,"",VLOOKUP(E18,BDD!$A$2:$N$567,14,FALSE))</f>
        <v>Frein à l’adaptabilité et à la croissance de l’organisation.</v>
      </c>
      <c r="H18" s="58"/>
      <c r="I18" s="32"/>
      <c r="K18" s="58"/>
      <c r="L18" s="571"/>
      <c r="M18" s="572"/>
      <c r="N18" s="569"/>
      <c r="O18" s="569"/>
      <c r="P18" s="569"/>
      <c r="Q18" s="569"/>
      <c r="R18" s="569"/>
      <c r="S18" s="569"/>
      <c r="T18" s="569"/>
      <c r="U18" s="569"/>
      <c r="V18" s="569"/>
      <c r="W18" s="569"/>
      <c r="X18" s="569"/>
      <c r="Y18" s="569"/>
      <c r="Z18" s="569"/>
      <c r="AA18" s="569"/>
      <c r="AB18" s="569"/>
      <c r="AC18" s="30"/>
      <c r="AD18" s="30"/>
      <c r="AE18" s="30"/>
      <c r="AF18" s="30"/>
      <c r="AG18" s="30"/>
      <c r="AH18" s="100"/>
      <c r="AI18" s="30"/>
    </row>
    <row r="19" spans="1:35" ht="63.6" hidden="1" customHeight="1" x14ac:dyDescent="0.3">
      <c r="A19" s="100"/>
      <c r="B19" s="30"/>
      <c r="C19" s="30"/>
      <c r="D19" s="30"/>
      <c r="E19" s="30"/>
      <c r="F19" s="30"/>
      <c r="G19" s="197"/>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100"/>
      <c r="AI19" s="30"/>
    </row>
    <row r="20" spans="1:35" ht="30" customHeight="1" x14ac:dyDescent="0.3">
      <c r="A20" s="311"/>
      <c r="B20" s="30"/>
      <c r="C20" s="30"/>
      <c r="D20" s="30"/>
      <c r="E20" s="30"/>
      <c r="F20" s="30"/>
      <c r="G20" s="197"/>
      <c r="H20" s="58"/>
      <c r="I20" s="32"/>
      <c r="K20" s="58"/>
      <c r="L20" s="58"/>
      <c r="M20" s="32"/>
      <c r="N20" s="215" t="s">
        <v>855</v>
      </c>
      <c r="O20" s="641">
        <f>COUNTIF(N27:N100,"Non renseigné")</f>
        <v>30</v>
      </c>
      <c r="P20" s="642"/>
      <c r="Q20" s="642"/>
      <c r="R20" s="643"/>
      <c r="S20" s="30"/>
      <c r="T20" s="30"/>
      <c r="U20" s="30"/>
      <c r="V20" s="30"/>
      <c r="W20" s="30"/>
      <c r="X20" s="30"/>
      <c r="Y20" s="30"/>
      <c r="Z20" s="30"/>
      <c r="AA20" s="30"/>
      <c r="AB20" s="30"/>
      <c r="AC20" s="30"/>
      <c r="AD20" s="30"/>
      <c r="AE20" s="30"/>
      <c r="AF20" s="30"/>
      <c r="AG20" s="30"/>
      <c r="AH20" s="311"/>
      <c r="AI20" s="30"/>
    </row>
    <row r="21" spans="1:35" ht="30" customHeight="1" x14ac:dyDescent="0.3">
      <c r="A21" s="311"/>
      <c r="B21" s="30"/>
      <c r="C21" s="30"/>
      <c r="D21" s="30"/>
      <c r="E21" s="30" t="str">
        <f>RIGHT($B$1,1)&amp;"17"</f>
        <v>617</v>
      </c>
      <c r="F21" s="30"/>
      <c r="G21" s="197" t="str">
        <f>IF(VLOOKUP(E21,BDD!$A$2:$N$567,14,FALSE)=0,"",VLOOKUP(E21,BDD!$A$2:$N$567,14,FALSE))</f>
        <v/>
      </c>
      <c r="H21" s="58"/>
      <c r="I21" s="58"/>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311"/>
      <c r="AI21" s="30"/>
    </row>
    <row r="22" spans="1:35" ht="50.4" customHeight="1" x14ac:dyDescent="0.3">
      <c r="A22" s="100"/>
      <c r="B22" s="30"/>
      <c r="C22" s="30"/>
      <c r="D22" s="30"/>
      <c r="E22" s="30"/>
      <c r="F22" s="30"/>
      <c r="G22" s="197"/>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100"/>
      <c r="AI22" s="30"/>
    </row>
    <row r="23" spans="1:35" ht="30" customHeight="1" x14ac:dyDescent="0.3">
      <c r="A23" s="100"/>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100"/>
      <c r="AI23" s="30"/>
    </row>
    <row r="24" spans="1:35" ht="39.6" customHeight="1" x14ac:dyDescent="0.3">
      <c r="A24" s="100"/>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100"/>
      <c r="AI24" s="30"/>
    </row>
    <row r="25" spans="1:35" ht="30" customHeight="1" x14ac:dyDescent="0.3">
      <c r="A25" s="100"/>
      <c r="B25" s="30"/>
      <c r="C25" s="30" t="str">
        <f>IF(LEFT(RIGHT($B$1,2),1)=" ",RIGHT($B$1,1),RIGHT($B$1,2))</f>
        <v>6</v>
      </c>
      <c r="D25" s="32">
        <f>IF(LEFT(F25,5)="Bonne",B23+1,D24)</f>
        <v>1</v>
      </c>
      <c r="E25" s="32"/>
      <c r="F25" s="191" t="s">
        <v>499</v>
      </c>
      <c r="G25" s="192" t="str">
        <f>VLOOKUP(E27,BDD!$A$2:$N$567,6,FALSE)</f>
        <v>Cartographie</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100"/>
      <c r="AI25" s="30"/>
    </row>
    <row r="26" spans="1:35" ht="30" customHeight="1" x14ac:dyDescent="0.3">
      <c r="A26" s="100"/>
      <c r="B26" s="30"/>
      <c r="C26" s="30" t="str">
        <f t="shared" ref="C26:C66" si="0">IF(LEFT(RIGHT($B$1,2),1)=" ",RIGHT($B$1,1),RIGHT($B$1,2))</f>
        <v>6</v>
      </c>
      <c r="D26" s="32">
        <f>IF(LEFT(F26,5)="Bonne",D24+1,D25)</f>
        <v>1</v>
      </c>
      <c r="F26" s="211" t="s">
        <v>550</v>
      </c>
      <c r="G26" s="620" t="str">
        <f>VLOOKUP(E28,BDD!$A$2:$N$567,7,FALSE)</f>
        <v>Une cartographie recence les application, les données et les flux de données entre applications, les services techniques, les infrastructures, etc. Mettre en relation cette cartographie SI avec les processus métiers de l'organisation et évolue à l’occasion des projets.</v>
      </c>
      <c r="H26" s="621"/>
      <c r="I26" s="621"/>
      <c r="J26" s="621"/>
      <c r="K26" s="621"/>
      <c r="L26" s="621"/>
      <c r="M26" s="621"/>
      <c r="N26" s="62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100"/>
      <c r="AI26" s="30"/>
    </row>
    <row r="27" spans="1:35" ht="41.4" x14ac:dyDescent="0.3">
      <c r="A27" s="100"/>
      <c r="B27" s="30"/>
      <c r="C27" s="30" t="str">
        <f t="shared" si="0"/>
        <v>6</v>
      </c>
      <c r="D27" s="32">
        <f>IF(LEFT(F27,5)="Bonne",D25+1,D26)</f>
        <v>1</v>
      </c>
      <c r="E27" s="32" t="str">
        <f>C27&amp;D27&amp;RIGHT(F27,1)</f>
        <v>611</v>
      </c>
      <c r="F27" s="143" t="s">
        <v>27</v>
      </c>
      <c r="G27" s="144" t="str">
        <f>VLOOKUP(E27,BDD!$A$2:$N$567,MATCH(G$24,BDD!$A$1:$P$1,0),FALSE)</f>
        <v xml:space="preserve">La DSI établit et maintient des cartographies applicatives (catalogue d’applications et services), techniques (infrastructures et composants techniques) et de données, couvrant l’ensemble du SI. Elles sont maintenues à jour lors de toute évolution du SI. </v>
      </c>
      <c r="H27" s="149" t="str">
        <f>IF(VLOOKUP($E27,BDD!$A$2:$N$567,MATCH($H$23,BDD!$A$1:$P$1,0),FALSE)=H$24,V6_Architecture!H$24,"")</f>
        <v>N1</v>
      </c>
      <c r="I27" s="150" t="str">
        <f>IF(VLOOKUP($E27,BDD!$A$2:$N$567,MATCH($H$23,BDD!$A$1:$P$1,0),FALSE)=I$24,V6_Architecture!I$24,"")</f>
        <v/>
      </c>
      <c r="J27" s="150" t="str">
        <f>IF(VLOOKUP($E27,BDD!$A$2:$N$567,MATCH($H$23,BDD!$A$1:$P$1,0),FALSE)=J$24,V6_Architecture!J$24,"")</f>
        <v/>
      </c>
      <c r="K27" s="150" t="str">
        <f>IF(VLOOKUP($E27,BDD!$A$2:$N$567,MATCH($H$23,BDD!$A$1:$P$1,0),FALSE)=K$24,V6_Architecture!K$24,"")</f>
        <v/>
      </c>
      <c r="L27" s="151" t="str">
        <f>IF(VLOOKUP($E27,BDD!$A$2:$N$567,MATCH($H$23,BDD!$A$1:$P$1,0),FALSE)=L$24,V6_Architecture!L$24,"")</f>
        <v/>
      </c>
      <c r="M27" s="63">
        <f t="shared" ref="M27:M30"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100"/>
      <c r="AI27" s="30"/>
    </row>
    <row r="28" spans="1:35" ht="57" customHeight="1" x14ac:dyDescent="0.3">
      <c r="A28" s="100"/>
      <c r="B28" s="30"/>
      <c r="C28" s="30" t="str">
        <f t="shared" si="0"/>
        <v>6</v>
      </c>
      <c r="D28" s="32">
        <f t="shared" ref="D28:D30" si="2">IF(LEFT(F28,5)="Bonne",D26+1,D27)</f>
        <v>1</v>
      </c>
      <c r="E28" s="32" t="str">
        <f t="shared" ref="E28:E30" si="3">C28&amp;D28&amp;RIGHT(F28,1)</f>
        <v>612</v>
      </c>
      <c r="F28" s="145" t="s">
        <v>28</v>
      </c>
      <c r="G28" s="146" t="str">
        <f>VLOOKUP(E28,BDD!$A$2:$N$567,MATCH(G$24,BDD!$A$1:$P$1,0),FALSE)</f>
        <v>Les cartographies mettent en évidence les liens entre les différents composants recensés : rattachement des données aux applications, flux entre applications, rattachement des applications aux composants techniques utilisés, liens entre composants techniques. </v>
      </c>
      <c r="H28" s="149" t="str">
        <f>IF(VLOOKUP($E28,BDD!$A$2:$N$567,MATCH($H$23,BDD!$A$1:$P$1,0),FALSE)=H$24,V6_Architecture!H$24,"")</f>
        <v/>
      </c>
      <c r="I28" s="150" t="str">
        <f>IF(VLOOKUP($E28,BDD!$A$2:$N$567,MATCH($H$23,BDD!$A$1:$P$1,0),FALSE)=I$24,V6_Architecture!I$24,"")</f>
        <v>N2</v>
      </c>
      <c r="J28" s="150" t="str">
        <f>IF(VLOOKUP($E28,BDD!$A$2:$N$567,MATCH($H$23,BDD!$A$1:$P$1,0),FALSE)=J$24,V6_Architecture!J$24,"")</f>
        <v/>
      </c>
      <c r="K28" s="150" t="str">
        <f>IF(VLOOKUP($E28,BDD!$A$2:$N$567,MATCH($H$23,BDD!$A$1:$P$1,0),FALSE)=K$24,V6_Architecture!K$24,"")</f>
        <v/>
      </c>
      <c r="L28" s="151" t="str">
        <f>IF(VLOOKUP($E28,BDD!$A$2:$N$567,MATCH($H$23,BDD!$A$1:$P$1,0),FALSE)=L$24,V6_Architecture!L$24,"")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100"/>
      <c r="AI28" s="30"/>
    </row>
    <row r="29" spans="1:35" ht="55.2" x14ac:dyDescent="0.3">
      <c r="A29" s="100"/>
      <c r="B29" s="30"/>
      <c r="C29" s="30" t="str">
        <f t="shared" si="0"/>
        <v>6</v>
      </c>
      <c r="D29" s="32">
        <f>IF(LEFT(F29,5)="Bonne",D27+1,D28)</f>
        <v>1</v>
      </c>
      <c r="E29" s="32" t="str">
        <f t="shared" si="3"/>
        <v>613</v>
      </c>
      <c r="F29" s="143" t="s">
        <v>30</v>
      </c>
      <c r="G29" s="144" t="str">
        <f>VLOOKUP(E29,BDD!$A$2:$N$567,MATCH(G$24,BDD!$A$1:$P$1,0),FALSE)</f>
        <v xml:space="preserve">Les cartographies sont mises en cohérence avec les processus et les capacités métiers au travers d’outils qui permettent de faire facilement le lien entre les utilisateurs, les processus et les composants du SI, et de classifier ces derniers selon leur criticité pour les métiers. </v>
      </c>
      <c r="H29" s="149" t="str">
        <f>IF(VLOOKUP($E29,BDD!$A$2:$N$567,MATCH($H$23,BDD!$A$1:$P$1,0),FALSE)=H$24,V6_Architecture!H$24,"")</f>
        <v/>
      </c>
      <c r="I29" s="150" t="str">
        <f>IF(VLOOKUP($E29,BDD!$A$2:$N$567,MATCH($H$23,BDD!$A$1:$P$1,0),FALSE)=I$24,V6_Architecture!I$24,"")</f>
        <v/>
      </c>
      <c r="J29" s="150" t="str">
        <f>IF(VLOOKUP($E29,BDD!$A$2:$N$567,MATCH($H$23,BDD!$A$1:$P$1,0),FALSE)=J$24,V6_Architecture!J$24,"")</f>
        <v/>
      </c>
      <c r="K29" s="150" t="str">
        <f>IF(VLOOKUP($E29,BDD!$A$2:$N$567,MATCH($H$23,BDD!$A$1:$P$1,0),FALSE)=K$24,V6_Architecture!K$24,"")</f>
        <v>N4</v>
      </c>
      <c r="L29" s="151" t="str">
        <f>IF(VLOOKUP($E29,BDD!$A$2:$N$567,MATCH($H$23,BDD!$A$1:$P$1,0),FALSE)=L$24,V6_Architecture!L$24,"")</f>
        <v/>
      </c>
      <c r="M29" s="63">
        <f t="shared" si="1"/>
        <v>0</v>
      </c>
      <c r="N29" s="144" t="str">
        <f>VLOOKUP(VLOOKUP(E29,BDD!$A$2:$P$428,15,FALSE),Suppl!$D$64:$E$68,2,FALSE)</f>
        <v>Non renseigné</v>
      </c>
      <c r="O29" s="629"/>
      <c r="P29" s="629"/>
      <c r="Q29" s="629"/>
      <c r="R29" s="629"/>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100"/>
      <c r="AI29" s="30"/>
    </row>
    <row r="30" spans="1:35" ht="41.4" x14ac:dyDescent="0.3">
      <c r="A30" s="100"/>
      <c r="B30" s="30"/>
      <c r="C30" s="30" t="str">
        <f t="shared" si="0"/>
        <v>6</v>
      </c>
      <c r="D30" s="32">
        <f t="shared" si="2"/>
        <v>1</v>
      </c>
      <c r="E30" s="32" t="str">
        <f t="shared" si="3"/>
        <v>614</v>
      </c>
      <c r="F30" s="145" t="s">
        <v>32</v>
      </c>
      <c r="G30" s="146" t="str">
        <f>VLOOKUP(E30,BDD!$A$2:$N$567,MATCH(G$24,BDD!$A$1:$P$1,0),FALSE)</f>
        <v>Un processus d'élaboration, de maintenance et de communication des cartographies, impliquant l'ensemble des parties prenantes, est formalisé et mis en place. Les rôles et responsabilités sont définis et connus. Un suivi des activités est effectué.</v>
      </c>
      <c r="H30" s="149" t="str">
        <f>IF(VLOOKUP($E30,BDD!$A$2:$N$567,MATCH($H$23,BDD!$A$1:$P$1,0),FALSE)=H$24,V6_Architecture!H$24,"")</f>
        <v/>
      </c>
      <c r="I30" s="150" t="str">
        <f>IF(VLOOKUP($E30,BDD!$A$2:$N$567,MATCH($H$23,BDD!$A$1:$P$1,0),FALSE)=I$24,V6_Architecture!I$24,"")</f>
        <v/>
      </c>
      <c r="J30" s="150" t="str">
        <f>IF(VLOOKUP($E30,BDD!$A$2:$N$567,MATCH($H$23,BDD!$A$1:$P$1,0),FALSE)=J$24,V6_Architecture!J$24,"")</f>
        <v>N3</v>
      </c>
      <c r="K30" s="150" t="str">
        <f>IF(VLOOKUP($E30,BDD!$A$2:$N$567,MATCH($H$23,BDD!$A$1:$P$1,0),FALSE)=K$24,V6_Architecture!K$24,"")</f>
        <v/>
      </c>
      <c r="L30" s="151" t="str">
        <f>IF(VLOOKUP($E30,BDD!$A$2:$N$567,MATCH($H$23,BDD!$A$1:$P$1,0),FALSE)=L$24,V6_Architecture!L$24,"")</f>
        <v/>
      </c>
      <c r="M30" s="63">
        <f t="shared" si="1"/>
        <v>0</v>
      </c>
      <c r="N30" s="146" t="str">
        <f>VLOOKUP(VLOOKUP(E30,BDD!$A$2:$P$428,15,FALSE),Suppl!$D$64:$E$68,2,FALSE)</f>
        <v>Non renseigné</v>
      </c>
      <c r="O30" s="629"/>
      <c r="P30" s="629"/>
      <c r="Q30" s="629"/>
      <c r="R30" s="629"/>
      <c r="S30" s="627">
        <f>IF(N30=Suppl!$E$65,0,IF(N30=Suppl!$E$66,1/2/(COUNTIFS($D:$D,D30,$N:$N,"Exigences"&amp;"*",G:G,"&lt;&gt;0")+COUNTIFS($D:$D,D30,$N:$N,"Non"&amp;"*",G:G,"&lt;&gt;0")),IF(N30=Suppl!$E$67,1/(COUNTIFS($D:$D,D30,$N:$N,"Exigences"&amp;"*",G:G,"&lt;&gt;0")+COUNTIFS($D:$D,D30,$N:$N,"Non"&amp;"*",G:G,"&lt;&gt;0")),0)))</f>
        <v>0</v>
      </c>
      <c r="T30" s="627"/>
      <c r="U30" s="627"/>
      <c r="V30" s="628"/>
      <c r="W30" s="356">
        <f>IFERROR(IF(N30=Suppl!$E$65,0,IF(N30=Suppl!$E$66,1/2/(COUNTIFS($N:$N,"Exigences"&amp;"*")+COUNTIFS($N:$N,"Non"&amp;"*")),IF(N30=Suppl!$E$67,1/(COUNTIFS($N:$N,"Exigences"&amp;"*")+COUNTIFS($N:$N,"Non"&amp;"*")),0))),0)</f>
        <v>0</v>
      </c>
      <c r="X30" s="30" t="s">
        <v>164</v>
      </c>
      <c r="Y30" s="30"/>
      <c r="Z30" s="30"/>
      <c r="AA30" s="30"/>
      <c r="AB30" s="30"/>
      <c r="AC30" s="30"/>
      <c r="AD30" s="30"/>
      <c r="AE30" s="30"/>
      <c r="AF30" s="30"/>
      <c r="AG30" s="30"/>
      <c r="AH30" s="100"/>
      <c r="AI30" s="30"/>
    </row>
    <row r="31" spans="1:35" ht="30" customHeight="1" x14ac:dyDescent="0.3">
      <c r="A31" s="100"/>
      <c r="B31" s="30"/>
      <c r="C31" s="30" t="str">
        <f t="shared" si="0"/>
        <v>6</v>
      </c>
      <c r="D31" s="32">
        <f t="shared" ref="D31:D66" si="4">IF(LEFT(F31,5)="Bonne",D29+1,D30)</f>
        <v>2</v>
      </c>
      <c r="E31" s="32" t="str">
        <f t="shared" ref="E31:E66" si="5">C31&amp;D31&amp;RIGHT(F31,1)</f>
        <v>622</v>
      </c>
      <c r="F31" s="191" t="s">
        <v>500</v>
      </c>
      <c r="G31" s="192" t="str">
        <f>VLOOKUP(E33,BDD!$A$2:$N$567,6,FALSE)</f>
        <v>Feuille de route SI</v>
      </c>
      <c r="H31" s="190" t="str">
        <f>VLOOKUP(E33,BDD!$A$2:$N$567,6,FALSE)</f>
        <v>Feuille de route SI</v>
      </c>
      <c r="I31" s="135"/>
      <c r="J31" s="135"/>
      <c r="K31" s="135"/>
      <c r="L31" s="136"/>
      <c r="M31" s="137"/>
      <c r="N31" s="138"/>
      <c r="O31" s="630">
        <v>0</v>
      </c>
      <c r="P31" s="630"/>
      <c r="Q31" s="630"/>
      <c r="R31" s="630"/>
      <c r="S31" s="632">
        <f>SUMIFS(S:S,$D:$D,D31,$N:$N,"Exigences"&amp;"*")</f>
        <v>0</v>
      </c>
      <c r="T31" s="632"/>
      <c r="U31" s="632"/>
      <c r="V31" s="633"/>
      <c r="W31" s="356">
        <f>IFERROR(IF(N31=Suppl!$E$65,0,IF(N31=Suppl!$E$66,1/2/(COUNTIFS($N:$N,"Exigences"&amp;"*")+COUNTIFS($N:$N,"Non"&amp;"*")),IF(N31=Suppl!$E$67,1/(COUNTIFS($N:$N,"Exigences"&amp;"*")+COUNTIFS($N:$N,"Non"&amp;"*")),0))),0)</f>
        <v>0</v>
      </c>
      <c r="X31" s="30"/>
      <c r="Y31" s="30"/>
      <c r="Z31" s="30"/>
      <c r="AA31" s="30"/>
      <c r="AB31" s="30"/>
      <c r="AC31" s="30"/>
      <c r="AD31" s="30"/>
      <c r="AE31" s="30"/>
      <c r="AF31" s="30"/>
      <c r="AG31" s="30"/>
      <c r="AH31" s="100"/>
      <c r="AI31" s="30"/>
    </row>
    <row r="32" spans="1:35" ht="30" customHeight="1" x14ac:dyDescent="0.3">
      <c r="A32" s="100"/>
      <c r="B32" s="30"/>
      <c r="C32" s="30" t="str">
        <f t="shared" si="0"/>
        <v>6</v>
      </c>
      <c r="D32" s="32">
        <f t="shared" si="4"/>
        <v>2</v>
      </c>
      <c r="E32" s="32" t="str">
        <f t="shared" si="5"/>
        <v>621</v>
      </c>
      <c r="F32" s="211" t="s">
        <v>550</v>
      </c>
      <c r="G32" s="620" t="str">
        <f>VLOOKUP(E34,BDD!$A$2:$N$567,7,FALSE)</f>
        <v xml:space="preserve">Le volet numérique du plan stratégique de l’organisation se décline dans une feuille de route (ou schéma directeur SI), co-construite avec les métiers, qui s’appuie sur la cartographie, le schéma d’urbanisation s'il existe, ou à défaut, sur le patrimoine applicatif et sur l’organisation des données. </v>
      </c>
      <c r="H32" s="621"/>
      <c r="I32" s="621"/>
      <c r="J32" s="621"/>
      <c r="K32" s="621"/>
      <c r="L32" s="621"/>
      <c r="M32" s="621"/>
      <c r="N32" s="622"/>
      <c r="O32" s="631"/>
      <c r="P32" s="631"/>
      <c r="Q32" s="631"/>
      <c r="R32" s="631"/>
      <c r="S32" s="634"/>
      <c r="T32" s="634"/>
      <c r="U32" s="634"/>
      <c r="V32" s="635"/>
      <c r="W32" s="356">
        <f>IFERROR(IF(N32=Suppl!$E$65,0,IF(N32=Suppl!$E$66,1/2/(COUNTIFS($N:$N,"Exigences"&amp;"*")+COUNTIFS($N:$N,"Non"&amp;"*")),IF(N32=Suppl!$E$67,1/(COUNTIFS($N:$N,"Exigences"&amp;"*")+COUNTIFS($N:$N,"Non"&amp;"*")),0))),0)</f>
        <v>0</v>
      </c>
      <c r="X32" s="30"/>
      <c r="Y32" s="30"/>
      <c r="Z32" s="30"/>
      <c r="AA32" s="30"/>
      <c r="AB32" s="30"/>
      <c r="AC32" s="30"/>
      <c r="AD32" s="30"/>
      <c r="AE32" s="30"/>
      <c r="AF32" s="30"/>
      <c r="AG32" s="30"/>
      <c r="AH32" s="100"/>
      <c r="AI32" s="30"/>
    </row>
    <row r="33" spans="1:35" ht="43.2" customHeight="1" x14ac:dyDescent="0.3">
      <c r="A33" s="100"/>
      <c r="B33" s="30"/>
      <c r="C33" s="30" t="str">
        <f t="shared" si="0"/>
        <v>6</v>
      </c>
      <c r="D33" s="32">
        <f t="shared" si="4"/>
        <v>2</v>
      </c>
      <c r="E33" s="32" t="str">
        <f t="shared" si="5"/>
        <v>621</v>
      </c>
      <c r="F33" s="143" t="s">
        <v>27</v>
      </c>
      <c r="G33" s="144" t="str">
        <f>VLOOKUP(E33,BDD!$A$2:$N$567,MATCH(G$24,BDD!$A$1:$P$1,0),FALSE)</f>
        <v>La feuille de route SI décrit la cible du SI et les grandes étapes pour atteindre les objectifs du volet numérique du plan stratégique de l’organisation. Elle est connue des responsables SI et des métiers. </v>
      </c>
      <c r="H33" s="149" t="str">
        <f>IF(VLOOKUP($E33,BDD!$A$2:$N$567,MATCH($H$23,BDD!$A$1:$P$1,0),FALSE)=H$24,V6_Architecture!H$24,"")</f>
        <v/>
      </c>
      <c r="I33" s="150" t="str">
        <f>IF(VLOOKUP($E33,BDD!$A$2:$N$567,MATCH($H$23,BDD!$A$1:$P$1,0),FALSE)=I$24,V6_Architecture!I$24,"")</f>
        <v>N2</v>
      </c>
      <c r="J33" s="150" t="str">
        <f>IF(VLOOKUP($E33,BDD!$A$2:$N$567,MATCH($H$23,BDD!$A$1:$P$1,0),FALSE)=J$24,V6_Architecture!J$24,"")</f>
        <v/>
      </c>
      <c r="K33" s="150" t="str">
        <f>IF(VLOOKUP($E33,BDD!$A$2:$N$567,MATCH($H$23,BDD!$A$1:$P$1,0),FALSE)=K$24,V6_Architecture!K$24,"")</f>
        <v/>
      </c>
      <c r="L33" s="151" t="str">
        <f>IF(VLOOKUP($E33,BDD!$A$2:$N$567,MATCH($H$23,BDD!$A$1:$P$1,0),FALSE)=L$24,V6_Architecture!L$24,"")</f>
        <v/>
      </c>
      <c r="M33" s="63">
        <f>IF(N33="Exigences partiellement respectées",1,IF(N33="Exigences respectées",2,0))</f>
        <v>0</v>
      </c>
      <c r="N33" s="144" t="str">
        <f>VLOOKUP(VLOOKUP(E33,BDD!$A$2:$P$428,15,FALSE),Suppl!$D$64:$E$68,2,FALSE)</f>
        <v>Non renseigné</v>
      </c>
      <c r="O33" s="626"/>
      <c r="P33" s="626"/>
      <c r="Q33" s="626"/>
      <c r="R33" s="626"/>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100"/>
      <c r="AI33" s="30"/>
    </row>
    <row r="34" spans="1:35" ht="30" customHeight="1" x14ac:dyDescent="0.3">
      <c r="A34" s="100"/>
      <c r="B34" s="30"/>
      <c r="C34" s="30" t="str">
        <f t="shared" si="0"/>
        <v>6</v>
      </c>
      <c r="D34" s="32">
        <f t="shared" si="4"/>
        <v>2</v>
      </c>
      <c r="E34" s="32" t="str">
        <f t="shared" si="5"/>
        <v>622</v>
      </c>
      <c r="F34" s="145" t="s">
        <v>28</v>
      </c>
      <c r="G34" s="146" t="str">
        <f>VLOOKUP(E34,BDD!$A$2:$N$567,MATCH(G$24,BDD!$A$1:$P$1,0),FALSE)</f>
        <v>Les cartographies décrivent le positionnement actuel et cible des composants des cartographies ainsi que leurs trajectoires.</v>
      </c>
      <c r="H34" s="149" t="str">
        <f>IF(VLOOKUP($E34,BDD!$A$2:$N$567,MATCH($H$23,BDD!$A$1:$P$1,0),FALSE)=H$24,V6_Architecture!H$24,"")</f>
        <v>N1</v>
      </c>
      <c r="I34" s="150" t="str">
        <f>IF(VLOOKUP($E34,BDD!$A$2:$N$567,MATCH($H$23,BDD!$A$1:$P$1,0),FALSE)=I$24,V6_Architecture!I$24,"")</f>
        <v/>
      </c>
      <c r="J34" s="150" t="str">
        <f>IF(VLOOKUP($E34,BDD!$A$2:$N$567,MATCH($H$23,BDD!$A$1:$P$1,0),FALSE)=J$24,V6_Architecture!J$24,"")</f>
        <v/>
      </c>
      <c r="K34" s="150" t="str">
        <f>IF(VLOOKUP($E34,BDD!$A$2:$N$567,MATCH($H$23,BDD!$A$1:$P$1,0),FALSE)=K$24,V6_Architecture!K$24,"")</f>
        <v/>
      </c>
      <c r="L34" s="151" t="str">
        <f>IF(VLOOKUP($E34,BDD!$A$2:$N$567,MATCH($H$23,BDD!$A$1:$P$1,0),FALSE)=L$24,V6_Architecture!L$24,"")</f>
        <v/>
      </c>
      <c r="M34" s="63">
        <f t="shared" ref="M34:M36" si="6">IF(N34="Exigences partiellement respectées",1,IF(N34="Exigences respectées",2,0))</f>
        <v>0</v>
      </c>
      <c r="N34" s="146" t="str">
        <f>VLOOKUP(VLOOKUP(E34,BDD!$A$2:$P$428,15,FALSE),Suppl!$D$64:$E$68,2,FALSE)</f>
        <v>Non renseigné</v>
      </c>
      <c r="O34" s="629"/>
      <c r="P34" s="629"/>
      <c r="Q34" s="629"/>
      <c r="R34" s="629"/>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100"/>
      <c r="AI34" s="30"/>
    </row>
    <row r="35" spans="1:35" ht="46.2" customHeight="1" x14ac:dyDescent="0.3">
      <c r="A35" s="100"/>
      <c r="B35" s="30"/>
      <c r="C35" s="30" t="str">
        <f t="shared" si="0"/>
        <v>6</v>
      </c>
      <c r="D35" s="32">
        <f t="shared" si="4"/>
        <v>2</v>
      </c>
      <c r="E35" s="32" t="str">
        <f t="shared" si="5"/>
        <v>623</v>
      </c>
      <c r="F35" s="143" t="s">
        <v>30</v>
      </c>
      <c r="G35" s="144" t="str">
        <f>VLOOKUP(E35,BDD!$A$2:$N$567,MATCH(G$24,BDD!$A$1:$P$1,0),FALSE)</f>
        <v>La feuille de route SI détaille les projets d’alignement du SI avec le plan stratégique de l’organisation en précisant les feuilles de route des composants présentant un écart par rapport à la cible.</v>
      </c>
      <c r="H35" s="149" t="str">
        <f>IF(VLOOKUP($E35,BDD!$A$2:$N$567,MATCH($H$23,BDD!$A$1:$P$1,0),FALSE)=H$24,V6_Architecture!H$24,"")</f>
        <v/>
      </c>
      <c r="I35" s="150" t="str">
        <f>IF(VLOOKUP($E35,BDD!$A$2:$N$567,MATCH($H$23,BDD!$A$1:$P$1,0),FALSE)=I$24,V6_Architecture!I$24,"")</f>
        <v/>
      </c>
      <c r="J35" s="150" t="str">
        <f>IF(VLOOKUP($E35,BDD!$A$2:$N$567,MATCH($H$23,BDD!$A$1:$P$1,0),FALSE)=J$24,V6_Architecture!J$24,"")</f>
        <v>N3</v>
      </c>
      <c r="K35" s="150" t="str">
        <f>IF(VLOOKUP($E35,BDD!$A$2:$N$567,MATCH($H$23,BDD!$A$1:$P$1,0),FALSE)=K$24,V6_Architecture!K$24,"")</f>
        <v/>
      </c>
      <c r="L35" s="151" t="str">
        <f>IF(VLOOKUP($E35,BDD!$A$2:$N$567,MATCH($H$23,BDD!$A$1:$P$1,0),FALSE)=L$24,V6_Architecture!L$24,"")</f>
        <v/>
      </c>
      <c r="M35" s="63">
        <f t="shared" si="6"/>
        <v>0</v>
      </c>
      <c r="N35" s="144" t="str">
        <f>VLOOKUP(VLOOKUP(E35,BDD!$A$2:$P$428,15,FALSE),Suppl!$D$64:$E$68,2,FALSE)</f>
        <v>Non renseigné</v>
      </c>
      <c r="O35" s="629"/>
      <c r="P35" s="629"/>
      <c r="Q35" s="629"/>
      <c r="R35" s="629"/>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100"/>
      <c r="AI35" s="30"/>
    </row>
    <row r="36" spans="1:35" ht="30" customHeight="1" x14ac:dyDescent="0.3">
      <c r="A36" s="100"/>
      <c r="B36" s="30"/>
      <c r="C36" s="30" t="str">
        <f t="shared" si="0"/>
        <v>6</v>
      </c>
      <c r="D36" s="32">
        <f t="shared" si="4"/>
        <v>2</v>
      </c>
      <c r="E36" s="32" t="str">
        <f t="shared" si="5"/>
        <v>624</v>
      </c>
      <c r="F36" s="145" t="s">
        <v>32</v>
      </c>
      <c r="G36" s="146" t="str">
        <f>VLOOKUP(E36,BDD!$A$2:$N$567,MATCH(G$24,BDD!$A$1:$P$1,0),FALSE)</f>
        <v>La feuille de route SI est mise à jour au moins une fois par an pour tenir compte des évolutions technologiques, stratégiques et réglementaires.</v>
      </c>
      <c r="H36" s="149" t="str">
        <f>IF(VLOOKUP($E36,BDD!$A$2:$N$567,MATCH($H$23,BDD!$A$1:$P$1,0),FALSE)=H$24,V6_Architecture!H$24,"")</f>
        <v/>
      </c>
      <c r="I36" s="150" t="str">
        <f>IF(VLOOKUP($E36,BDD!$A$2:$N$567,MATCH($H$23,BDD!$A$1:$P$1,0),FALSE)=I$24,V6_Architecture!I$24,"")</f>
        <v/>
      </c>
      <c r="J36" s="150" t="str">
        <f>IF(VLOOKUP($E36,BDD!$A$2:$N$567,MATCH($H$23,BDD!$A$1:$P$1,0),FALSE)=J$24,V6_Architecture!J$24,"")</f>
        <v/>
      </c>
      <c r="K36" s="150" t="str">
        <f>IF(VLOOKUP($E36,BDD!$A$2:$N$567,MATCH($H$23,BDD!$A$1:$P$1,0),FALSE)=K$24,V6_Architecture!K$24,"")</f>
        <v>N4</v>
      </c>
      <c r="L36" s="151" t="str">
        <f>IF(VLOOKUP($E36,BDD!$A$2:$N$567,MATCH($H$23,BDD!$A$1:$P$1,0),FALSE)=L$24,V6_Architecture!L$24,"")</f>
        <v/>
      </c>
      <c r="M36" s="63">
        <f t="shared" si="6"/>
        <v>0</v>
      </c>
      <c r="N36" s="146" t="str">
        <f>VLOOKUP(VLOOKUP(E36,BDD!$A$2:$P$428,15,FALSE),Suppl!$D$64:$E$68,2,FALSE)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100"/>
      <c r="AI36" s="30"/>
    </row>
    <row r="37" spans="1:35" ht="30" customHeight="1" x14ac:dyDescent="0.3">
      <c r="A37" s="100"/>
      <c r="B37" s="30"/>
      <c r="C37" s="30" t="str">
        <f t="shared" si="0"/>
        <v>6</v>
      </c>
      <c r="D37" s="32">
        <f t="shared" si="4"/>
        <v>3</v>
      </c>
      <c r="E37" s="32" t="str">
        <f t="shared" si="5"/>
        <v>633</v>
      </c>
      <c r="F37" s="191" t="s">
        <v>501</v>
      </c>
      <c r="G37" s="192" t="str">
        <f>VLOOKUP(E39,BDD!$A$2:$N$567,6,FALSE)</f>
        <v>Modularité et ouverture de l'architecture</v>
      </c>
      <c r="H37" s="190"/>
      <c r="I37" s="135"/>
      <c r="J37" s="135"/>
      <c r="K37" s="135"/>
      <c r="L37" s="136"/>
      <c r="M37" s="137"/>
      <c r="N37" s="138"/>
      <c r="O37" s="630">
        <v>0</v>
      </c>
      <c r="P37" s="630"/>
      <c r="Q37" s="630"/>
      <c r="R37" s="630"/>
      <c r="S37" s="632">
        <f>SUMIFS(S:S,$D:$D,D37,$N:$N,"Exigences"&amp;"*")</f>
        <v>0</v>
      </c>
      <c r="T37" s="632"/>
      <c r="U37" s="632"/>
      <c r="V37" s="633"/>
      <c r="W37" s="356">
        <f>IFERROR(IF(N37=Suppl!$E$65,0,IF(N37=Suppl!$E$66,1/2/(COUNTIFS($N:$N,"Exigences"&amp;"*")+COUNTIFS($N:$N,"Non"&amp;"*")),IF(N37=Suppl!$E$67,1/(COUNTIFS($N:$N,"Exigences"&amp;"*")+COUNTIFS($N:$N,"Non"&amp;"*")),0))),0)</f>
        <v>0</v>
      </c>
      <c r="X37" s="30"/>
      <c r="Y37" s="30"/>
      <c r="Z37" s="30"/>
      <c r="AA37" s="30"/>
      <c r="AB37" s="30"/>
      <c r="AC37" s="30"/>
      <c r="AD37" s="30"/>
      <c r="AE37" s="30"/>
      <c r="AF37" s="30"/>
      <c r="AG37" s="30"/>
      <c r="AH37" s="100"/>
      <c r="AI37" s="30"/>
    </row>
    <row r="38" spans="1:35" ht="30" customHeight="1" x14ac:dyDescent="0.3">
      <c r="A38" s="100"/>
      <c r="B38" s="30"/>
      <c r="C38" s="30" t="str">
        <f t="shared" si="0"/>
        <v>6</v>
      </c>
      <c r="D38" s="32">
        <f t="shared" si="4"/>
        <v>3</v>
      </c>
      <c r="E38" s="32" t="str">
        <f t="shared" si="5"/>
        <v>631</v>
      </c>
      <c r="F38" s="211" t="s">
        <v>550</v>
      </c>
      <c r="G38" s="620" t="str">
        <f>VLOOKUP(E40,BDD!$A$2:$N$567,7,FALSE)</f>
        <v>La feuille de route du SI décline une architecture modulaire permettant la coexistence de systèmes d’information aux exigences hétérogènes et l’intégration de solutions diversifiées.</v>
      </c>
      <c r="H38" s="621"/>
      <c r="I38" s="621"/>
      <c r="J38" s="621"/>
      <c r="K38" s="621"/>
      <c r="L38" s="621"/>
      <c r="M38" s="621"/>
      <c r="N38" s="622"/>
      <c r="O38" s="631"/>
      <c r="P38" s="631"/>
      <c r="Q38" s="631"/>
      <c r="R38" s="631"/>
      <c r="S38" s="634"/>
      <c r="T38" s="634"/>
      <c r="U38" s="634"/>
      <c r="V38" s="635"/>
      <c r="W38" s="356">
        <f>IFERROR(IF(N38=Suppl!$E$65,0,IF(N38=Suppl!$E$66,1/2/(COUNTIFS($N:$N,"Exigences"&amp;"*")+COUNTIFS($N:$N,"Non"&amp;"*")),IF(N38=Suppl!$E$67,1/(COUNTIFS($N:$N,"Exigences"&amp;"*")+COUNTIFS($N:$N,"Non"&amp;"*")),0))),0)</f>
        <v>0</v>
      </c>
      <c r="X38" s="30"/>
      <c r="Y38" s="30"/>
      <c r="Z38" s="30"/>
      <c r="AA38" s="30"/>
      <c r="AB38" s="30"/>
      <c r="AC38" s="30"/>
      <c r="AD38" s="30"/>
      <c r="AE38" s="30"/>
      <c r="AF38" s="30"/>
      <c r="AG38" s="30"/>
      <c r="AH38" s="100"/>
      <c r="AI38" s="30"/>
    </row>
    <row r="39" spans="1:35" ht="30" customHeight="1" x14ac:dyDescent="0.3">
      <c r="A39" s="100"/>
      <c r="B39" s="30"/>
      <c r="C39" s="30" t="str">
        <f t="shared" si="0"/>
        <v>6</v>
      </c>
      <c r="D39" s="32">
        <f t="shared" si="4"/>
        <v>3</v>
      </c>
      <c r="E39" s="32" t="str">
        <f t="shared" si="5"/>
        <v>631</v>
      </c>
      <c r="F39" s="143" t="s">
        <v>27</v>
      </c>
      <c r="G39" s="144" t="str">
        <f>VLOOKUP(E39,BDD!$A$2:$N$567,MATCH(G$24,BDD!$A$1:$P$1,0),FALSE)</f>
        <v>La cartographie délimite les périmètres et les interactions entre les différents composants du SI (internes et externes). </v>
      </c>
      <c r="H39" s="149" t="str">
        <f>IF(VLOOKUP($E39,BDD!$A$2:$N$567,MATCH($H$23,BDD!$A$1:$P$1,0),FALSE)=H$24,V6_Architecture!H$24,"")</f>
        <v>N1</v>
      </c>
      <c r="I39" s="150" t="str">
        <f>IF(VLOOKUP($E39,BDD!$A$2:$N$567,MATCH($H$23,BDD!$A$1:$P$1,0),FALSE)=I$24,V6_Architecture!I$24,"")</f>
        <v/>
      </c>
      <c r="J39" s="150" t="str">
        <f>IF(VLOOKUP($E39,BDD!$A$2:$N$567,MATCH($H$23,BDD!$A$1:$P$1,0),FALSE)=J$24,V6_Architecture!J$24,"")</f>
        <v/>
      </c>
      <c r="K39" s="150" t="str">
        <f>IF(VLOOKUP($E39,BDD!$A$2:$N$567,MATCH($H$23,BDD!$A$1:$P$1,0),FALSE)=K$24,V6_Architecture!K$24,"")</f>
        <v/>
      </c>
      <c r="L39" s="151" t="str">
        <f>IF(VLOOKUP($E39,BDD!$A$2:$N$567,MATCH($H$23,BDD!$A$1:$P$1,0),FALSE)=L$24,V6_Architecture!L$24,"")</f>
        <v/>
      </c>
      <c r="M39" s="63">
        <f t="shared" ref="M39:M43" si="7">IF(N39="Exigences partiellement respectées",1,IF(N39="Exigences respectées",2,0))</f>
        <v>0</v>
      </c>
      <c r="N39" s="144" t="str">
        <f>VLOOKUP(VLOOKUP(E39,BDD!$A$2:$P$428,15,FALSE),Suppl!$D$64:$E$68,2,FALSE)</f>
        <v>Non renseigné</v>
      </c>
      <c r="O39" s="626"/>
      <c r="P39" s="626"/>
      <c r="Q39" s="626"/>
      <c r="R39" s="626"/>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100"/>
      <c r="AI39" s="30"/>
    </row>
    <row r="40" spans="1:35" ht="30" customHeight="1" x14ac:dyDescent="0.3">
      <c r="A40" s="100"/>
      <c r="B40" s="30"/>
      <c r="C40" s="30" t="str">
        <f t="shared" si="0"/>
        <v>6</v>
      </c>
      <c r="D40" s="32">
        <f t="shared" si="4"/>
        <v>3</v>
      </c>
      <c r="E40" s="32" t="str">
        <f t="shared" si="5"/>
        <v>632</v>
      </c>
      <c r="F40" s="145" t="s">
        <v>28</v>
      </c>
      <c r="G40" s="146" t="str">
        <f>VLOOKUP(E40,BDD!$A$2:$N$567,MATCH(G$24,BDD!$A$1:$P$1,0),FALSE)</f>
        <v>Les standards d'intégration et d'observabilité des composants externes sont définis et documentés. </v>
      </c>
      <c r="H40" s="149" t="str">
        <f>IF(VLOOKUP($E40,BDD!$A$2:$N$567,MATCH($H$23,BDD!$A$1:$P$1,0),FALSE)=H$24,V6_Architecture!H$24,"")</f>
        <v/>
      </c>
      <c r="I40" s="150" t="str">
        <f>IF(VLOOKUP($E40,BDD!$A$2:$N$567,MATCH($H$23,BDD!$A$1:$P$1,0),FALSE)=I$24,V6_Architecture!I$24,"")</f>
        <v/>
      </c>
      <c r="J40" s="150" t="str">
        <f>IF(VLOOKUP($E40,BDD!$A$2:$N$567,MATCH($H$23,BDD!$A$1:$P$1,0),FALSE)=J$24,V6_Architecture!J$24,"")</f>
        <v>N3</v>
      </c>
      <c r="K40" s="150" t="str">
        <f>IF(VLOOKUP($E40,BDD!$A$2:$N$567,MATCH($H$23,BDD!$A$1:$P$1,0),FALSE)=K$24,V6_Architecture!K$24,"")</f>
        <v/>
      </c>
      <c r="L40" s="151" t="str">
        <f>IF(VLOOKUP($E40,BDD!$A$2:$N$567,MATCH($H$23,BDD!$A$1:$P$1,0),FALSE)=L$24,V6_Architecture!L$24,"")</f>
        <v/>
      </c>
      <c r="M40" s="63">
        <f t="shared" si="7"/>
        <v>0</v>
      </c>
      <c r="N40" s="146" t="str">
        <f>VLOOKUP(VLOOKUP(E40,BDD!$A$2:$P$428,15,FALSE),Suppl!$D$64:$E$68,2,FALSE)</f>
        <v>Non renseigné</v>
      </c>
      <c r="O40" s="629"/>
      <c r="P40" s="629"/>
      <c r="Q40" s="629"/>
      <c r="R40" s="629"/>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100"/>
      <c r="AI40" s="30"/>
    </row>
    <row r="41" spans="1:35" ht="41.4" x14ac:dyDescent="0.3">
      <c r="A41" s="100"/>
      <c r="B41" s="30"/>
      <c r="C41" s="30" t="str">
        <f t="shared" si="0"/>
        <v>6</v>
      </c>
      <c r="D41" s="32">
        <f t="shared" si="4"/>
        <v>3</v>
      </c>
      <c r="E41" s="32" t="str">
        <f t="shared" si="5"/>
        <v>633</v>
      </c>
      <c r="F41" s="143" t="s">
        <v>30</v>
      </c>
      <c r="G41" s="144" t="str">
        <f>VLOOKUP(E41,BDD!$A$2:$N$567,MATCH(G$24,BDD!$A$1:$P$1,0),FALSE)</f>
        <v>Les principes de remédiation et d'auditabilité des composants externes et les règles d’architecture associées sont définis et permettent de limiter la dépendance de l'organisation.</v>
      </c>
      <c r="H41" s="149" t="str">
        <f>IF(VLOOKUP($E41,BDD!$A$2:$N$567,MATCH($H$23,BDD!$A$1:$P$1,0),FALSE)=H$24,V6_Architecture!H$24,"")</f>
        <v/>
      </c>
      <c r="I41" s="150" t="str">
        <f>IF(VLOOKUP($E41,BDD!$A$2:$N$567,MATCH($H$23,BDD!$A$1:$P$1,0),FALSE)=I$24,V6_Architecture!I$24,"")</f>
        <v/>
      </c>
      <c r="J41" s="150" t="str">
        <f>IF(VLOOKUP($E41,BDD!$A$2:$N$567,MATCH($H$23,BDD!$A$1:$P$1,0),FALSE)=J$24,V6_Architecture!J$24,"")</f>
        <v/>
      </c>
      <c r="K41" s="150" t="str">
        <f>IF(VLOOKUP($E41,BDD!$A$2:$N$567,MATCH($H$23,BDD!$A$1:$P$1,0),FALSE)=K$24,V6_Architecture!K$24,"")</f>
        <v>N4</v>
      </c>
      <c r="L41" s="151" t="str">
        <f>IF(VLOOKUP($E41,BDD!$A$2:$N$567,MATCH($H$23,BDD!$A$1:$P$1,0),FALSE)=L$24,V6_Architecture!L$24,"")</f>
        <v/>
      </c>
      <c r="M41" s="63">
        <f t="shared" si="7"/>
        <v>0</v>
      </c>
      <c r="N41" s="144" t="str">
        <f>VLOOKUP(VLOOKUP(E41,BDD!$A$2:$P$428,15,FALSE),Suppl!$D$64:$E$68,2,FALSE)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100"/>
      <c r="AI41" s="30"/>
    </row>
    <row r="42" spans="1:35" ht="41.4" customHeight="1" x14ac:dyDescent="0.3">
      <c r="A42" s="100"/>
      <c r="B42" s="30"/>
      <c r="C42" s="30" t="str">
        <f t="shared" si="0"/>
        <v>6</v>
      </c>
      <c r="D42" s="32">
        <f t="shared" si="4"/>
        <v>3</v>
      </c>
      <c r="E42" s="32" t="str">
        <f t="shared" si="5"/>
        <v>634</v>
      </c>
      <c r="F42" s="145" t="s">
        <v>32</v>
      </c>
      <c r="G42" s="146" t="str">
        <f>VLOOKUP(E42,BDD!$A$2:$N$567,MATCH(G$24,BDD!$A$1:$P$1,0),FALSE)</f>
        <v>Les dépendances techniques et d’exploitation (y compris la maintenance) et celles liées à la chaîne de support sont identifiées, documentées et prises en compte sur les plans technique et contractuel.</v>
      </c>
      <c r="H42" s="149" t="str">
        <f>IF(VLOOKUP($E42,BDD!$A$2:$N$567,MATCH($H$23,BDD!$A$1:$P$1,0),FALSE)=H$24,V6_Architecture!H$24,"")</f>
        <v/>
      </c>
      <c r="I42" s="150" t="str">
        <f>IF(VLOOKUP($E42,BDD!$A$2:$N$567,MATCH($H$23,BDD!$A$1:$P$1,0),FALSE)=I$24,V6_Architecture!I$24,"")</f>
        <v/>
      </c>
      <c r="J42" s="150" t="str">
        <f>IF(VLOOKUP($E42,BDD!$A$2:$N$567,MATCH($H$23,BDD!$A$1:$P$1,0),FALSE)=J$24,V6_Architecture!J$24,"")</f>
        <v>N3</v>
      </c>
      <c r="K42" s="150" t="str">
        <f>IF(VLOOKUP($E42,BDD!$A$2:$N$567,MATCH($H$23,BDD!$A$1:$P$1,0),FALSE)=K$24,V6_Architecture!K$24,"")</f>
        <v/>
      </c>
      <c r="L42" s="151" t="str">
        <f>IF(VLOOKUP($E42,BDD!$A$2:$N$567,MATCH($H$23,BDD!$A$1:$P$1,0),FALSE)=L$24,V6_Architecture!L$24,"")</f>
        <v/>
      </c>
      <c r="M42" s="63">
        <f t="shared" si="7"/>
        <v>0</v>
      </c>
      <c r="N42" s="146" t="str">
        <f>VLOOKUP(VLOOKUP(E42,BDD!$A$2:$P$428,15,FALSE),Suppl!$D$64:$E$68,2,FALSE)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100"/>
      <c r="AI42" s="30"/>
    </row>
    <row r="43" spans="1:35" ht="41.4" x14ac:dyDescent="0.3">
      <c r="A43" s="100"/>
      <c r="B43" s="30"/>
      <c r="C43" s="30" t="str">
        <f t="shared" si="0"/>
        <v>6</v>
      </c>
      <c r="D43" s="32">
        <f t="shared" si="4"/>
        <v>3</v>
      </c>
      <c r="E43" s="32" t="str">
        <f t="shared" si="5"/>
        <v>635</v>
      </c>
      <c r="F43" s="143" t="s">
        <v>33</v>
      </c>
      <c r="G43" s="144" t="str">
        <f>VLOOKUP(E43,BDD!$A$2:$N$567,MATCH(G$24,BDD!$A$1:$P$1,0),FALSE)</f>
        <v>La modularité passe par l'exposition et l'intégration de services élémentaires documentés et maintenus. Cette démarche concerne également la modernisation d'applications (legacy).</v>
      </c>
      <c r="H43" s="149" t="str">
        <f>IF(VLOOKUP($E43,BDD!$A$2:$N$567,MATCH($H$23,BDD!$A$1:$P$1,0),FALSE)=H$24,V6_Architecture!H$24,"")</f>
        <v/>
      </c>
      <c r="I43" s="150" t="str">
        <f>IF(VLOOKUP($E43,BDD!$A$2:$N$567,MATCH($H$23,BDD!$A$1:$P$1,0),FALSE)=I$24,V6_Architecture!I$24,"")</f>
        <v/>
      </c>
      <c r="J43" s="150" t="str">
        <f>IF(VLOOKUP($E43,BDD!$A$2:$N$567,MATCH($H$23,BDD!$A$1:$P$1,0),FALSE)=J$24,V6_Architecture!J$24,"")</f>
        <v/>
      </c>
      <c r="K43" s="150" t="str">
        <f>IF(VLOOKUP($E43,BDD!$A$2:$N$567,MATCH($H$23,BDD!$A$1:$P$1,0),FALSE)=K$24,V6_Architecture!K$24,"")</f>
        <v>N4</v>
      </c>
      <c r="L43" s="151" t="str">
        <f>IF(VLOOKUP($E43,BDD!$A$2:$N$567,MATCH($H$23,BDD!$A$1:$P$1,0),FALSE)=L$24,V6_Architecture!L$24,"")</f>
        <v/>
      </c>
      <c r="M43" s="63">
        <f t="shared" si="7"/>
        <v>0</v>
      </c>
      <c r="N43" s="144" t="str">
        <f>VLOOKUP(VLOOKUP(E43,BDD!$A$2:$P$428,15,FALSE),Suppl!$D$64:$E$68,2,FALSE)</f>
        <v>Non renseigné</v>
      </c>
      <c r="O43" s="629"/>
      <c r="P43" s="629"/>
      <c r="Q43" s="629"/>
      <c r="R43" s="629"/>
      <c r="S43" s="627">
        <f>IF(N43=Suppl!$E$65,0,IF(N43=Suppl!$E$66,1/2/(COUNTIFS($D:$D,D43,$N:$N,"Exigences"&amp;"*",G:G,"&lt;&gt;0")+COUNTIFS($D:$D,D43,$N:$N,"Non"&amp;"*",G:G,"&lt;&gt;0")),IF(N43=Suppl!$E$67,1/(COUNTIFS($D:$D,D43,$N:$N,"Exigences"&amp;"*",G:G,"&lt;&gt;0")+COUNTIFS($D:$D,D43,$N:$N,"Non"&amp;"*",G:G,"&lt;&gt;0")),0)))</f>
        <v>0</v>
      </c>
      <c r="T43" s="627"/>
      <c r="U43" s="627"/>
      <c r="V43" s="628"/>
      <c r="W43" s="356">
        <f>IFERROR(IF(N43=Suppl!$E$65,0,IF(N43=Suppl!$E$66,1/2/(COUNTIFS($N:$N,"Exigences"&amp;"*")+COUNTIFS($N:$N,"Non"&amp;"*")),IF(N43=Suppl!$E$67,1/(COUNTIFS($N:$N,"Exigences"&amp;"*")+COUNTIFS($N:$N,"Non"&amp;"*")),0))),0)</f>
        <v>0</v>
      </c>
      <c r="X43" s="30"/>
      <c r="Y43" s="30"/>
      <c r="Z43" s="30"/>
      <c r="AA43" s="30"/>
      <c r="AB43" s="30"/>
      <c r="AC43" s="30"/>
      <c r="AD43" s="30"/>
      <c r="AE43" s="30"/>
      <c r="AF43" s="30"/>
      <c r="AG43" s="30"/>
      <c r="AH43" s="100"/>
      <c r="AI43" s="30"/>
    </row>
    <row r="44" spans="1:35" ht="30" customHeight="1" x14ac:dyDescent="0.3">
      <c r="A44" s="100"/>
      <c r="B44" s="30"/>
      <c r="C44" s="30" t="str">
        <f t="shared" si="0"/>
        <v>6</v>
      </c>
      <c r="D44" s="32">
        <f t="shared" si="4"/>
        <v>4</v>
      </c>
      <c r="E44" s="32" t="str">
        <f t="shared" si="5"/>
        <v>644</v>
      </c>
      <c r="F44" s="191" t="s">
        <v>502</v>
      </c>
      <c r="G44" s="192" t="str">
        <f>VLOOKUP(E46,BDD!$A$2:$N$567,6,FALSE)</f>
        <v>Communication vers le métier</v>
      </c>
      <c r="H44" s="190"/>
      <c r="I44" s="135"/>
      <c r="J44" s="135"/>
      <c r="K44" s="135"/>
      <c r="L44" s="136"/>
      <c r="M44" s="137"/>
      <c r="N44" s="138"/>
      <c r="O44" s="630">
        <v>0</v>
      </c>
      <c r="P44" s="630"/>
      <c r="Q44" s="630"/>
      <c r="R44" s="630"/>
      <c r="S44" s="632">
        <f>SUMIFS(S:S,$D:$D,D44,$N:$N,"Exigences"&amp;"*")</f>
        <v>0</v>
      </c>
      <c r="T44" s="632"/>
      <c r="U44" s="632"/>
      <c r="V44" s="633"/>
      <c r="W44" s="356">
        <f>IFERROR(IF(N44=Suppl!$E$65,0,IF(N44=Suppl!$E$66,1/2/(COUNTIFS($N:$N,"Exigences"&amp;"*")+COUNTIFS($N:$N,"Non"&amp;"*")),IF(N44=Suppl!$E$67,1/(COUNTIFS($N:$N,"Exigences"&amp;"*")+COUNTIFS($N:$N,"Non"&amp;"*")),0))),0)</f>
        <v>0</v>
      </c>
      <c r="X44" s="30"/>
      <c r="Y44" s="30"/>
      <c r="Z44" s="30"/>
      <c r="AA44" s="30"/>
      <c r="AB44" s="30"/>
      <c r="AC44" s="30"/>
      <c r="AD44" s="30"/>
      <c r="AE44" s="30"/>
      <c r="AF44" s="30"/>
      <c r="AG44" s="30"/>
      <c r="AH44" s="100"/>
      <c r="AI44" s="30"/>
    </row>
    <row r="45" spans="1:35" ht="30" customHeight="1" x14ac:dyDescent="0.3">
      <c r="A45" s="100"/>
      <c r="B45" s="30"/>
      <c r="C45" s="30" t="str">
        <f t="shared" si="0"/>
        <v>6</v>
      </c>
      <c r="D45" s="32">
        <f t="shared" si="4"/>
        <v>4</v>
      </c>
      <c r="E45" s="32" t="str">
        <f t="shared" si="5"/>
        <v>641</v>
      </c>
      <c r="F45" s="211" t="s">
        <v>550</v>
      </c>
      <c r="G45" s="620" t="str">
        <f>VLOOKUP(E47,BDD!$A$2:$N$567,7,FALSE)</f>
        <v>Les enjeux d’architecture sont explicités et partagés au moyen d’un vocabulaire accessible et de schémas explicatifs. Les métiers sont impliqués et responsabilisés dans leurs choix d’investissements, sur la base d’une identification claire des impacts sur leurs processus.</v>
      </c>
      <c r="H45" s="621"/>
      <c r="I45" s="621"/>
      <c r="J45" s="621"/>
      <c r="K45" s="621"/>
      <c r="L45" s="621"/>
      <c r="M45" s="621"/>
      <c r="N45" s="622"/>
      <c r="O45" s="631"/>
      <c r="P45" s="631"/>
      <c r="Q45" s="631"/>
      <c r="R45" s="631"/>
      <c r="S45" s="634"/>
      <c r="T45" s="634"/>
      <c r="U45" s="634"/>
      <c r="V45" s="635"/>
      <c r="W45" s="356">
        <f>IFERROR(IF(N45=Suppl!$E$65,0,IF(N45=Suppl!$E$66,1/2/(COUNTIFS($N:$N,"Exigences"&amp;"*")+COUNTIFS($N:$N,"Non"&amp;"*")),IF(N45=Suppl!$E$67,1/(COUNTIFS($N:$N,"Exigences"&amp;"*")+COUNTIFS($N:$N,"Non"&amp;"*")),0))),0)</f>
        <v>0</v>
      </c>
      <c r="X45" s="30"/>
      <c r="Y45" s="30"/>
      <c r="Z45" s="30"/>
      <c r="AA45" s="30"/>
      <c r="AB45" s="30"/>
      <c r="AC45" s="30"/>
      <c r="AD45" s="30"/>
      <c r="AE45" s="30"/>
      <c r="AF45" s="30"/>
      <c r="AG45" s="30"/>
      <c r="AH45" s="100"/>
      <c r="AI45" s="30"/>
    </row>
    <row r="46" spans="1:35" ht="55.2" x14ac:dyDescent="0.3">
      <c r="A46" s="100"/>
      <c r="B46" s="30"/>
      <c r="C46" s="30" t="str">
        <f t="shared" si="0"/>
        <v>6</v>
      </c>
      <c r="D46" s="32">
        <f t="shared" si="4"/>
        <v>4</v>
      </c>
      <c r="E46" s="32" t="str">
        <f t="shared" si="5"/>
        <v>641</v>
      </c>
      <c r="F46" s="143" t="s">
        <v>27</v>
      </c>
      <c r="G46" s="144" t="str">
        <f>VLOOKUP(E46,BDD!$A$2:$N$567,MATCH(G$24,BDD!$A$1:$P$1,0),FALSE)</f>
        <v>Les principes et règles d’architecture explicitent les impacts métiers sous-jacents : bénéfices et risques associés (sécurité, adaptabilité, performance, robustesse, impact sur l’efficacité opérationnelle, coût d’usage du SI, time-to-market, impact environnemental, etc.).</v>
      </c>
      <c r="H46" s="149" t="str">
        <f>IF(VLOOKUP($E46,BDD!$A$2:$N$567,MATCH($H$23,BDD!$A$1:$P$1,0),FALSE)=H$24,V6_Architecture!H$24,"")</f>
        <v/>
      </c>
      <c r="I46" s="150" t="str">
        <f>IF(VLOOKUP($E46,BDD!$A$2:$N$567,MATCH($H$23,BDD!$A$1:$P$1,0),FALSE)=I$24,V6_Architecture!I$24,"")</f>
        <v/>
      </c>
      <c r="J46" s="150" t="str">
        <f>IF(VLOOKUP($E46,BDD!$A$2:$N$567,MATCH($H$23,BDD!$A$1:$P$1,0),FALSE)=J$24,V6_Architecture!J$24,"")</f>
        <v>N3</v>
      </c>
      <c r="K46" s="150" t="str">
        <f>IF(VLOOKUP($E46,BDD!$A$2:$N$567,MATCH($H$23,BDD!$A$1:$P$1,0),FALSE)=K$24,V6_Architecture!K$24,"")</f>
        <v/>
      </c>
      <c r="L46" s="151" t="str">
        <f>IF(VLOOKUP($E46,BDD!$A$2:$N$567,MATCH($H$23,BDD!$A$1:$P$1,0),FALSE)=L$24,V6_Architecture!L$24,"")</f>
        <v/>
      </c>
      <c r="M46" s="63">
        <f t="shared" ref="M46:M49" si="8">IF(N46="Exigences partiellement respectées",1,IF(N46="Exigences respectées",2,0))</f>
        <v>0</v>
      </c>
      <c r="N46" s="144" t="str">
        <f>VLOOKUP(VLOOKUP(E46,BDD!$A$2:$P$428,15,FALSE),Suppl!$D$64:$E$68,2,FALSE)</f>
        <v>Non renseigné</v>
      </c>
      <c r="O46" s="626"/>
      <c r="P46" s="626"/>
      <c r="Q46" s="626"/>
      <c r="R46" s="626"/>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100"/>
      <c r="AI46" s="30"/>
    </row>
    <row r="47" spans="1:35" ht="41.4" x14ac:dyDescent="0.3">
      <c r="A47" s="100"/>
      <c r="B47" s="30"/>
      <c r="C47" s="30" t="str">
        <f t="shared" si="0"/>
        <v>6</v>
      </c>
      <c r="D47" s="32">
        <f t="shared" si="4"/>
        <v>4</v>
      </c>
      <c r="E47" s="32" t="str">
        <f t="shared" si="5"/>
        <v>642</v>
      </c>
      <c r="F47" s="145" t="s">
        <v>28</v>
      </c>
      <c r="G47" s="146" t="str">
        <f>VLOOKUP(E47,BDD!$A$2:$N$567,MATCH(G$24,BDD!$A$1:$P$1,0),FALSE)</f>
        <v>L’analyse de conformité avec le référentiel d’architecture, des solutions informatiques existantes et des projets, est partagée avec les métiers et  les impacts des écarts sont explicités.</v>
      </c>
      <c r="H47" s="149" t="str">
        <f>IF(VLOOKUP($E47,BDD!$A$2:$N$567,MATCH($H$23,BDD!$A$1:$P$1,0),FALSE)=H$24,V6_Architecture!H$24,"")</f>
        <v/>
      </c>
      <c r="I47" s="150" t="str">
        <f>IF(VLOOKUP($E47,BDD!$A$2:$N$567,MATCH($H$23,BDD!$A$1:$P$1,0),FALSE)=I$24,V6_Architecture!I$24,"")</f>
        <v/>
      </c>
      <c r="J47" s="150" t="str">
        <f>IF(VLOOKUP($E47,BDD!$A$2:$N$567,MATCH($H$23,BDD!$A$1:$P$1,0),FALSE)=J$24,V6_Architecture!J$24,"")</f>
        <v/>
      </c>
      <c r="K47" s="150" t="str">
        <f>IF(VLOOKUP($E47,BDD!$A$2:$N$567,MATCH($H$23,BDD!$A$1:$P$1,0),FALSE)=K$24,V6_Architecture!K$24,"")</f>
        <v>N4</v>
      </c>
      <c r="L47" s="151" t="str">
        <f>IF(VLOOKUP($E47,BDD!$A$2:$N$567,MATCH($H$23,BDD!$A$1:$P$1,0),FALSE)=L$24,V6_Architecture!L$24,"")</f>
        <v/>
      </c>
      <c r="M47" s="63">
        <f t="shared" si="8"/>
        <v>0</v>
      </c>
      <c r="N47" s="146"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100"/>
      <c r="AI47" s="30"/>
    </row>
    <row r="48" spans="1:35" ht="30" customHeight="1" x14ac:dyDescent="0.3">
      <c r="A48" s="100"/>
      <c r="B48" s="30"/>
      <c r="C48" s="30" t="str">
        <f t="shared" si="0"/>
        <v>6</v>
      </c>
      <c r="D48" s="32">
        <f t="shared" si="4"/>
        <v>4</v>
      </c>
      <c r="E48" s="32" t="str">
        <f t="shared" si="5"/>
        <v>643</v>
      </c>
      <c r="F48" s="143" t="s">
        <v>30</v>
      </c>
      <c r="G48" s="144" t="str">
        <f>VLOOKUP(E48,BDD!$A$2:$N$567,MATCH(G$24,BDD!$A$1:$P$1,0),FALSE)</f>
        <v>Les orientations d’architecture SI sont intégrées dans le volet numérique du plan stratégique communiqué aux métiers.</v>
      </c>
      <c r="H48" s="149" t="str">
        <f>IF(VLOOKUP($E48,BDD!$A$2:$N$567,MATCH($H$23,BDD!$A$1:$P$1,0),FALSE)=H$24,V6_Architecture!H$24,"")</f>
        <v>N1</v>
      </c>
      <c r="I48" s="150" t="str">
        <f>IF(VLOOKUP($E48,BDD!$A$2:$N$567,MATCH($H$23,BDD!$A$1:$P$1,0),FALSE)=I$24,V6_Architecture!I$24,"")</f>
        <v/>
      </c>
      <c r="J48" s="150" t="str">
        <f>IF(VLOOKUP($E48,BDD!$A$2:$N$567,MATCH($H$23,BDD!$A$1:$P$1,0),FALSE)=J$24,V6_Architecture!J$24,"")</f>
        <v/>
      </c>
      <c r="K48" s="150" t="str">
        <f>IF(VLOOKUP($E48,BDD!$A$2:$N$567,MATCH($H$23,BDD!$A$1:$P$1,0),FALSE)=K$24,V6_Architecture!K$24,"")</f>
        <v/>
      </c>
      <c r="L48" s="151" t="str">
        <f>IF(VLOOKUP($E48,BDD!$A$2:$N$567,MATCH($H$23,BDD!$A$1:$P$1,0),FALSE)=L$24,V6_Architecture!L$24,"")</f>
        <v/>
      </c>
      <c r="M48" s="63">
        <f t="shared" si="8"/>
        <v>0</v>
      </c>
      <c r="N48" s="144" t="str">
        <f>VLOOKUP(VLOOKUP(E48,BDD!$A$2:$P$428,15,FALSE),Suppl!$D$64:$E$68,2,FALSE)</f>
        <v>Non renseigné</v>
      </c>
      <c r="O48" s="629"/>
      <c r="P48" s="629"/>
      <c r="Q48" s="629"/>
      <c r="R48" s="629"/>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100"/>
      <c r="AI48" s="30"/>
    </row>
    <row r="49" spans="1:35" ht="55.2" x14ac:dyDescent="0.3">
      <c r="A49" s="100"/>
      <c r="B49" s="30"/>
      <c r="C49" s="30" t="str">
        <f t="shared" si="0"/>
        <v>6</v>
      </c>
      <c r="D49" s="32">
        <f t="shared" si="4"/>
        <v>4</v>
      </c>
      <c r="E49" s="32" t="str">
        <f t="shared" si="5"/>
        <v>644</v>
      </c>
      <c r="F49" s="145" t="s">
        <v>32</v>
      </c>
      <c r="G49" s="146" t="str">
        <f>VLOOKUP(E49,BDD!$A$2:$N$567,MATCH(G$24,BDD!$A$1:$P$1,0),FALSE)</f>
        <v>Les métiers sont sensibilisés aux enjeux de l’architecture : explication des contraintes, des risques et facteurs clés de succès dans la mise en œuvre des différentes technologies, et impacts (à court et long terme) de la non-application des principes et des règles.</v>
      </c>
      <c r="H49" s="149" t="str">
        <f>IF(VLOOKUP($E49,BDD!$A$2:$N$567,MATCH($H$23,BDD!$A$1:$P$1,0),FALSE)=H$24,V6_Architecture!H$24,"")</f>
        <v/>
      </c>
      <c r="I49" s="150" t="str">
        <f>IF(VLOOKUP($E49,BDD!$A$2:$N$567,MATCH($H$23,BDD!$A$1:$P$1,0),FALSE)=I$24,V6_Architecture!I$24,"")</f>
        <v/>
      </c>
      <c r="J49" s="150" t="str">
        <f>IF(VLOOKUP($E49,BDD!$A$2:$N$567,MATCH($H$23,BDD!$A$1:$P$1,0),FALSE)=J$24,V6_Architecture!J$24,"")</f>
        <v/>
      </c>
      <c r="K49" s="150" t="str">
        <f>IF(VLOOKUP($E49,BDD!$A$2:$N$567,MATCH($H$23,BDD!$A$1:$P$1,0),FALSE)=K$24,V6_Architecture!K$24,"")</f>
        <v/>
      </c>
      <c r="L49" s="151" t="str">
        <f>IF(VLOOKUP($E49,BDD!$A$2:$N$567,MATCH($H$23,BDD!$A$1:$P$1,0),FALSE)=L$24,V6_Architecture!L$24,"")</f>
        <v>N5</v>
      </c>
      <c r="M49" s="63">
        <f t="shared" si="8"/>
        <v>0</v>
      </c>
      <c r="N49" s="146" t="str">
        <f>VLOOKUP(VLOOKUP(E49,BDD!$A$2:$P$428,15,FALSE),Suppl!$D$64:$E$68,2,FALSE)</f>
        <v>Non renseigné</v>
      </c>
      <c r="O49" s="629"/>
      <c r="P49" s="629"/>
      <c r="Q49" s="629"/>
      <c r="R49" s="629"/>
      <c r="S49" s="627">
        <f>IF(N49=Suppl!$E$65,0,IF(N49=Suppl!$E$66,1/2/(COUNTIFS($D:$D,D49,$N:$N,"Exigences"&amp;"*",G:G,"&lt;&gt;0")+COUNTIFS($D:$D,D49,$N:$N,"Non"&amp;"*",G:G,"&lt;&gt;0")),IF(N49=Suppl!$E$67,1/(COUNTIFS($D:$D,D49,$N:$N,"Exigences"&amp;"*",G:G,"&lt;&gt;0")+COUNTIFS($D:$D,D49,$N:$N,"Non"&amp;"*",G:G,"&lt;&gt;0")),0)))</f>
        <v>0</v>
      </c>
      <c r="T49" s="627"/>
      <c r="U49" s="627"/>
      <c r="V49" s="628"/>
      <c r="W49" s="356">
        <f>IFERROR(IF(N49=Suppl!$E$65,0,IF(N49=Suppl!$E$66,1/2/(COUNTIFS($N:$N,"Exigences"&amp;"*")+COUNTIFS($N:$N,"Non"&amp;"*")),IF(N49=Suppl!$E$67,1/(COUNTIFS($N:$N,"Exigences"&amp;"*")+COUNTIFS($N:$N,"Non"&amp;"*")),0))),0)</f>
        <v>0</v>
      </c>
      <c r="X49" s="30"/>
      <c r="Y49" s="30"/>
      <c r="Z49" s="30"/>
      <c r="AA49" s="30"/>
      <c r="AB49" s="30"/>
      <c r="AC49" s="30"/>
      <c r="AD49" s="30"/>
      <c r="AE49" s="30"/>
      <c r="AF49" s="30"/>
      <c r="AG49" s="30"/>
      <c r="AH49" s="100"/>
      <c r="AI49" s="30"/>
    </row>
    <row r="50" spans="1:35" ht="30" customHeight="1" x14ac:dyDescent="0.3">
      <c r="A50" s="100"/>
      <c r="B50" s="30"/>
      <c r="C50" s="30" t="str">
        <f t="shared" si="0"/>
        <v>6</v>
      </c>
      <c r="D50" s="32">
        <f t="shared" si="4"/>
        <v>5</v>
      </c>
      <c r="E50" s="32" t="str">
        <f t="shared" si="5"/>
        <v>655</v>
      </c>
      <c r="F50" s="191" t="s">
        <v>503</v>
      </c>
      <c r="G50" s="192" t="str">
        <f>VLOOKUP(E52,BDD!$A$2:$N$567,6,FALSE)</f>
        <v>Règles et Principes</v>
      </c>
      <c r="H50" s="190"/>
      <c r="I50" s="135"/>
      <c r="J50" s="135"/>
      <c r="K50" s="135"/>
      <c r="L50" s="136"/>
      <c r="M50" s="137"/>
      <c r="N50" s="138"/>
      <c r="O50" s="630">
        <v>0</v>
      </c>
      <c r="P50" s="630"/>
      <c r="Q50" s="630"/>
      <c r="R50" s="630"/>
      <c r="S50" s="632">
        <f>SUMIFS(S:S,$D:$D,D50,$N:$N,"Exigences"&amp;"*")</f>
        <v>0</v>
      </c>
      <c r="T50" s="632"/>
      <c r="U50" s="632"/>
      <c r="V50" s="633"/>
      <c r="W50" s="356">
        <f>IFERROR(IF(N50=Suppl!$E$65,0,IF(N50=Suppl!$E$66,1/2/(COUNTIFS($N:$N,"Exigences"&amp;"*")+COUNTIFS($N:$N,"Non"&amp;"*")),IF(N50=Suppl!$E$67,1/(COUNTIFS($N:$N,"Exigences"&amp;"*")+COUNTIFS($N:$N,"Non"&amp;"*")),0))),0)</f>
        <v>0</v>
      </c>
      <c r="X50" s="30"/>
      <c r="Y50" s="30"/>
      <c r="Z50" s="30"/>
      <c r="AA50" s="30"/>
      <c r="AB50" s="30"/>
      <c r="AC50" s="30"/>
      <c r="AD50" s="30"/>
      <c r="AE50" s="30"/>
      <c r="AF50" s="30"/>
      <c r="AG50" s="30"/>
      <c r="AH50" s="100"/>
      <c r="AI50" s="30"/>
    </row>
    <row r="51" spans="1:35" ht="30" customHeight="1" x14ac:dyDescent="0.3">
      <c r="A51" s="100"/>
      <c r="B51" s="30"/>
      <c r="C51" s="30" t="str">
        <f t="shared" si="0"/>
        <v>6</v>
      </c>
      <c r="D51" s="32">
        <f t="shared" si="4"/>
        <v>5</v>
      </c>
      <c r="E51" s="32" t="str">
        <f t="shared" si="5"/>
        <v>651</v>
      </c>
      <c r="F51" s="211" t="s">
        <v>550</v>
      </c>
      <c r="G51" s="620" t="str">
        <f>VLOOKUP(E53,BDD!$A$2:$N$567,7,FALSE)</f>
        <v xml:space="preserve">Les règles et principes d’architecture sont édictés avec des modalités d’application adaptées aux enjeux et aux risques. Elles constituent un référentiel sur lequel s’appuient les équipes de projets, les responsables applicatifs et les métiers. </v>
      </c>
      <c r="H51" s="621"/>
      <c r="I51" s="621"/>
      <c r="J51" s="621"/>
      <c r="K51" s="621"/>
      <c r="L51" s="621"/>
      <c r="M51" s="621"/>
      <c r="N51" s="622"/>
      <c r="O51" s="631"/>
      <c r="P51" s="631"/>
      <c r="Q51" s="631"/>
      <c r="R51" s="631"/>
      <c r="S51" s="634"/>
      <c r="T51" s="634"/>
      <c r="U51" s="634"/>
      <c r="V51" s="635"/>
      <c r="W51" s="356">
        <f>IFERROR(IF(N51=Suppl!$E$65,0,IF(N51=Suppl!$E$66,1/2/(COUNTIFS($N:$N,"Exigences"&amp;"*")+COUNTIFS($N:$N,"Non"&amp;"*")),IF(N51=Suppl!$E$67,1/(COUNTIFS($N:$N,"Exigences"&amp;"*")+COUNTIFS($N:$N,"Non"&amp;"*")),0))),0)</f>
        <v>0</v>
      </c>
      <c r="X51" s="30"/>
      <c r="Y51" s="30"/>
      <c r="Z51" s="30"/>
      <c r="AA51" s="30"/>
      <c r="AB51" s="30"/>
      <c r="AC51" s="30"/>
      <c r="AD51" s="30"/>
      <c r="AE51" s="30"/>
      <c r="AF51" s="30"/>
      <c r="AG51" s="30"/>
      <c r="AH51" s="100"/>
      <c r="AI51" s="30"/>
    </row>
    <row r="52" spans="1:35" ht="55.2" x14ac:dyDescent="0.3">
      <c r="A52" s="100"/>
      <c r="B52" s="30"/>
      <c r="C52" s="30" t="str">
        <f t="shared" si="0"/>
        <v>6</v>
      </c>
      <c r="D52" s="32">
        <f t="shared" si="4"/>
        <v>5</v>
      </c>
      <c r="E52" s="32" t="str">
        <f t="shared" si="5"/>
        <v>651</v>
      </c>
      <c r="F52" s="143" t="s">
        <v>27</v>
      </c>
      <c r="G52" s="144" t="str">
        <f>VLOOKUP(E52,BDD!$A$2:$N$567,MATCH(G$24,BDD!$A$1:$P$1,0),FALSE)</f>
        <v>La DSI a documenté et actualisé un référentiel de politiques, principes, normes, standards techniques, procédures et règles de mise en œuvre et d’utilisation, associés à des services, tirant parti des innovations technologiques et tenant compte des contraintes du patrimoine SI existant.</v>
      </c>
      <c r="H52" s="149" t="str">
        <f>IF(VLOOKUP($E52,BDD!$A$2:$N$567,MATCH($H$23,BDD!$A$1:$P$1,0),FALSE)=H$24,V6_Architecture!H$24,"")</f>
        <v>N1</v>
      </c>
      <c r="I52" s="150" t="str">
        <f>IF(VLOOKUP($E52,BDD!$A$2:$N$567,MATCH($H$23,BDD!$A$1:$P$1,0),FALSE)=I$24,V6_Architecture!I$24,"")</f>
        <v/>
      </c>
      <c r="J52" s="150" t="str">
        <f>IF(VLOOKUP($E52,BDD!$A$2:$N$567,MATCH($H$23,BDD!$A$1:$P$1,0),FALSE)=J$24,V6_Architecture!J$24,"")</f>
        <v/>
      </c>
      <c r="K52" s="150" t="str">
        <f>IF(VLOOKUP($E52,BDD!$A$2:$N$567,MATCH($H$23,BDD!$A$1:$P$1,0),FALSE)=K$24,V6_Architecture!K$24,"")</f>
        <v/>
      </c>
      <c r="L52" s="151" t="str">
        <f>IF(VLOOKUP($E52,BDD!$A$2:$N$567,MATCH($H$23,BDD!$A$1:$P$1,0),FALSE)=L$24,V6_Architecture!L$24,"")</f>
        <v/>
      </c>
      <c r="M52" s="63">
        <f t="shared" ref="M52:M57" si="9">IF(N52="Exigences partiellement respectées",1,IF(N52="Exigences respectées",2,0))</f>
        <v>0</v>
      </c>
      <c r="N52" s="144" t="str">
        <f>VLOOKUP(VLOOKUP(E52,BDD!$A$2:$P$428,15,FALSE),Suppl!$D$64:$E$68,2,FALSE)</f>
        <v>Non renseigné</v>
      </c>
      <c r="O52" s="626"/>
      <c r="P52" s="626"/>
      <c r="Q52" s="626"/>
      <c r="R52" s="626"/>
      <c r="S52" s="627">
        <f>IF(N52=Suppl!$E$65,0,IF(N52=Suppl!$E$66,1/2/(COUNTIFS($D:$D,D52,$N:$N,"Exigences"&amp;"*",G:G,"&lt;&gt;0")+COUNTIFS($D:$D,D52,$N:$N,"Non"&amp;"*",G:G,"&lt;&gt;0")),IF(N52=Suppl!$E$67,1/(COUNTIFS($D:$D,D52,$N:$N,"Exigences"&amp;"*",G:G,"&lt;&gt;0")+COUNTIFS($D:$D,D52,$N:$N,"Non"&amp;"*",G:G,"&lt;&gt;0")),0)))</f>
        <v>0</v>
      </c>
      <c r="T52" s="627"/>
      <c r="U52" s="627"/>
      <c r="V52" s="628"/>
      <c r="W52" s="356">
        <f>IFERROR(IF(N52=Suppl!$E$65,0,IF(N52=Suppl!$E$66,1/2/(COUNTIFS($N:$N,"Exigences"&amp;"*")+COUNTIFS($N:$N,"Non"&amp;"*")),IF(N52=Suppl!$E$67,1/(COUNTIFS($N:$N,"Exigences"&amp;"*")+COUNTIFS($N:$N,"Non"&amp;"*")),0))),0)</f>
        <v>0</v>
      </c>
      <c r="X52" s="30"/>
      <c r="Y52" s="30"/>
      <c r="Z52" s="30"/>
      <c r="AA52" s="30"/>
      <c r="AB52" s="30"/>
      <c r="AC52" s="30"/>
      <c r="AD52" s="30"/>
      <c r="AE52" s="30"/>
      <c r="AF52" s="30"/>
      <c r="AG52" s="30"/>
      <c r="AH52" s="100"/>
      <c r="AI52" s="30"/>
    </row>
    <row r="53" spans="1:35" ht="41.4" x14ac:dyDescent="0.3">
      <c r="A53" s="100"/>
      <c r="B53" s="30"/>
      <c r="C53" s="30" t="str">
        <f t="shared" si="0"/>
        <v>6</v>
      </c>
      <c r="D53" s="32">
        <f t="shared" si="4"/>
        <v>5</v>
      </c>
      <c r="E53" s="32" t="str">
        <f t="shared" si="5"/>
        <v>652</v>
      </c>
      <c r="F53" s="145" t="s">
        <v>28</v>
      </c>
      <c r="G53" s="146" t="str">
        <f>VLOOKUP(E53,BDD!$A$2:$N$567,MATCH(G$24,BDD!$A$1:$P$1,0),FALSE)</f>
        <v>Des règles d’architecture permettent de favoriser le time-to-market et l’innovation tout en limitant les risques de perte de maîtrise du SI (sécurité, résilience, maintenabilité, conformité, etc.).</v>
      </c>
      <c r="H53" s="149" t="str">
        <f>IF(VLOOKUP($E53,BDD!$A$2:$N$567,MATCH($H$23,BDD!$A$1:$P$1,0),FALSE)=H$24,V6_Architecture!H$24,"")</f>
        <v/>
      </c>
      <c r="I53" s="150" t="str">
        <f>IF(VLOOKUP($E53,BDD!$A$2:$N$567,MATCH($H$23,BDD!$A$1:$P$1,0),FALSE)=I$24,V6_Architecture!I$24,"")</f>
        <v>N2</v>
      </c>
      <c r="J53" s="150" t="str">
        <f>IF(VLOOKUP($E53,BDD!$A$2:$N$567,MATCH($H$23,BDD!$A$1:$P$1,0),FALSE)=J$24,V6_Architecture!J$24,"")</f>
        <v/>
      </c>
      <c r="K53" s="150" t="str">
        <f>IF(VLOOKUP($E53,BDD!$A$2:$N$567,MATCH($H$23,BDD!$A$1:$P$1,0),FALSE)=K$24,V6_Architecture!K$24,"")</f>
        <v/>
      </c>
      <c r="L53" s="151" t="str">
        <f>IF(VLOOKUP($E53,BDD!$A$2:$N$567,MATCH($H$23,BDD!$A$1:$P$1,0),FALSE)=L$24,V6_Architecture!L$24,"")</f>
        <v/>
      </c>
      <c r="M53" s="63">
        <f t="shared" si="9"/>
        <v>0</v>
      </c>
      <c r="N53" s="146" t="str">
        <f>VLOOKUP(VLOOKUP(E53,BDD!$A$2:$P$428,15,FALSE),Suppl!$D$64:$E$68,2,FALSE)</f>
        <v>Non renseigné</v>
      </c>
      <c r="O53" s="629"/>
      <c r="P53" s="629"/>
      <c r="Q53" s="629"/>
      <c r="R53" s="629"/>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100"/>
      <c r="AI53" s="30"/>
    </row>
    <row r="54" spans="1:35" ht="41.4" x14ac:dyDescent="0.3">
      <c r="A54" s="100"/>
      <c r="B54" s="30"/>
      <c r="C54" s="30" t="str">
        <f t="shared" si="0"/>
        <v>6</v>
      </c>
      <c r="D54" s="32">
        <f t="shared" si="4"/>
        <v>5</v>
      </c>
      <c r="E54" s="32" t="str">
        <f t="shared" si="5"/>
        <v>653</v>
      </c>
      <c r="F54" s="143" t="s">
        <v>30</v>
      </c>
      <c r="G54" s="144" t="str">
        <f>VLOOKUP(E54,BDD!$A$2:$N$567,MATCH(G$24,BDD!$A$1:$P$1,0),FALSE)</f>
        <v>Les services préalablement développés qui ont été identifiés comme étant réutilisables sont dûment répertoriés afin que les nouveaux projets puissent facilement les intégrer dans leurs développements.</v>
      </c>
      <c r="H54" s="149" t="str">
        <f>IF(VLOOKUP($E54,BDD!$A$2:$N$567,MATCH($H$23,BDD!$A$1:$P$1,0),FALSE)=H$24,V6_Architecture!H$24,"")</f>
        <v/>
      </c>
      <c r="I54" s="150" t="str">
        <f>IF(VLOOKUP($E54,BDD!$A$2:$N$567,MATCH($H$23,BDD!$A$1:$P$1,0),FALSE)=I$24,V6_Architecture!I$24,"")</f>
        <v/>
      </c>
      <c r="J54" s="150" t="str">
        <f>IF(VLOOKUP($E54,BDD!$A$2:$N$567,MATCH($H$23,BDD!$A$1:$P$1,0),FALSE)=J$24,V6_Architecture!J$24,"")</f>
        <v/>
      </c>
      <c r="K54" s="150" t="str">
        <f>IF(VLOOKUP($E54,BDD!$A$2:$N$567,MATCH($H$23,BDD!$A$1:$P$1,0),FALSE)=K$24,V6_Architecture!K$24,"")</f>
        <v>N4</v>
      </c>
      <c r="L54" s="151" t="str">
        <f>IF(VLOOKUP($E54,BDD!$A$2:$N$567,MATCH($H$23,BDD!$A$1:$P$1,0),FALSE)=L$24,V6_Architecture!L$24,"")</f>
        <v/>
      </c>
      <c r="M54" s="63">
        <f t="shared" si="9"/>
        <v>0</v>
      </c>
      <c r="N54" s="144" t="str">
        <f>VLOOKUP(VLOOKUP(E54,BDD!$A$2:$P$428,15,FALSE),Suppl!$D$64:$E$68,2,FALSE)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100"/>
      <c r="AI54" s="30"/>
    </row>
    <row r="55" spans="1:35" ht="30" customHeight="1" x14ac:dyDescent="0.3">
      <c r="A55" s="100"/>
      <c r="B55" s="30"/>
      <c r="C55" s="30" t="str">
        <f t="shared" si="0"/>
        <v>6</v>
      </c>
      <c r="D55" s="32">
        <f t="shared" si="4"/>
        <v>5</v>
      </c>
      <c r="E55" s="32" t="str">
        <f t="shared" si="5"/>
        <v>654</v>
      </c>
      <c r="F55" s="145" t="s">
        <v>32</v>
      </c>
      <c r="G55" s="146" t="str">
        <f>VLOOKUP(E55,BDD!$A$2:$N$567,MATCH(G$24,BDD!$A$1:$P$1,0),FALSE)</f>
        <v>Ce référentiel est connu, accepté et appliqué par l'ensemble des parties prenantes (les différentes composantes de la DSI et les métiers impliqués dans les projets).</v>
      </c>
      <c r="H55" s="149" t="str">
        <f>IF(VLOOKUP($E55,BDD!$A$2:$N$567,MATCH($H$23,BDD!$A$1:$P$1,0),FALSE)=H$24,V6_Architecture!H$24,"")</f>
        <v/>
      </c>
      <c r="I55" s="150" t="str">
        <f>IF(VLOOKUP($E55,BDD!$A$2:$N$567,MATCH($H$23,BDD!$A$1:$P$1,0),FALSE)=I$24,V6_Architecture!I$24,"")</f>
        <v>N2</v>
      </c>
      <c r="J55" s="150" t="str">
        <f>IF(VLOOKUP($E55,BDD!$A$2:$N$567,MATCH($H$23,BDD!$A$1:$P$1,0),FALSE)=J$24,V6_Architecture!J$24,"")</f>
        <v/>
      </c>
      <c r="K55" s="150" t="str">
        <f>IF(VLOOKUP($E55,BDD!$A$2:$N$567,MATCH($H$23,BDD!$A$1:$P$1,0),FALSE)=K$24,V6_Architecture!K$24,"")</f>
        <v/>
      </c>
      <c r="L55" s="151" t="str">
        <f>IF(VLOOKUP($E55,BDD!$A$2:$N$567,MATCH($H$23,BDD!$A$1:$P$1,0),FALSE)=L$24,V6_Architecture!L$24,"")</f>
        <v/>
      </c>
      <c r="M55" s="63">
        <f t="shared" si="9"/>
        <v>0</v>
      </c>
      <c r="N55" s="146" t="str">
        <f>VLOOKUP(VLOOKUP(E55,BDD!$A$2:$P$428,15,FALSE),Suppl!$D$64:$E$68,2,FALSE)</f>
        <v>Non renseigné</v>
      </c>
      <c r="O55" s="629"/>
      <c r="P55" s="629"/>
      <c r="Q55" s="629"/>
      <c r="R55" s="629"/>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100"/>
      <c r="AI55" s="30"/>
    </row>
    <row r="56" spans="1:35" ht="41.4" x14ac:dyDescent="0.3">
      <c r="A56" s="100"/>
      <c r="B56" s="30"/>
      <c r="C56" s="30" t="str">
        <f t="shared" si="0"/>
        <v>6</v>
      </c>
      <c r="D56" s="32">
        <f t="shared" si="4"/>
        <v>5</v>
      </c>
      <c r="E56" s="32" t="str">
        <f t="shared" si="5"/>
        <v>655</v>
      </c>
      <c r="F56" s="143" t="s">
        <v>33</v>
      </c>
      <c r="G56" s="144" t="str">
        <f>VLOOKUP(E56,BDD!$A$2:$N$567,MATCH(G$24,BDD!$A$1:$P$1,0),FALSE)</f>
        <v>Ce référentiel est régulièrement mis à jour, et ses évolutions communiquées à l’ensemble des parties prenantes, y compris les impacts des évolutions sur le patrimoine SI.</v>
      </c>
      <c r="H56" s="149" t="str">
        <f>IF(VLOOKUP($E56,BDD!$A$2:$N$567,MATCH($H$23,BDD!$A$1:$P$1,0),FALSE)=H$24,V6_Architecture!H$24,"")</f>
        <v/>
      </c>
      <c r="I56" s="150" t="str">
        <f>IF(VLOOKUP($E56,BDD!$A$2:$N$567,MATCH($H$23,BDD!$A$1:$P$1,0),FALSE)=I$24,V6_Architecture!I$24,"")</f>
        <v/>
      </c>
      <c r="J56" s="150" t="str">
        <f>IF(VLOOKUP($E56,BDD!$A$2:$N$567,MATCH($H$23,BDD!$A$1:$P$1,0),FALSE)=J$24,V6_Architecture!J$24,"")</f>
        <v>N3</v>
      </c>
      <c r="K56" s="150" t="str">
        <f>IF(VLOOKUP($E56,BDD!$A$2:$N$567,MATCH($H$23,BDD!$A$1:$P$1,0),FALSE)=K$24,V6_Architecture!K$24,"")</f>
        <v/>
      </c>
      <c r="L56" s="151" t="str">
        <f>IF(VLOOKUP($E56,BDD!$A$2:$N$567,MATCH($H$23,BDD!$A$1:$P$1,0),FALSE)=L$24,V6_Architecture!L$24,"")</f>
        <v/>
      </c>
      <c r="M56" s="63">
        <f t="shared" si="9"/>
        <v>0</v>
      </c>
      <c r="N56" s="144" t="str">
        <f>VLOOKUP(VLOOKUP(E56,BDD!$A$2:$P$428,15,FALSE),Suppl!$D$64:$E$68,2,FALSE)</f>
        <v>Non renseigné</v>
      </c>
      <c r="O56" s="651"/>
      <c r="P56" s="629"/>
      <c r="Q56" s="629"/>
      <c r="R56" s="629"/>
      <c r="S56" s="627">
        <f>IF(N56=Suppl!$E$65,0,IF(N56=Suppl!$E$66,1/2/(COUNTIFS($D:$D,D56,$N:$N,"Exigences"&amp;"*",G:G,"&lt;&gt;0")+COUNTIFS($D:$D,D56,$N:$N,"Non"&amp;"*",G:G,"&lt;&gt;0")),IF(N56=Suppl!$E$67,1/(COUNTIFS($D:$D,D56,$N:$N,"Exigences"&amp;"*",G:G,"&lt;&gt;0")+COUNTIFS($D:$D,D56,$N:$N,"Non"&amp;"*",G:G,"&lt;&gt;0")),0)))</f>
        <v>0</v>
      </c>
      <c r="T56" s="627"/>
      <c r="U56" s="627"/>
      <c r="V56" s="628"/>
      <c r="W56" s="356">
        <f>IFERROR(IF(N56=Suppl!$E$65,0,IF(N56=Suppl!$E$66,1/2/(COUNTIFS($N:$N,"Exigences"&amp;"*")+COUNTIFS($N:$N,"Non"&amp;"*")),IF(N56=Suppl!$E$67,1/(COUNTIFS($N:$N,"Exigences"&amp;"*")+COUNTIFS($N:$N,"Non"&amp;"*")),0))),0)</f>
        <v>0</v>
      </c>
      <c r="X56" s="30"/>
      <c r="Y56" s="30"/>
      <c r="Z56" s="30"/>
      <c r="AA56" s="30"/>
      <c r="AB56" s="30"/>
      <c r="AC56" s="30"/>
      <c r="AD56" s="30"/>
      <c r="AE56" s="30"/>
      <c r="AF56" s="30"/>
      <c r="AG56" s="30"/>
      <c r="AH56" s="100"/>
      <c r="AI56" s="30"/>
    </row>
    <row r="57" spans="1:35" ht="41.4" x14ac:dyDescent="0.3">
      <c r="A57" s="100"/>
      <c r="B57" s="30"/>
      <c r="C57" s="30" t="str">
        <f t="shared" si="0"/>
        <v>6</v>
      </c>
      <c r="D57" s="32">
        <f t="shared" si="4"/>
        <v>5</v>
      </c>
      <c r="E57" s="32" t="str">
        <f t="shared" si="5"/>
        <v>656</v>
      </c>
      <c r="F57" s="147" t="s">
        <v>34</v>
      </c>
      <c r="G57" s="148" t="str">
        <f>VLOOKUP(E57,BDD!$A$2:$N$567,MATCH(G$24,BDD!$A$1:$P$1,0),FALSE)</f>
        <v>L’application et l’évolution du référentiel d’architecture sont supervisées et contrôlées par la DSI ou par l'autorité architecturale. La conformité au référentiel d’architecture est un indicateur du tableau de bord du SI.</v>
      </c>
      <c r="H57" s="149" t="str">
        <f>IF(VLOOKUP($E57,BDD!$A$2:$N$567,MATCH($H$23,BDD!$A$1:$P$1,0),FALSE)=H$24,V6_Architecture!H$24,"")</f>
        <v/>
      </c>
      <c r="I57" s="150" t="str">
        <f>IF(VLOOKUP($E57,BDD!$A$2:$N$567,MATCH($H$23,BDD!$A$1:$P$1,0),FALSE)=I$24,V6_Architecture!I$24,"")</f>
        <v/>
      </c>
      <c r="J57" s="150" t="str">
        <f>IF(VLOOKUP($E57,BDD!$A$2:$N$567,MATCH($H$23,BDD!$A$1:$P$1,0),FALSE)=J$24,V6_Architecture!J$24,"")</f>
        <v/>
      </c>
      <c r="K57" s="150" t="str">
        <f>IF(VLOOKUP($E57,BDD!$A$2:$N$567,MATCH($H$23,BDD!$A$1:$P$1,0),FALSE)=K$24,V6_Architecture!K$24,"")</f>
        <v>N4</v>
      </c>
      <c r="L57" s="151" t="str">
        <f>IF(VLOOKUP($E57,BDD!$A$2:$N$567,MATCH($H$23,BDD!$A$1:$P$1,0),FALSE)=L$24,V6_Architecture!L$24,"")</f>
        <v/>
      </c>
      <c r="M57" s="63">
        <f t="shared" si="9"/>
        <v>0</v>
      </c>
      <c r="N57" s="219" t="str">
        <f>VLOOKUP(VLOOKUP(E57,BDD!$A$2:$P$428,15,FALSE),Suppl!$D$64:$E$68,2,FALSE)</f>
        <v>Non renseigné</v>
      </c>
      <c r="O57" s="629"/>
      <c r="P57" s="629"/>
      <c r="Q57" s="629"/>
      <c r="R57" s="629"/>
      <c r="S57" s="627">
        <f>IF(N57=Suppl!$E$65,0,IF(N57=Suppl!$E$66,1/2/(COUNTIFS($D:$D,D57,$N:$N,"Exigences"&amp;"*",G:G,"&lt;&gt;0")+COUNTIFS($D:$D,D57,$N:$N,"Non"&amp;"*",G:G,"&lt;&gt;0")),IF(N57=Suppl!$E$67,1/(COUNTIFS($D:$D,D57,$N:$N,"Exigences"&amp;"*",G:G,"&lt;&gt;0")+COUNTIFS($D:$D,D57,$N:$N,"Non"&amp;"*",G:G,"&lt;&gt;0")),0)))</f>
        <v>0</v>
      </c>
      <c r="T57" s="627"/>
      <c r="U57" s="627"/>
      <c r="V57" s="628"/>
      <c r="W57" s="356">
        <f>IFERROR(IF(N57=Suppl!$E$65,0,IF(N57=Suppl!$E$66,1/2/(COUNTIFS($N:$N,"Exigences"&amp;"*")+COUNTIFS($N:$N,"Non"&amp;"*")),IF(N57=Suppl!$E$67,1/(COUNTIFS($N:$N,"Exigences"&amp;"*")+COUNTIFS($N:$N,"Non"&amp;"*")),0))),0)</f>
        <v>0</v>
      </c>
      <c r="X57" s="30"/>
      <c r="Y57" s="30"/>
      <c r="Z57" s="30"/>
      <c r="AA57" s="30"/>
      <c r="AB57" s="30"/>
      <c r="AC57" s="30"/>
      <c r="AD57" s="30"/>
      <c r="AE57" s="30"/>
      <c r="AF57" s="30"/>
      <c r="AG57" s="30"/>
      <c r="AH57" s="100"/>
      <c r="AI57" s="30"/>
    </row>
    <row r="58" spans="1:35" ht="30" customHeight="1" x14ac:dyDescent="0.3">
      <c r="A58" s="100"/>
      <c r="B58" s="30"/>
      <c r="C58" s="30" t="str">
        <f t="shared" si="0"/>
        <v>6</v>
      </c>
      <c r="D58" s="32">
        <f t="shared" si="4"/>
        <v>6</v>
      </c>
      <c r="E58" s="32" t="str">
        <f t="shared" si="5"/>
        <v>666</v>
      </c>
      <c r="F58" s="191" t="s">
        <v>556</v>
      </c>
      <c r="G58" s="192" t="str">
        <f>VLOOKUP(E60,BDD!$A$2:$N$567,6,FALSE)</f>
        <v>Gouvernance et architecture</v>
      </c>
      <c r="H58" s="190"/>
      <c r="I58" s="135"/>
      <c r="J58" s="135"/>
      <c r="K58" s="135"/>
      <c r="L58" s="136"/>
      <c r="M58" s="137"/>
      <c r="N58" s="138"/>
      <c r="O58" s="630">
        <v>0</v>
      </c>
      <c r="P58" s="630"/>
      <c r="Q58" s="630"/>
      <c r="R58" s="630"/>
      <c r="S58" s="632">
        <f>SUMIFS(S:S,$D:$D,D58,$N:$N,"Exigences"&amp;"*")</f>
        <v>0</v>
      </c>
      <c r="T58" s="632"/>
      <c r="U58" s="632"/>
      <c r="V58" s="633"/>
      <c r="W58" s="356">
        <f>IFERROR(IF(N58=Suppl!$E$65,0,IF(N58=Suppl!$E$66,1/2/(COUNTIFS($N:$N,"Exigences"&amp;"*")+COUNTIFS($N:$N,"Non"&amp;"*")),IF(N58=Suppl!$E$67,1/(COUNTIFS($N:$N,"Exigences"&amp;"*")+COUNTIFS($N:$N,"Non"&amp;"*")),0))),0)</f>
        <v>0</v>
      </c>
      <c r="X58" s="30"/>
      <c r="Y58" s="30"/>
      <c r="Z58" s="30"/>
      <c r="AA58" s="30"/>
      <c r="AB58" s="30"/>
      <c r="AC58" s="30"/>
      <c r="AD58" s="30"/>
      <c r="AE58" s="30"/>
      <c r="AF58" s="30"/>
      <c r="AG58" s="30"/>
      <c r="AH58" s="100"/>
      <c r="AI58" s="30"/>
    </row>
    <row r="59" spans="1:35" ht="30" customHeight="1" x14ac:dyDescent="0.3">
      <c r="A59" s="100"/>
      <c r="B59" s="30"/>
      <c r="C59" s="30" t="str">
        <f t="shared" si="0"/>
        <v>6</v>
      </c>
      <c r="D59" s="32">
        <f t="shared" si="4"/>
        <v>6</v>
      </c>
      <c r="E59" s="32" t="str">
        <f t="shared" si="5"/>
        <v>661</v>
      </c>
      <c r="F59" s="211" t="s">
        <v>550</v>
      </c>
      <c r="G59" s="620" t="str">
        <f>VLOOKUP(E61,BDD!$A$2:$N$567,7,FALSE)</f>
        <v>Une organisation est mise en place pour assurer l’application du cadre de référence et piloter son évolution afin de répondre aux besoins de l'organisation et de prendre en compte les évolutions technologiques et méthodologiques (nouvelles pratiques).</v>
      </c>
      <c r="H59" s="621"/>
      <c r="I59" s="621"/>
      <c r="J59" s="621"/>
      <c r="K59" s="621"/>
      <c r="L59" s="621"/>
      <c r="M59" s="621"/>
      <c r="N59" s="622"/>
      <c r="O59" s="631"/>
      <c r="P59" s="631"/>
      <c r="Q59" s="631"/>
      <c r="R59" s="631"/>
      <c r="S59" s="634"/>
      <c r="T59" s="634"/>
      <c r="U59" s="634"/>
      <c r="V59" s="635"/>
      <c r="W59" s="356">
        <f>IFERROR(IF(N59=Suppl!$E$65,0,IF(N59=Suppl!$E$66,1/2/(COUNTIFS($N:$N,"Exigences"&amp;"*")+COUNTIFS($N:$N,"Non"&amp;"*")),IF(N59=Suppl!$E$67,1/(COUNTIFS($N:$N,"Exigences"&amp;"*")+COUNTIFS($N:$N,"Non"&amp;"*")),0))),0)</f>
        <v>0</v>
      </c>
      <c r="X59" s="30"/>
      <c r="Y59" s="30"/>
      <c r="Z59" s="30"/>
      <c r="AA59" s="30"/>
      <c r="AB59" s="30"/>
      <c r="AC59" s="30"/>
      <c r="AD59" s="30"/>
      <c r="AE59" s="30"/>
      <c r="AF59" s="30"/>
      <c r="AG59" s="30"/>
      <c r="AH59" s="100"/>
      <c r="AI59" s="30"/>
    </row>
    <row r="60" spans="1:35" ht="55.2" x14ac:dyDescent="0.3">
      <c r="A60" s="100"/>
      <c r="B60" s="30"/>
      <c r="C60" s="30" t="str">
        <f t="shared" si="0"/>
        <v>6</v>
      </c>
      <c r="D60" s="32">
        <f t="shared" si="4"/>
        <v>6</v>
      </c>
      <c r="E60" s="32" t="str">
        <f t="shared" si="5"/>
        <v>661</v>
      </c>
      <c r="F60" s="143" t="s">
        <v>27</v>
      </c>
      <c r="G60" s="144" t="str">
        <f>VLOOKUP(E60,BDD!$A$2:$N$567,MATCH(G$24,BDD!$A$1:$P$1,0),FALSE)</f>
        <v>La gouvernance du SI permet de contrôler l’application des règles et principes d'architecture à toutes les étapes du cycle de vie des solutions numériques. Elle s'appuie sur un ou plusieurs comités d'architecture (ou Design Authority) qui veillent à la bonne application des règles et principes d'architecture dans les évolutions du SI.</v>
      </c>
      <c r="H60" s="149" t="str">
        <f>IF(VLOOKUP($E60,BDD!$A$2:$N$567,MATCH($H$23,BDD!$A$1:$P$1,0),FALSE)=H$24,V6_Architecture!H$24,"")</f>
        <v/>
      </c>
      <c r="I60" s="150" t="str">
        <f>IF(VLOOKUP($E60,BDD!$A$2:$N$567,MATCH($H$23,BDD!$A$1:$P$1,0),FALSE)=I$24,V6_Architecture!I$24,"")</f>
        <v>N2</v>
      </c>
      <c r="J60" s="150" t="str">
        <f>IF(VLOOKUP($E60,BDD!$A$2:$N$567,MATCH($H$23,BDD!$A$1:$P$1,0),FALSE)=J$24,V6_Architecture!J$24,"")</f>
        <v/>
      </c>
      <c r="K60" s="150" t="str">
        <f>IF(VLOOKUP($E60,BDD!$A$2:$N$567,MATCH($H$23,BDD!$A$1:$P$1,0),FALSE)=K$24,V6_Architecture!K$24,"")</f>
        <v/>
      </c>
      <c r="L60" s="151" t="str">
        <f>IF(VLOOKUP($E60,BDD!$A$2:$N$567,MATCH($H$23,BDD!$A$1:$P$1,0),FALSE)=L$24,V6_Architecture!L$24,"")</f>
        <v/>
      </c>
      <c r="M60" s="63">
        <f t="shared" ref="M60:M66" si="10">IF(N60="Exigences partiellement respectées",1,IF(N60="Exigences respectées",2,0))</f>
        <v>0</v>
      </c>
      <c r="N60" s="144" t="str">
        <f>VLOOKUP(VLOOKUP(E60,BDD!$A$2:$P$428,15,FALSE),Suppl!$D$64:$E$68,2,FALSE)</f>
        <v>Non renseigné</v>
      </c>
      <c r="O60" s="626"/>
      <c r="P60" s="626"/>
      <c r="Q60" s="626"/>
      <c r="R60" s="626"/>
      <c r="S60" s="653">
        <f>IF(N60=Suppl!$E$65,0,IF(N60=Suppl!$E$66,1/2/(COUNTIFS($D:$D,D60,$N:$N,"Exigences"&amp;"*",G:G,"&lt;&gt;0")+COUNTIFS($D:$D,D60,$N:$N,"Non"&amp;"*",G:G,"&lt;&gt;0")),IF(N60=Suppl!$E$67,1/(COUNTIFS($D:$D,D60,$N:$N,"Exigences"&amp;"*",G:G,"&lt;&gt;0")+COUNTIFS($D:$D,D60,$N:$N,"Non"&amp;"*",G:G,"&lt;&gt;0")),0)))</f>
        <v>0</v>
      </c>
      <c r="T60" s="653"/>
      <c r="U60" s="653"/>
      <c r="V60" s="654"/>
      <c r="W60" s="356">
        <f>IFERROR(IF(N60=Suppl!$E$65,0,IF(N60=Suppl!$E$66,1/2/(COUNTIFS($N:$N,"Exigences"&amp;"*")+COUNTIFS($N:$N,"Non"&amp;"*")),IF(N60=Suppl!$E$67,1/(COUNTIFS($N:$N,"Exigences"&amp;"*")+COUNTIFS($N:$N,"Non"&amp;"*")),0))),0)</f>
        <v>0</v>
      </c>
      <c r="X60" s="30"/>
      <c r="Y60" s="30"/>
      <c r="Z60" s="30"/>
      <c r="AA60" s="30"/>
      <c r="AB60" s="30"/>
      <c r="AC60" s="30"/>
      <c r="AD60" s="30"/>
      <c r="AE60" s="30"/>
      <c r="AF60" s="30"/>
      <c r="AG60" s="30"/>
      <c r="AH60" s="100"/>
      <c r="AI60" s="30"/>
    </row>
    <row r="61" spans="1:35" ht="55.2" x14ac:dyDescent="0.3">
      <c r="A61" s="100"/>
      <c r="B61" s="30"/>
      <c r="C61" s="30" t="str">
        <f t="shared" si="0"/>
        <v>6</v>
      </c>
      <c r="D61" s="32">
        <f t="shared" si="4"/>
        <v>6</v>
      </c>
      <c r="E61" s="32" t="str">
        <f t="shared" si="5"/>
        <v>662</v>
      </c>
      <c r="F61" s="145" t="s">
        <v>28</v>
      </c>
      <c r="G61" s="146" t="str">
        <f>VLOOKUP(E61,BDD!$A$2:$N$567,MATCH(G$24,BDD!$A$1:$P$1,0),FALSE)</f>
        <v>Une organisation et une gouvernance ont été mises en place pour instruire et approuver les évolutions du référentiel d’architecture, en prenant notamment en compte les retours d’expérience et les nouveaux besoins de l'organisation ainsi que les évolutions technologiques et méthodologiques.</v>
      </c>
      <c r="H61" s="149" t="str">
        <f>IF(VLOOKUP($E61,BDD!$A$2:$N$567,MATCH($H$23,BDD!$A$1:$P$1,0),FALSE)=H$24,V6_Architecture!H$24,"")</f>
        <v/>
      </c>
      <c r="I61" s="150" t="str">
        <f>IF(VLOOKUP($E61,BDD!$A$2:$N$567,MATCH($H$23,BDD!$A$1:$P$1,0),FALSE)=I$24,V6_Architecture!I$24,"")</f>
        <v>N2</v>
      </c>
      <c r="J61" s="150" t="str">
        <f>IF(VLOOKUP($E61,BDD!$A$2:$N$567,MATCH($H$23,BDD!$A$1:$P$1,0),FALSE)=J$24,V6_Architecture!J$24,"")</f>
        <v/>
      </c>
      <c r="K61" s="150" t="str">
        <f>IF(VLOOKUP($E61,BDD!$A$2:$N$567,MATCH($H$23,BDD!$A$1:$P$1,0),FALSE)=K$24,V6_Architecture!K$24,"")</f>
        <v/>
      </c>
      <c r="L61" s="151" t="str">
        <f>IF(VLOOKUP($E61,BDD!$A$2:$N$567,MATCH($H$23,BDD!$A$1:$P$1,0),FALSE)=L$24,V6_Architecture!L$24,"")</f>
        <v/>
      </c>
      <c r="M61" s="63">
        <f t="shared" si="10"/>
        <v>0</v>
      </c>
      <c r="N61" s="146" t="str">
        <f>VLOOKUP(VLOOKUP(E61,BDD!$A$2:$P$428,15,FALSE),Suppl!$D$64:$E$68,2,FALSE)</f>
        <v>Non renseigné</v>
      </c>
      <c r="O61" s="629"/>
      <c r="P61" s="629"/>
      <c r="Q61" s="629"/>
      <c r="R61" s="629"/>
      <c r="S61" s="627">
        <f>IF(N61=Suppl!$E$65,0,IF(N61=Suppl!$E$66,1/2/(COUNTIFS($D:$D,D61,$N:$N,"Exigences"&amp;"*",G:G,"&lt;&gt;0")+COUNTIFS($D:$D,D61,$N:$N,"Non"&amp;"*",G:G,"&lt;&gt;0")),IF(N61=Suppl!$E$67,1/(COUNTIFS($D:$D,D61,$N:$N,"Exigences"&amp;"*",G:G,"&lt;&gt;0")+COUNTIFS($D:$D,D61,$N:$N,"Non"&amp;"*",G:G,"&lt;&gt;0")),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100"/>
      <c r="AI61" s="30"/>
    </row>
    <row r="62" spans="1:35" ht="41.4" x14ac:dyDescent="0.3">
      <c r="A62" s="100"/>
      <c r="B62" s="30"/>
      <c r="C62" s="30" t="str">
        <f t="shared" si="0"/>
        <v>6</v>
      </c>
      <c r="D62" s="32">
        <f t="shared" si="4"/>
        <v>6</v>
      </c>
      <c r="E62" s="32" t="str">
        <f t="shared" si="5"/>
        <v>663</v>
      </c>
      <c r="F62" s="143" t="s">
        <v>30</v>
      </c>
      <c r="G62" s="144" t="str">
        <f>VLOOKUP(E62,BDD!$A$2:$N$567,MATCH(G$24,BDD!$A$1:$P$1,0),FALSE)</f>
        <v>Des critères compréhensibles et acceptés par toutes les parties prenantes (métiers et IT) sont définis pour adapter le niveau d’accompagnement et de contrôle de chaque projet par l’architecture. </v>
      </c>
      <c r="H62" s="149" t="str">
        <f>IF(VLOOKUP($E62,BDD!$A$2:$N$567,MATCH($H$23,BDD!$A$1:$P$1,0),FALSE)=H$24,V6_Architecture!H$24,"")</f>
        <v/>
      </c>
      <c r="I62" s="150" t="str">
        <f>IF(VLOOKUP($E62,BDD!$A$2:$N$567,MATCH($H$23,BDD!$A$1:$P$1,0),FALSE)=I$24,V6_Architecture!I$24,"")</f>
        <v/>
      </c>
      <c r="J62" s="150" t="str">
        <f>IF(VLOOKUP($E62,BDD!$A$2:$N$567,MATCH($H$23,BDD!$A$1:$P$1,0),FALSE)=J$24,V6_Architecture!J$24,"")</f>
        <v>N3</v>
      </c>
      <c r="K62" s="150" t="str">
        <f>IF(VLOOKUP($E62,BDD!$A$2:$N$567,MATCH($H$23,BDD!$A$1:$P$1,0),FALSE)=K$24,V6_Architecture!K$24,"")</f>
        <v/>
      </c>
      <c r="L62" s="151" t="str">
        <f>IF(VLOOKUP($E62,BDD!$A$2:$N$567,MATCH($H$23,BDD!$A$1:$P$1,0),FALSE)=L$24,V6_Architecture!L$24,"")</f>
        <v/>
      </c>
      <c r="M62" s="63">
        <f t="shared" si="10"/>
        <v>0</v>
      </c>
      <c r="N62" s="144" t="str">
        <f>VLOOKUP(VLOOKUP(E62,BDD!$A$2:$P$428,15,FALSE),Suppl!$D$64:$E$68,2,FALSE)</f>
        <v>Non renseigné</v>
      </c>
      <c r="O62" s="629"/>
      <c r="P62" s="629"/>
      <c r="Q62" s="629"/>
      <c r="R62" s="629"/>
      <c r="S62" s="627">
        <f>IF(N62=Suppl!$E$65,0,IF(N62=Suppl!$E$66,1/2/(COUNTIFS($D:$D,D62,$N:$N,"Exigences"&amp;"*",G:G,"&lt;&gt;0")+COUNTIFS($D:$D,D62,$N:$N,"Non"&amp;"*",G:G,"&lt;&gt;0")),IF(N62=Suppl!$E$67,1/(COUNTIFS($D:$D,D62,$N:$N,"Exigences"&amp;"*",G:G,"&lt;&gt;0")+COUNTIFS($D:$D,D62,$N:$N,"Non"&amp;"*",G:G,"&lt;&gt;0")),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100"/>
      <c r="AI62" s="30"/>
    </row>
    <row r="63" spans="1:35" ht="30" customHeight="1" x14ac:dyDescent="0.3">
      <c r="A63" s="100"/>
      <c r="B63" s="30"/>
      <c r="C63" s="30" t="str">
        <f t="shared" si="0"/>
        <v>6</v>
      </c>
      <c r="D63" s="32">
        <f t="shared" si="4"/>
        <v>6</v>
      </c>
      <c r="E63" s="32" t="str">
        <f t="shared" si="5"/>
        <v>664</v>
      </c>
      <c r="F63" s="145" t="s">
        <v>32</v>
      </c>
      <c r="G63" s="146" t="str">
        <f>VLOOKUP(E63,BDD!$A$2:$N$567,MATCH(G$24,BDD!$A$1:$P$1,0),FALSE)</f>
        <v>Le processus de pilotage du portefeuille de projets contrôle l’application continue du cadre de référence de l’architecture. </v>
      </c>
      <c r="H63" s="149" t="str">
        <f>IF(VLOOKUP($E63,BDD!$A$2:$N$567,MATCH($H$23,BDD!$A$1:$P$1,0),FALSE)=H$24,V6_Architecture!H$24,"")</f>
        <v/>
      </c>
      <c r="I63" s="150" t="str">
        <f>IF(VLOOKUP($E63,BDD!$A$2:$N$567,MATCH($H$23,BDD!$A$1:$P$1,0),FALSE)=I$24,V6_Architecture!I$24,"")</f>
        <v/>
      </c>
      <c r="J63" s="150" t="str">
        <f>IF(VLOOKUP($E63,BDD!$A$2:$N$567,MATCH($H$23,BDD!$A$1:$P$1,0),FALSE)=J$24,V6_Architecture!J$24,"")</f>
        <v/>
      </c>
      <c r="K63" s="150" t="str">
        <f>IF(VLOOKUP($E63,BDD!$A$2:$N$567,MATCH($H$23,BDD!$A$1:$P$1,0),FALSE)=K$24,V6_Architecture!K$24,"")</f>
        <v>N4</v>
      </c>
      <c r="L63" s="151" t="str">
        <f>IF(VLOOKUP($E63,BDD!$A$2:$N$567,MATCH($H$23,BDD!$A$1:$P$1,0),FALSE)=L$24,V6_Architecture!L$24,"")</f>
        <v/>
      </c>
      <c r="M63" s="63">
        <f t="shared" si="10"/>
        <v>0</v>
      </c>
      <c r="N63" s="146" t="str">
        <f>VLOOKUP(VLOOKUP(E63,BDD!$A$2:$P$428,15,FALSE),Suppl!$D$64:$E$68,2,FALSE)</f>
        <v>Non renseigné</v>
      </c>
      <c r="O63" s="629"/>
      <c r="P63" s="629"/>
      <c r="Q63" s="629"/>
      <c r="R63" s="629"/>
      <c r="S63" s="627">
        <f>IF(N63=Suppl!$E$65,0,IF(N63=Suppl!$E$66,1/2/(COUNTIFS($D:$D,D63,$N:$N,"Exigences"&amp;"*",G:G,"&lt;&gt;0")+COUNTIFS($D:$D,D63,$N:$N,"Non"&amp;"*",G:G,"&lt;&gt;0")),IF(N63=Suppl!$E$67,1/(COUNTIFS($D:$D,D63,$N:$N,"Exigences"&amp;"*",G:G,"&lt;&gt;0")+COUNTIFS($D:$D,D63,$N:$N,"Non"&amp;"*",G:G,"&lt;&gt;0")),0)))</f>
        <v>0</v>
      </c>
      <c r="T63" s="627"/>
      <c r="U63" s="627"/>
      <c r="V63" s="628"/>
      <c r="W63" s="356">
        <f>IFERROR(IF(N63=Suppl!$E$65,0,IF(N63=Suppl!$E$66,1/2/(COUNTIFS($N:$N,"Exigences"&amp;"*")+COUNTIFS($N:$N,"Non"&amp;"*")),IF(N63=Suppl!$E$67,1/(COUNTIFS($N:$N,"Exigences"&amp;"*")+COUNTIFS($N:$N,"Non"&amp;"*")),0))),0)</f>
        <v>0</v>
      </c>
      <c r="X63" s="30"/>
      <c r="Y63" s="30"/>
      <c r="Z63" s="30"/>
      <c r="AA63" s="30"/>
      <c r="AB63" s="30"/>
      <c r="AC63" s="30"/>
      <c r="AD63" s="30"/>
      <c r="AE63" s="30"/>
      <c r="AF63" s="30"/>
      <c r="AG63" s="30"/>
      <c r="AH63" s="100"/>
      <c r="AI63" s="30"/>
    </row>
    <row r="64" spans="1:35" ht="30" customHeight="1" x14ac:dyDescent="0.3">
      <c r="A64" s="100"/>
      <c r="B64" s="30"/>
      <c r="C64" s="30" t="str">
        <f t="shared" si="0"/>
        <v>6</v>
      </c>
      <c r="D64" s="32">
        <f t="shared" si="4"/>
        <v>6</v>
      </c>
      <c r="E64" s="32" t="str">
        <f t="shared" si="5"/>
        <v>665</v>
      </c>
      <c r="F64" s="143" t="s">
        <v>33</v>
      </c>
      <c r="G64" s="144" t="str">
        <f>VLOOKUP(E64,BDD!$A$2:$N$567,MATCH(G$24,BDD!$A$1:$P$1,0),FALSE)</f>
        <v>Une base de données de gestion de configuration (CMDB) permet l'identification de l’obsolescence des composants SI. </v>
      </c>
      <c r="H64" s="149" t="str">
        <f>IF(VLOOKUP($E64,BDD!$A$2:$N$567,MATCH($H$23,BDD!$A$1:$P$1,0),FALSE)=H$24,V6_Architecture!H$24,"")</f>
        <v>N1</v>
      </c>
      <c r="I64" s="150" t="str">
        <f>IF(VLOOKUP($E64,BDD!$A$2:$N$567,MATCH($H$23,BDD!$A$1:$P$1,0),FALSE)=I$24,V6_Architecture!I$24,"")</f>
        <v/>
      </c>
      <c r="J64" s="150" t="str">
        <f>IF(VLOOKUP($E64,BDD!$A$2:$N$567,MATCH($H$23,BDD!$A$1:$P$1,0),FALSE)=J$24,V6_Architecture!J$24,"")</f>
        <v/>
      </c>
      <c r="K64" s="150" t="str">
        <f>IF(VLOOKUP($E64,BDD!$A$2:$N$567,MATCH($H$23,BDD!$A$1:$P$1,0),FALSE)=K$24,V6_Architecture!K$24,"")</f>
        <v/>
      </c>
      <c r="L64" s="151" t="str">
        <f>IF(VLOOKUP($E64,BDD!$A$2:$N$567,MATCH($H$23,BDD!$A$1:$P$1,0),FALSE)=L$24,V6_Architecture!L$24,"")</f>
        <v/>
      </c>
      <c r="M64" s="63">
        <f t="shared" si="10"/>
        <v>0</v>
      </c>
      <c r="N64" s="144" t="str">
        <f>VLOOKUP(VLOOKUP(E64,BDD!$A$2:$P$428,15,FALSE),Suppl!$D$64:$E$68,2,FALSE)</f>
        <v>Non renseigné</v>
      </c>
      <c r="O64" s="651"/>
      <c r="P64" s="629"/>
      <c r="Q64" s="629"/>
      <c r="R64" s="629"/>
      <c r="S64" s="627">
        <f>IF(N64=Suppl!$E$65,0,IF(N64=Suppl!$E$66,1/2/(COUNTIFS($D:$D,D64,$N:$N,"Exigences"&amp;"*",G:G,"&lt;&gt;0")+COUNTIFS($D:$D,D64,$N:$N,"Non"&amp;"*",G:G,"&lt;&gt;0")),IF(N64=Suppl!$E$67,1/(COUNTIFS($D:$D,D64,$N:$N,"Exigences"&amp;"*",G:G,"&lt;&gt;0")+COUNTIFS($D:$D,D64,$N:$N,"Non"&amp;"*",G:G,"&lt;&gt;0")),0)))</f>
        <v>0</v>
      </c>
      <c r="T64" s="627"/>
      <c r="U64" s="627"/>
      <c r="V64" s="628"/>
      <c r="W64" s="356">
        <f>IFERROR(IF(N64=Suppl!$E$65,0,IF(N64=Suppl!$E$66,1/2/(COUNTIFS($N:$N,"Exigences"&amp;"*")+COUNTIFS($N:$N,"Non"&amp;"*")),IF(N64=Suppl!$E$67,1/(COUNTIFS($N:$N,"Exigences"&amp;"*")+COUNTIFS($N:$N,"Non"&amp;"*")),0))),0)</f>
        <v>0</v>
      </c>
      <c r="X64" s="30"/>
      <c r="Y64" s="30"/>
      <c r="Z64" s="30"/>
      <c r="AA64" s="30"/>
      <c r="AB64" s="30"/>
      <c r="AC64" s="30"/>
      <c r="AD64" s="30"/>
      <c r="AE64" s="30"/>
      <c r="AF64" s="30"/>
      <c r="AG64" s="30"/>
      <c r="AH64" s="100"/>
      <c r="AI64" s="30"/>
    </row>
    <row r="65" spans="1:35" ht="41.4" x14ac:dyDescent="0.3">
      <c r="A65" s="100"/>
      <c r="B65" s="30"/>
      <c r="C65" s="30" t="str">
        <f t="shared" si="0"/>
        <v>6</v>
      </c>
      <c r="D65" s="32">
        <f t="shared" si="4"/>
        <v>6</v>
      </c>
      <c r="E65" s="32" t="str">
        <f t="shared" si="5"/>
        <v>666</v>
      </c>
      <c r="F65" s="147" t="s">
        <v>34</v>
      </c>
      <c r="G65" s="148" t="str">
        <f>VLOOKUP(E65,BDD!$A$2:$N$567,MATCH(G$24,BDD!$A$1:$P$1,0),FALSE)</f>
        <v>Un processus de gestion de l’obsolescence du SI permet de s'assurer que tous les composants du SI respectent les règles de gestion associées définies par l'architecture. Il définit également les plans de remédiation à mettre en œuvre en cas d'écart.</v>
      </c>
      <c r="H65" s="149" t="str">
        <f>IF(VLOOKUP($E65,BDD!$A$2:$N$567,MATCH($H$23,BDD!$A$1:$P$1,0),FALSE)=H$24,V6_Architecture!H$24,"")</f>
        <v/>
      </c>
      <c r="I65" s="150" t="str">
        <f>IF(VLOOKUP($E65,BDD!$A$2:$N$567,MATCH($H$23,BDD!$A$1:$P$1,0),FALSE)=I$24,V6_Architecture!I$24,"")</f>
        <v>N2</v>
      </c>
      <c r="J65" s="150" t="str">
        <f>IF(VLOOKUP($E65,BDD!$A$2:$N$567,MATCH($H$23,BDD!$A$1:$P$1,0),FALSE)=J$24,V6_Architecture!J$24,"")</f>
        <v/>
      </c>
      <c r="K65" s="150" t="str">
        <f>IF(VLOOKUP($E65,BDD!$A$2:$N$567,MATCH($H$23,BDD!$A$1:$P$1,0),FALSE)=K$24,V6_Architecture!K$24,"")</f>
        <v/>
      </c>
      <c r="L65" s="151" t="str">
        <f>IF(VLOOKUP($E65,BDD!$A$2:$N$567,MATCH($H$23,BDD!$A$1:$P$1,0),FALSE)=L$24,V6_Architecture!L$24,"")</f>
        <v/>
      </c>
      <c r="M65" s="63">
        <f t="shared" si="10"/>
        <v>0</v>
      </c>
      <c r="N65" s="219" t="str">
        <f>VLOOKUP(VLOOKUP(E65,BDD!$A$2:$P$428,15,FALSE),Suppl!$D$64:$E$68,2,FALSE)</f>
        <v>Non renseigné</v>
      </c>
      <c r="O65" s="629"/>
      <c r="P65" s="629"/>
      <c r="Q65" s="629"/>
      <c r="R65" s="629"/>
      <c r="S65" s="627">
        <f>IF(N65=Suppl!$E$65,0,IF(N65=Suppl!$E$66,1/2/(COUNTIFS($D:$D,D65,$N:$N,"Exigences"&amp;"*",G:G,"&lt;&gt;0")+COUNTIFS($D:$D,D65,$N:$N,"Non"&amp;"*",G:G,"&lt;&gt;0")),IF(N65=Suppl!$E$67,1/(COUNTIFS($D:$D,D65,$N:$N,"Exigences"&amp;"*",G:G,"&lt;&gt;0")+COUNTIFS($D:$D,D65,$N:$N,"Non"&amp;"*",G:G,"&lt;&gt;0")),0)))</f>
        <v>0</v>
      </c>
      <c r="T65" s="627"/>
      <c r="U65" s="627"/>
      <c r="V65" s="628"/>
      <c r="W65" s="356">
        <f>IFERROR(IF(N65=Suppl!$E$65,0,IF(N65=Suppl!$E$66,1/2/(COUNTIFS($N:$N,"Exigences"&amp;"*")+COUNTIFS($N:$N,"Non"&amp;"*")),IF(N65=Suppl!$E$67,1/(COUNTIFS($N:$N,"Exigences"&amp;"*")+COUNTIFS($N:$N,"Non"&amp;"*")),0))),0)</f>
        <v>0</v>
      </c>
      <c r="X65" s="30"/>
      <c r="Y65" s="30"/>
      <c r="Z65" s="30"/>
      <c r="AA65" s="30"/>
      <c r="AB65" s="30"/>
      <c r="AC65" s="30"/>
      <c r="AD65" s="30"/>
      <c r="AE65" s="30"/>
      <c r="AF65" s="30"/>
      <c r="AG65" s="30"/>
      <c r="AH65" s="100"/>
      <c r="AI65" s="30"/>
    </row>
    <row r="66" spans="1:35" ht="55.2" x14ac:dyDescent="0.3">
      <c r="A66" s="100"/>
      <c r="B66" s="30"/>
      <c r="C66" s="30" t="str">
        <f t="shared" si="0"/>
        <v>6</v>
      </c>
      <c r="D66" s="32">
        <f t="shared" si="4"/>
        <v>6</v>
      </c>
      <c r="E66" s="32" t="str">
        <f t="shared" si="5"/>
        <v>667</v>
      </c>
      <c r="F66" s="143" t="s">
        <v>36</v>
      </c>
      <c r="G66" s="144" t="str">
        <f>VLOOKUP(E66,BDD!$A$2:$N$567,MATCH(G$24,BDD!$A$1:$P$1,0),FALSE)</f>
        <v>Le tableau de bord de pilotage du SI intègre des indicateurs relatifs à l’architecture du SI (mesure de l’alignement avec le cadre de référence et du niveau d’obsolescence notamment). Ces indicateurs sont revus par le management de la DSI et des plans d’action sont définis pour corriger les écarts.</v>
      </c>
      <c r="H66" s="149" t="str">
        <f>IF(VLOOKUP($E66,BDD!$A$2:$N$567,MATCH($H$23,BDD!$A$1:$P$1,0),FALSE)=H$24,V6_Architecture!H$24,"")</f>
        <v/>
      </c>
      <c r="I66" s="150" t="str">
        <f>IF(VLOOKUP($E66,BDD!$A$2:$N$567,MATCH($H$23,BDD!$A$1:$P$1,0),FALSE)=I$24,V6_Architecture!I$24,"")</f>
        <v/>
      </c>
      <c r="J66" s="150" t="str">
        <f>IF(VLOOKUP($E66,BDD!$A$2:$N$567,MATCH($H$23,BDD!$A$1:$P$1,0),FALSE)=J$24,V6_Architecture!J$24,"")</f>
        <v/>
      </c>
      <c r="K66" s="150" t="str">
        <f>IF(VLOOKUP($E66,BDD!$A$2:$N$567,MATCH($H$23,BDD!$A$1:$P$1,0),FALSE)=K$24,V6_Architecture!K$24,"")</f>
        <v>N4</v>
      </c>
      <c r="L66" s="151" t="str">
        <f>IF(VLOOKUP($E66,BDD!$A$2:$N$567,MATCH($H$23,BDD!$A$1:$P$1,0),FALSE)=L$24,V6_Architecture!L$24,"")</f>
        <v/>
      </c>
      <c r="M66" s="63">
        <f t="shared" si="10"/>
        <v>0</v>
      </c>
      <c r="N66" s="144" t="str">
        <f>VLOOKUP(VLOOKUP(E66,BDD!$A$2:$P$428,15,FALSE),Suppl!$D$64:$E$68,2,FALSE)</f>
        <v>Non renseigné</v>
      </c>
      <c r="O66" s="636"/>
      <c r="P66" s="636"/>
      <c r="Q66" s="636"/>
      <c r="R66" s="636"/>
      <c r="S66" s="624">
        <f>IF(N66=Suppl!$E$65,0,IF(N66=Suppl!$E$66,1/2/(COUNTIFS($D:$D,D66,$N:$N,"Exigences"&amp;"*",G:G,"&lt;&gt;0")+COUNTIFS($D:$D,D66,$N:$N,"Non"&amp;"*",G:G,"&lt;&gt;0")),IF(N66=Suppl!$E$67,1/(COUNTIFS($D:$D,D66,$N:$N,"Exigences"&amp;"*",G:G,"&lt;&gt;0")+COUNTIFS($D:$D,D66,$N:$N,"Non"&amp;"*",G:G,"&lt;&gt;0")),0)))</f>
        <v>0</v>
      </c>
      <c r="T66" s="624"/>
      <c r="U66" s="624"/>
      <c r="V66" s="625"/>
      <c r="W66" s="356">
        <f>IFERROR(IF(N66=Suppl!$E$65,0,IF(N66=Suppl!$E$66,1/2/(COUNTIFS($N:$N,"Exigences"&amp;"*")+COUNTIFS($N:$N,"Non"&amp;"*")),IF(N66=Suppl!$E$67,1/(COUNTIFS($N:$N,"Exigences"&amp;"*")+COUNTIFS($N:$N,"Non"&amp;"*")),0))),0)</f>
        <v>0</v>
      </c>
      <c r="X66" s="30"/>
      <c r="Y66" s="30"/>
      <c r="Z66" s="30"/>
      <c r="AA66" s="30"/>
      <c r="AB66" s="30"/>
      <c r="AC66" s="30"/>
      <c r="AD66" s="30"/>
      <c r="AE66" s="30"/>
      <c r="AF66" s="30"/>
      <c r="AG66" s="30"/>
      <c r="AH66" s="100"/>
      <c r="AI66" s="30"/>
    </row>
    <row r="67" spans="1:35" ht="30" customHeight="1" x14ac:dyDescent="0.3">
      <c r="A67" s="100"/>
      <c r="B67" s="30"/>
      <c r="C67" s="30"/>
      <c r="D67" s="32"/>
      <c r="E67" s="32"/>
      <c r="F67" s="30"/>
      <c r="G67" s="32"/>
      <c r="H67" s="32"/>
      <c r="I67" s="32"/>
      <c r="J67" s="32"/>
      <c r="K67" s="32"/>
      <c r="L67" s="32"/>
      <c r="M67" s="32"/>
      <c r="N67" s="30"/>
      <c r="O67" s="30"/>
      <c r="P67" s="30"/>
      <c r="Q67" s="30"/>
      <c r="R67" s="30"/>
      <c r="S67" s="30"/>
      <c r="T67" s="30"/>
      <c r="U67" s="30"/>
      <c r="V67" s="30"/>
      <c r="W67" s="33"/>
      <c r="X67" s="30"/>
      <c r="Y67" s="30"/>
      <c r="Z67" s="30"/>
      <c r="AA67" s="30"/>
      <c r="AB67" s="30"/>
      <c r="AC67" s="30"/>
      <c r="AD67" s="30"/>
      <c r="AE67" s="30"/>
      <c r="AF67" s="30"/>
      <c r="AG67" s="30"/>
      <c r="AH67" s="100"/>
      <c r="AI67" s="30"/>
    </row>
    <row r="68" spans="1:35" ht="30" customHeight="1" x14ac:dyDescent="0.3">
      <c r="A68" s="100" t="s">
        <v>164</v>
      </c>
      <c r="B68" s="100"/>
      <c r="C68" s="100"/>
      <c r="D68" s="100"/>
      <c r="E68" s="100"/>
      <c r="F68" s="100"/>
      <c r="G68" s="104"/>
      <c r="H68" s="104"/>
      <c r="I68" s="104"/>
      <c r="J68" s="104"/>
      <c r="K68" s="104"/>
      <c r="L68" s="104"/>
      <c r="M68" s="104"/>
      <c r="N68" s="100"/>
      <c r="O68" s="100"/>
      <c r="P68" s="100"/>
      <c r="Q68" s="100"/>
      <c r="R68" s="100"/>
      <c r="S68" s="100"/>
      <c r="T68" s="100"/>
      <c r="U68" s="100"/>
      <c r="V68" s="100"/>
      <c r="W68" s="224"/>
      <c r="X68" s="100"/>
      <c r="Y68" s="100"/>
      <c r="Z68" s="100"/>
      <c r="AA68" s="100"/>
      <c r="AB68" s="100"/>
      <c r="AC68" s="100"/>
      <c r="AD68" s="100"/>
      <c r="AE68" s="100"/>
      <c r="AF68" s="100"/>
      <c r="AG68" s="100"/>
      <c r="AH68" s="100" t="s">
        <v>164</v>
      </c>
      <c r="AI68" s="30"/>
    </row>
    <row r="69" spans="1:35" ht="30" customHeight="1" x14ac:dyDescent="0.3">
      <c r="A69" s="30"/>
      <c r="B69" s="30"/>
      <c r="C69" s="30"/>
      <c r="D69" s="30"/>
      <c r="E69" s="30"/>
      <c r="F69" s="30"/>
      <c r="G69" s="32"/>
      <c r="H69" s="32"/>
      <c r="I69" s="32"/>
      <c r="J69" s="32"/>
      <c r="K69" s="32"/>
      <c r="L69" s="32"/>
      <c r="M69" s="32"/>
      <c r="N69" s="30"/>
      <c r="O69" s="30"/>
      <c r="P69" s="30"/>
      <c r="Q69" s="30"/>
      <c r="R69" s="30"/>
      <c r="S69" s="30"/>
      <c r="T69" s="30"/>
      <c r="U69" s="30"/>
      <c r="V69" s="30"/>
      <c r="W69" s="33"/>
      <c r="X69" s="30"/>
      <c r="Y69" s="30"/>
      <c r="Z69" s="30"/>
      <c r="AA69" s="30"/>
      <c r="AB69" s="30"/>
      <c r="AC69" s="30"/>
      <c r="AD69" s="30"/>
      <c r="AE69" s="30"/>
      <c r="AF69" s="30"/>
      <c r="AG69" s="30"/>
      <c r="AH69" s="30"/>
      <c r="AI69" s="30"/>
    </row>
    <row r="70" spans="1:35" ht="30" customHeight="1" x14ac:dyDescent="0.3">
      <c r="A70" s="30"/>
      <c r="B70" s="30"/>
      <c r="C70" s="30"/>
      <c r="D70" s="30"/>
      <c r="E70" s="30"/>
      <c r="F70" s="30"/>
      <c r="G70" s="32"/>
      <c r="H70" s="32"/>
      <c r="I70" s="32"/>
      <c r="J70" s="32"/>
      <c r="K70" s="32"/>
      <c r="L70" s="32"/>
      <c r="M70" s="32"/>
      <c r="N70" s="30"/>
      <c r="O70" s="30"/>
      <c r="P70" s="30"/>
      <c r="Q70" s="30"/>
      <c r="R70" s="30"/>
      <c r="S70" s="30"/>
      <c r="T70" s="30"/>
      <c r="U70" s="30"/>
      <c r="V70" s="30"/>
      <c r="W70" s="33"/>
      <c r="X70" s="30"/>
      <c r="Y70" s="30"/>
      <c r="Z70" s="30"/>
      <c r="AA70" s="30"/>
      <c r="AB70" s="30"/>
      <c r="AC70" s="30"/>
      <c r="AD70" s="30"/>
      <c r="AE70" s="30"/>
      <c r="AF70" s="30"/>
      <c r="AG70" s="30"/>
      <c r="AH70" s="30"/>
      <c r="AI70" s="30"/>
    </row>
    <row r="71" spans="1:35" ht="30" customHeight="1" x14ac:dyDescent="0.3"/>
    <row r="72" spans="1:35" ht="30" customHeight="1" x14ac:dyDescent="0.3"/>
    <row r="73" spans="1:35" ht="30" customHeight="1" x14ac:dyDescent="0.3"/>
    <row r="74" spans="1:35" ht="30" customHeight="1" x14ac:dyDescent="0.3"/>
    <row r="75" spans="1:35" ht="30" customHeight="1" x14ac:dyDescent="0.3"/>
    <row r="76" spans="1:35" ht="30" customHeight="1" x14ac:dyDescent="0.3"/>
    <row r="77" spans="1:35" ht="30" customHeight="1" x14ac:dyDescent="0.3"/>
    <row r="78" spans="1:35" ht="30" customHeight="1" x14ac:dyDescent="0.3"/>
    <row r="79" spans="1:35" ht="30" customHeight="1" x14ac:dyDescent="0.3"/>
    <row r="80" spans="1:35" ht="30" customHeight="1" x14ac:dyDescent="0.3"/>
  </sheetData>
  <sheetProtection algorithmName="SHA-512" hashValue="OuytXIusOsyxuT1zYQy/S3dmzHZ/MjrHEAK9Mn7nn3TmO/P7neIbY+Nqax83yBIOCU7YauAcwqumUJUjbqXlXQ==" saltValue="gIkCrFkQnc8jGF7eiLi1ug=="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84">
    <mergeCell ref="O25:R26"/>
    <mergeCell ref="S25:V26"/>
    <mergeCell ref="O30:R30"/>
    <mergeCell ref="S30:V30"/>
    <mergeCell ref="AD7:AD10"/>
    <mergeCell ref="O21:R21"/>
    <mergeCell ref="O22:R22"/>
    <mergeCell ref="O24:R24"/>
    <mergeCell ref="S24:V24"/>
    <mergeCell ref="O20:R20"/>
    <mergeCell ref="O31:R32"/>
    <mergeCell ref="S31:V32"/>
    <mergeCell ref="O33:R33"/>
    <mergeCell ref="S33:V33"/>
    <mergeCell ref="O27:R27"/>
    <mergeCell ref="S27:V27"/>
    <mergeCell ref="O28:R28"/>
    <mergeCell ref="S28:V28"/>
    <mergeCell ref="O29:R29"/>
    <mergeCell ref="S29:V29"/>
    <mergeCell ref="O34:R34"/>
    <mergeCell ref="S34:V34"/>
    <mergeCell ref="O35:R35"/>
    <mergeCell ref="S35:V35"/>
    <mergeCell ref="O36:R36"/>
    <mergeCell ref="S36:V36"/>
    <mergeCell ref="O37:R38"/>
    <mergeCell ref="S37:V38"/>
    <mergeCell ref="O39:R39"/>
    <mergeCell ref="S39:V39"/>
    <mergeCell ref="O40:R40"/>
    <mergeCell ref="S40:V40"/>
    <mergeCell ref="O44:R45"/>
    <mergeCell ref="S44:V45"/>
    <mergeCell ref="O41:R41"/>
    <mergeCell ref="S41:V41"/>
    <mergeCell ref="O42:R42"/>
    <mergeCell ref="S42:V42"/>
    <mergeCell ref="O43:R43"/>
    <mergeCell ref="S43:V43"/>
    <mergeCell ref="O46:R46"/>
    <mergeCell ref="S46:V46"/>
    <mergeCell ref="O47:R47"/>
    <mergeCell ref="S47:V47"/>
    <mergeCell ref="O48:R48"/>
    <mergeCell ref="S48:V48"/>
    <mergeCell ref="O50:R51"/>
    <mergeCell ref="S50:V51"/>
    <mergeCell ref="O52:R52"/>
    <mergeCell ref="S52:V52"/>
    <mergeCell ref="O49:R49"/>
    <mergeCell ref="S49:V49"/>
    <mergeCell ref="O56:R56"/>
    <mergeCell ref="S56:V56"/>
    <mergeCell ref="O57:R57"/>
    <mergeCell ref="S57:V57"/>
    <mergeCell ref="O53:R53"/>
    <mergeCell ref="S53:V53"/>
    <mergeCell ref="O54:R54"/>
    <mergeCell ref="S54:V54"/>
    <mergeCell ref="O55:R55"/>
    <mergeCell ref="S55:V55"/>
    <mergeCell ref="O58:R59"/>
    <mergeCell ref="S58:V59"/>
    <mergeCell ref="O60:R60"/>
    <mergeCell ref="S60:V60"/>
    <mergeCell ref="O61:R61"/>
    <mergeCell ref="S61:V61"/>
    <mergeCell ref="O65:R65"/>
    <mergeCell ref="S65:V65"/>
    <mergeCell ref="O66:R66"/>
    <mergeCell ref="S66:V66"/>
    <mergeCell ref="O62:R62"/>
    <mergeCell ref="S62:V62"/>
    <mergeCell ref="O63:R63"/>
    <mergeCell ref="S63:V63"/>
    <mergeCell ref="O64:R64"/>
    <mergeCell ref="S64:V64"/>
    <mergeCell ref="G59:N59"/>
    <mergeCell ref="G32:N32"/>
    <mergeCell ref="G26:N26"/>
    <mergeCell ref="G38:N38"/>
    <mergeCell ref="G45:N45"/>
    <mergeCell ref="G51:N51"/>
  </mergeCells>
  <conditionalFormatting sqref="O8:U12">
    <cfRule type="cellIs" dxfId="101" priority="7" operator="equal">
      <formula>3</formula>
    </cfRule>
    <cfRule type="cellIs" dxfId="100" priority="8" operator="equal">
      <formula>2</formula>
    </cfRule>
    <cfRule type="cellIs" dxfId="99" priority="9" operator="equal">
      <formula>1</formula>
    </cfRule>
  </conditionalFormatting>
  <conditionalFormatting sqref="G5:G11 G22 G13:G19">
    <cfRule type="expression" dxfId="98" priority="6">
      <formula>$G5&lt;&gt;""</formula>
    </cfRule>
  </conditionalFormatting>
  <conditionalFormatting sqref="H27:L31 H33:L37 H39:L44 H46:L50 H52:L58 H60:L66">
    <cfRule type="expression" dxfId="97" priority="10">
      <formula>AND($N27="Non évalué",H27&lt;&gt;"")</formula>
    </cfRule>
    <cfRule type="expression" dxfId="96" priority="11">
      <formula>AND($N27="Exigences non respectées",H27&lt;&gt;"")</formula>
    </cfRule>
    <cfRule type="expression" dxfId="95" priority="12">
      <formula>AND($N27="Exigences partiellement respectées",H27&lt;&gt;"")</formula>
    </cfRule>
    <cfRule type="expression" dxfId="94" priority="13">
      <formula>AND($N27="Exigences respectées",H27&lt;&gt;"")</formula>
    </cfRule>
  </conditionalFormatting>
  <conditionalFormatting sqref="O13:U13">
    <cfRule type="cellIs" dxfId="93" priority="3" operator="equal">
      <formula>3</formula>
    </cfRule>
    <cfRule type="cellIs" dxfId="92" priority="4" operator="equal">
      <formula>2</formula>
    </cfRule>
    <cfRule type="cellIs" dxfId="91" priority="5" operator="equal">
      <formula>1</formula>
    </cfRule>
  </conditionalFormatting>
  <conditionalFormatting sqref="G20:G21">
    <cfRule type="expression" dxfId="90" priority="2">
      <formula>$G20&lt;&gt;""</formula>
    </cfRule>
  </conditionalFormatting>
  <conditionalFormatting sqref="O20:R20">
    <cfRule type="cellIs" dxfId="89"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0EB89EE-0EDE-40D6-9841-205ACC804FD5}">
          <x14:formula1>
            <xm:f>Suppl!$E$65:$E$69</xm:f>
          </x14:formula1>
          <xm:sqref>W16 W8:W13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F8ABF-9BE6-47D0-B097-9E609FEC48BE}">
  <sheetPr codeName="Feuil7">
    <tabColor rgb="FFBFCDEF"/>
  </sheetPr>
  <dimension ref="A1:F14"/>
  <sheetViews>
    <sheetView showGridLines="0" showRowColHeaders="0" workbookViewId="0">
      <selection activeCell="D23" sqref="D23:D24"/>
    </sheetView>
  </sheetViews>
  <sheetFormatPr baseColWidth="10" defaultRowHeight="14.4" x14ac:dyDescent="0.3"/>
  <cols>
    <col min="1" max="2" width="5.77734375" style="31" customWidth="1"/>
    <col min="3" max="3" width="23.88671875" style="31" bestFit="1" customWidth="1"/>
    <col min="4" max="4" width="68.88671875" style="31" customWidth="1"/>
    <col min="5" max="6" width="5.77734375" style="31" customWidth="1"/>
    <col min="7" max="16384" width="11.5546875" style="31"/>
  </cols>
  <sheetData>
    <row r="1" spans="1:6" x14ac:dyDescent="0.3">
      <c r="A1" s="130"/>
      <c r="B1" s="130"/>
      <c r="C1" s="133"/>
      <c r="D1" s="133"/>
      <c r="E1" s="133"/>
      <c r="F1" s="133"/>
    </row>
    <row r="2" spans="1:6" ht="21" x14ac:dyDescent="0.4">
      <c r="A2" s="130"/>
      <c r="B2" s="130"/>
      <c r="C2" s="133"/>
      <c r="D2" s="134" t="s">
        <v>99</v>
      </c>
      <c r="E2" s="133"/>
      <c r="F2" s="133"/>
    </row>
    <row r="3" spans="1:6" x14ac:dyDescent="0.3">
      <c r="A3" s="130"/>
      <c r="B3" s="130"/>
      <c r="C3" s="133"/>
      <c r="D3" s="133"/>
      <c r="E3" s="133"/>
      <c r="F3" s="133"/>
    </row>
    <row r="4" spans="1:6" x14ac:dyDescent="0.3">
      <c r="A4" s="130"/>
      <c r="F4" s="130"/>
    </row>
    <row r="5" spans="1:6" x14ac:dyDescent="0.3">
      <c r="A5" s="130"/>
      <c r="F5" s="130"/>
    </row>
    <row r="6" spans="1:6" ht="30" customHeight="1" x14ac:dyDescent="0.3">
      <c r="A6" s="130"/>
      <c r="C6" s="131" t="s">
        <v>100</v>
      </c>
      <c r="D6" s="132"/>
      <c r="F6" s="130"/>
    </row>
    <row r="7" spans="1:6" ht="30" customHeight="1" x14ac:dyDescent="0.3">
      <c r="A7" s="130"/>
      <c r="C7" s="131" t="s">
        <v>101</v>
      </c>
      <c r="D7" s="132"/>
      <c r="F7" s="130"/>
    </row>
    <row r="8" spans="1:6" ht="30" customHeight="1" x14ac:dyDescent="0.3">
      <c r="A8" s="130"/>
      <c r="C8" s="131" t="s">
        <v>102</v>
      </c>
      <c r="D8" s="132"/>
      <c r="F8" s="130"/>
    </row>
    <row r="9" spans="1:6" ht="30" customHeight="1" x14ac:dyDescent="0.3">
      <c r="A9" s="130"/>
      <c r="C9" s="131" t="s">
        <v>103</v>
      </c>
      <c r="D9" s="395"/>
      <c r="F9" s="130"/>
    </row>
    <row r="10" spans="1:6" ht="30" customHeight="1" x14ac:dyDescent="0.3">
      <c r="A10" s="130"/>
      <c r="C10" s="131" t="s">
        <v>104</v>
      </c>
      <c r="D10" s="132"/>
      <c r="F10" s="130"/>
    </row>
    <row r="11" spans="1:6" x14ac:dyDescent="0.3">
      <c r="A11" s="130"/>
      <c r="F11" s="130"/>
    </row>
    <row r="12" spans="1:6" x14ac:dyDescent="0.3">
      <c r="A12" s="130"/>
      <c r="F12" s="130"/>
    </row>
    <row r="13" spans="1:6" x14ac:dyDescent="0.3">
      <c r="A13" s="130"/>
      <c r="B13" s="130"/>
      <c r="C13" s="130"/>
      <c r="D13" s="130"/>
      <c r="E13" s="130"/>
      <c r="F13" s="130"/>
    </row>
    <row r="14" spans="1:6" x14ac:dyDescent="0.3">
      <c r="A14" s="130"/>
      <c r="B14" s="130"/>
      <c r="C14" s="130"/>
      <c r="D14" s="130"/>
      <c r="E14" s="130"/>
      <c r="F14" s="13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0912C-1C67-4F47-80A1-85FA63A352C7}">
  <sheetPr codeName="Feuil46">
    <tabColor rgb="FF2858AE"/>
  </sheetPr>
  <dimension ref="A1:P118"/>
  <sheetViews>
    <sheetView showGridLines="0" showRowColHeaders="0" zoomScale="67" zoomScaleNormal="67" workbookViewId="0">
      <selection activeCell="K61" sqref="K61"/>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2.21875" customWidth="1"/>
    <col min="13" max="13" width="28" bestFit="1" customWidth="1"/>
    <col min="14" max="14" width="16.5546875" customWidth="1"/>
    <col min="15" max="16" width="4" customWidth="1"/>
  </cols>
  <sheetData>
    <row r="1" spans="1:16" ht="45" customHeight="1" x14ac:dyDescent="0.3">
      <c r="A1" s="298"/>
      <c r="B1" s="299" t="s">
        <v>564</v>
      </c>
      <c r="C1" s="300"/>
      <c r="D1" s="300"/>
      <c r="E1" s="300"/>
      <c r="F1" s="300"/>
      <c r="G1" s="298"/>
      <c r="H1" s="301"/>
      <c r="I1" s="301"/>
      <c r="J1" s="302" t="str">
        <f>VLOOKUP($E$12,BDD!$A$2:$N$567,3,FALSE)</f>
        <v>Portefeuille de projets</v>
      </c>
      <c r="K1" s="301"/>
      <c r="L1" s="298"/>
      <c r="M1" s="298"/>
      <c r="N1" s="298"/>
      <c r="O1" s="298"/>
      <c r="P1" s="298"/>
    </row>
    <row r="2" spans="1:16" ht="45" customHeight="1" x14ac:dyDescent="0.3">
      <c r="A2" s="298"/>
      <c r="B2" s="298"/>
      <c r="C2" s="298"/>
      <c r="D2" s="298"/>
      <c r="E2" s="298"/>
      <c r="F2" s="298"/>
      <c r="G2" s="298"/>
      <c r="H2" s="298"/>
      <c r="I2" s="298"/>
      <c r="J2" s="303" t="str">
        <f>VLOOKUP($E$12,BDD!$A$2:$N$567,4,FALSE)</f>
        <v>Prioriser et piloter les projets numériques en cohérence avec les objectifs stratégiques de l'organisation en optimisant l'allocation des ressources</v>
      </c>
      <c r="K2" s="298"/>
      <c r="L2" s="298"/>
      <c r="M2" s="298"/>
      <c r="N2" s="298"/>
      <c r="O2" s="298"/>
      <c r="P2" s="298"/>
    </row>
    <row r="3" spans="1:16" ht="18" x14ac:dyDescent="0.35">
      <c r="A3" s="298"/>
      <c r="B3" s="68"/>
      <c r="C3" s="68"/>
      <c r="D3" s="68"/>
      <c r="E3" s="68"/>
      <c r="F3" s="68"/>
      <c r="G3" s="69" t="str">
        <f>IF(Suppl!B64=2,"Le vecteur n'est pas utilisé","")</f>
        <v/>
      </c>
      <c r="H3" s="69"/>
      <c r="I3" s="69"/>
      <c r="J3" s="69"/>
      <c r="K3" s="69"/>
      <c r="L3" s="70"/>
      <c r="M3" s="68"/>
      <c r="N3" s="68"/>
      <c r="O3" s="68"/>
      <c r="P3" s="298"/>
    </row>
    <row r="4" spans="1:16" x14ac:dyDescent="0.3">
      <c r="A4" s="298"/>
      <c r="B4" s="68"/>
      <c r="C4" s="68"/>
      <c r="D4" s="68"/>
      <c r="E4" s="68"/>
      <c r="F4" s="68"/>
      <c r="G4" s="68"/>
      <c r="H4" s="68"/>
      <c r="I4" s="68"/>
      <c r="J4" s="68"/>
      <c r="K4" s="68"/>
      <c r="L4" s="68"/>
      <c r="M4" s="68"/>
      <c r="N4" s="68"/>
      <c r="O4" s="68"/>
      <c r="P4" s="298"/>
    </row>
    <row r="5" spans="1:16" ht="25.8" x14ac:dyDescent="0.5">
      <c r="A5" s="304"/>
      <c r="B5" s="74"/>
      <c r="C5" s="68" t="str">
        <f>IF(LEFT(RIGHT($B$1,2),1)=" ",RIGHT($B$1,1),RIGHT($B$1,2))</f>
        <v>7</v>
      </c>
      <c r="D5" s="68">
        <f>IF(LEFT(F5,14)="Bonne pratique",D4+1,D4)</f>
        <v>1</v>
      </c>
      <c r="E5" s="71"/>
      <c r="F5" s="208" t="s">
        <v>499</v>
      </c>
      <c r="G5" s="75"/>
      <c r="H5" s="205"/>
      <c r="I5" s="73"/>
      <c r="J5" s="73" t="str">
        <f>VLOOKUP(E12,BDD!$A$2:$N$567,6,FALSE)</f>
        <v>Référentiel de projets</v>
      </c>
      <c r="K5" s="72"/>
      <c r="L5" s="75"/>
      <c r="M5" s="75"/>
      <c r="N5" s="75"/>
      <c r="O5" s="74"/>
      <c r="P5" s="304"/>
    </row>
    <row r="6" spans="1:16" x14ac:dyDescent="0.3">
      <c r="A6" s="298"/>
      <c r="B6" s="68"/>
      <c r="C6" s="68" t="str">
        <f t="shared" ref="C6:C69" si="0">IF(LEFT(RIGHT($B$1,2),1)=" ",RIGHT($B$1,1),RIGHT($B$1,2))</f>
        <v>7</v>
      </c>
      <c r="D6" s="68">
        <f>IF(LEFT(F6,14)="Bonne pratique",D5+1,D5)</f>
        <v>1</v>
      </c>
      <c r="E6" s="68"/>
      <c r="F6" s="68"/>
      <c r="G6" s="68"/>
      <c r="H6" s="68"/>
      <c r="I6" s="68"/>
      <c r="J6" s="68"/>
      <c r="K6" s="68"/>
      <c r="L6" s="68"/>
      <c r="M6" s="68"/>
      <c r="N6" s="68"/>
      <c r="O6" s="68"/>
      <c r="P6" s="298"/>
    </row>
    <row r="7" spans="1:16" ht="23.4" customHeight="1" x14ac:dyDescent="0.35">
      <c r="A7" s="305"/>
      <c r="B7" s="76"/>
      <c r="C7" s="68" t="str">
        <f t="shared" si="0"/>
        <v>7</v>
      </c>
      <c r="D7" s="68">
        <f t="shared" ref="D7:D67" si="1">IF(LEFT(F7,14)="Bonne pratique",D6+1,D6)</f>
        <v>1</v>
      </c>
      <c r="E7" s="76"/>
      <c r="F7" s="76"/>
      <c r="G7" s="76"/>
      <c r="H7" s="76"/>
      <c r="I7" s="77"/>
      <c r="J7" s="207" t="str">
        <f>IFERROR(_xlfn.TEXTBEFORE(VLOOKUP(E12,BDD!$A$2:$N$567,7,FALSE)," ",30),VLOOKUP(E12,BDD!$A$2:$N$567,7,FALSE))</f>
        <v>Tous les projets sont répertoriés dans un référentiel unique pouvant être structuré en programmes afin de faciliter leur gestion  globale.</v>
      </c>
      <c r="K7" s="77"/>
      <c r="L7" s="76"/>
      <c r="M7" s="76"/>
      <c r="N7" s="76"/>
      <c r="O7" s="76"/>
      <c r="P7" s="305"/>
    </row>
    <row r="8" spans="1:16" ht="18" x14ac:dyDescent="0.35">
      <c r="A8" s="298"/>
      <c r="B8" s="68"/>
      <c r="C8" s="68" t="str">
        <f t="shared" si="0"/>
        <v>7</v>
      </c>
      <c r="D8" s="68">
        <f t="shared" si="1"/>
        <v>1</v>
      </c>
      <c r="E8" s="68"/>
      <c r="F8" s="68"/>
      <c r="G8" s="68"/>
      <c r="H8" s="68"/>
      <c r="I8" s="68"/>
      <c r="J8" s="207" t="str">
        <f>IFERROR(_xlfn.TEXTAFTER(VLOOKUP(E12,BDD!$A$2:$N$567,7,FALSE)," ",30),"")</f>
        <v/>
      </c>
      <c r="K8" s="68"/>
      <c r="L8" s="68"/>
      <c r="M8" s="68"/>
      <c r="N8" s="68"/>
      <c r="O8" s="68"/>
      <c r="P8" s="298"/>
    </row>
    <row r="9" spans="1:16" x14ac:dyDescent="0.3">
      <c r="A9" s="298"/>
      <c r="B9" s="68"/>
      <c r="C9" s="68" t="str">
        <f t="shared" si="0"/>
        <v>7</v>
      </c>
      <c r="D9" s="68">
        <f t="shared" si="1"/>
        <v>1</v>
      </c>
      <c r="E9" s="68"/>
      <c r="F9" s="68"/>
      <c r="G9" s="78"/>
      <c r="H9" s="78"/>
      <c r="I9" s="78"/>
      <c r="J9" s="78"/>
      <c r="K9" s="78"/>
      <c r="L9" s="78"/>
      <c r="M9" s="618" t="s">
        <v>92</v>
      </c>
      <c r="N9" s="618"/>
      <c r="O9" s="68"/>
      <c r="P9" s="298"/>
    </row>
    <row r="10" spans="1:16" ht="33" x14ac:dyDescent="0.3">
      <c r="A10" s="298"/>
      <c r="B10" s="68"/>
      <c r="C10" s="68" t="str">
        <f t="shared" si="0"/>
        <v>7</v>
      </c>
      <c r="D10" s="68">
        <f t="shared" si="1"/>
        <v>1</v>
      </c>
      <c r="E10" s="68"/>
      <c r="F10" s="79"/>
      <c r="G10" s="80" t="s">
        <v>561</v>
      </c>
      <c r="H10" s="80" t="s">
        <v>82</v>
      </c>
      <c r="I10" s="126" t="s">
        <v>21</v>
      </c>
      <c r="J10" s="80" t="s">
        <v>84</v>
      </c>
      <c r="K10" s="80" t="s">
        <v>549</v>
      </c>
      <c r="L10" s="78"/>
      <c r="M10" s="81" t="s">
        <v>86</v>
      </c>
      <c r="N10" s="82" t="s">
        <v>87</v>
      </c>
      <c r="O10" s="68"/>
      <c r="P10" s="298"/>
    </row>
    <row r="11" spans="1:16" x14ac:dyDescent="0.3">
      <c r="A11" s="298"/>
      <c r="B11" s="68"/>
      <c r="C11" s="68" t="str">
        <f t="shared" si="0"/>
        <v>7</v>
      </c>
      <c r="D11" s="68">
        <f t="shared" si="1"/>
        <v>1</v>
      </c>
      <c r="E11" s="68"/>
      <c r="F11" s="68"/>
      <c r="G11" s="83"/>
      <c r="H11" s="83"/>
      <c r="I11" s="83"/>
      <c r="J11" s="68"/>
      <c r="K11" s="83"/>
      <c r="L11" s="68"/>
      <c r="M11" s="68"/>
      <c r="N11" s="68"/>
      <c r="O11" s="68"/>
      <c r="P11" s="298"/>
    </row>
    <row r="12" spans="1:16" ht="130.05000000000001" customHeight="1" x14ac:dyDescent="0.3">
      <c r="A12" s="298"/>
      <c r="B12" s="68"/>
      <c r="C12" s="68" t="str">
        <f t="shared" si="0"/>
        <v>7</v>
      </c>
      <c r="D12" s="68">
        <f t="shared" si="1"/>
        <v>1</v>
      </c>
      <c r="E12" s="84" t="str">
        <f>C12&amp;D12&amp;RIGHT(F12,1)</f>
        <v>711</v>
      </c>
      <c r="F12" s="66" t="s">
        <v>27</v>
      </c>
      <c r="G12" s="67" t="str">
        <f>IFERROR(IF(VLOOKUP($E12,BDD!$A$1:$S$567,MATCH(G$10,BDD!$A$1:$P$1,0),FALSE)=0,"",VLOOKUP($E12,BDD!$A$1:$S$567,MATCH(G$10,BDD!$A$1:$P$1,0),FALSE)),"")</f>
        <v>Il existe un référentiel unique concernant l’ensemble des projets.</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Afin de pouvoir les comparer, les projets sont présentés  au sein de l’entreprise dans un cadre normalisé.
• Tous les projets sont centralisés dans ce référentiel, depuis les idées initiales jusqu’aux projets lancés et en cours de réalisation.</v>
      </c>
      <c r="L12" s="68"/>
      <c r="M12" s="87"/>
      <c r="N12" s="87"/>
      <c r="O12" s="68"/>
      <c r="P12" s="298"/>
    </row>
    <row r="13" spans="1:16" ht="311.39999999999998" customHeight="1" x14ac:dyDescent="0.3">
      <c r="A13" s="298"/>
      <c r="B13" s="68"/>
      <c r="C13" s="68" t="str">
        <f t="shared" si="0"/>
        <v>7</v>
      </c>
      <c r="D13" s="68">
        <f t="shared" si="1"/>
        <v>1</v>
      </c>
      <c r="E13" s="84" t="str">
        <f t="shared" ref="E13:E82" si="2">C13&amp;D13&amp;RIGHT(F13,1)</f>
        <v>712</v>
      </c>
      <c r="F13" s="94" t="s">
        <v>28</v>
      </c>
      <c r="G13" s="65" t="str">
        <f>IFERROR(IF(VLOOKUP($E13,BDD!$A$1:$S$567,MATCH(G$10,BDD!$A$1:$P$1,0),FALSE)=0,"",VLOOKUP($E13,BDD!$A$1:$S$567,MATCH(G$10,BDD!$A$1:$P$1,0),FALSE)),"")</f>
        <v>Afin de faciliter les prises de décision, le référentiel est structuré pour classifier les projets selon leur typologie.</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La segmentation du portefeuille de projets peut s’appuyer sur la typologie suivante :
- Programmes : lorsque cela est pertinent, les projets sont affectés à des programmes ;
- Projet de type réglementaire et de mise en conformité ;
- Projet d’innovation (en général technologique) ;
- Projet de soutien au développement de l’activité ;
- Projet visant à l’amélioration des performances (qualité, réduction des délais, standardisation des processus) ;
- Projet de réduction de coût ;
- Projet d’optimisation des systèmes ou d’infrastructure (gestion de l'obsolescence IT) ;
- Projet de maintien en condition opérationnelle ;
- Projet de décommissionnement ;
- Etc.
Un autre axe de segmentation classe les projets en fonction de leur stade d’avancement :
- Déclaration d’intention approuvée ;
- Cadrage fonctionnel métier validé ;
- Avant-projet validé ;
- Business case validé ;
- Projets lancés ;
• Pour vérifier l’alignement des projets avec la stratégie de l’organisation, il est impératif d’indiquer, pour chaque projet, à quel volet du plan stratégique il se rapporte ;
• Les dépendances entre projets doivent être identifiées et décrites ;
• Le type de méthodologie de projet retenu peut également être décrit (Cycle V, Agile, etc.).</v>
      </c>
      <c r="L13" s="68"/>
      <c r="M13" s="90"/>
      <c r="N13" s="90"/>
      <c r="O13" s="68"/>
      <c r="P13" s="298"/>
    </row>
    <row r="14" spans="1:16" ht="130.05000000000001" customHeight="1" x14ac:dyDescent="0.3">
      <c r="A14" s="298"/>
      <c r="B14" s="68"/>
      <c r="C14" s="68" t="str">
        <f t="shared" si="0"/>
        <v>7</v>
      </c>
      <c r="D14" s="68">
        <f t="shared" si="1"/>
        <v>1</v>
      </c>
      <c r="E14" s="84" t="str">
        <f t="shared" si="2"/>
        <v>713</v>
      </c>
      <c r="F14" s="66" t="s">
        <v>30</v>
      </c>
      <c r="G14" s="67" t="str">
        <f>IFERROR(IF(VLOOKUP($E14,BDD!$A$1:$S$567,MATCH(G$10,BDD!$A$1:$P$1,0),FALSE)=0,"",VLOOKUP($E14,BDD!$A$1:$S$567,MATCH(G$10,BDD!$A$1:$P$1,0),FALSE)),"")</f>
        <v>Le référentiel est mis à jour à chacune des étapes suivantes : déclaration d’intention ou d’opportunité, cadrage fonctionnel métier, avant-projet, prototypage (si besoin), business case, scoring, décision de lancement.</v>
      </c>
      <c r="H14" s="85" t="str">
        <f>IF(VLOOKUP(E14,BDD!$A$1:$S$567,15,FALSE)=0,"Critère non évalué","")</f>
        <v>Critère non évalué</v>
      </c>
      <c r="I14" s="66" t="str">
        <f>IFERROR(IF(VLOOKUP($E14,BDD!$A$1:$S$567,MATCH(I$10,BDD!$A$1:$P$1,0),FALSE)=0,"",VLOOKUP($E14,BDD!$A$1:$S$567,MATCH(I$10,BDD!$A$1:$P$1,0),FALSE)),"")</f>
        <v>N2</v>
      </c>
      <c r="J14" s="86"/>
      <c r="K14" s="67" t="str">
        <f>IFERROR(IF(VLOOKUP($E14,BDD!$A$1:$S$567,MATCH(K$10,BDD!$A$1:$P$1,0),FALSE)=0,"",VLOOKUP($E14,BDD!$A$1:$S$567,MATCH(K$10,BDD!$A$1:$P$1,0),FALSE)),"")</f>
        <v/>
      </c>
      <c r="L14" s="68"/>
      <c r="M14" s="87"/>
      <c r="N14" s="87"/>
      <c r="O14" s="68"/>
      <c r="P14" s="298"/>
    </row>
    <row r="15" spans="1:16" ht="130.05000000000001" customHeight="1" x14ac:dyDescent="0.3">
      <c r="A15" s="298"/>
      <c r="B15" s="68"/>
      <c r="C15" s="68" t="str">
        <f t="shared" si="0"/>
        <v>7</v>
      </c>
      <c r="D15" s="68">
        <f t="shared" si="1"/>
        <v>1</v>
      </c>
      <c r="E15" s="84" t="str">
        <f t="shared" si="2"/>
        <v>714</v>
      </c>
      <c r="F15" s="64" t="s">
        <v>32</v>
      </c>
      <c r="G15" s="96" t="str">
        <f>IFERROR(IF(VLOOKUP($E15,BDD!$A$1:$S$567,MATCH(G$10,BDD!$A$1:$P$1,0),FALSE)=0,"",VLOOKUP($E15,BDD!$A$1:$S$567,MATCH(G$10,BDD!$A$1:$P$1,0),FALSE)),"")</f>
        <v>Les responsabilités de gestion du portefeuille de projet sont clairement affectées dans l'organisation.</v>
      </c>
      <c r="H15" s="210" t="str">
        <f>IF(VLOOKUP(E15,BDD!$A$1:$S$567,15,FALSE)=0,"Critère non évalué","")</f>
        <v>Critère non évalué</v>
      </c>
      <c r="I15" s="64" t="str">
        <f>IFERROR(IF(VLOOKUP($E15,BDD!$A$1:$S$567,MATCH(I$10,BDD!$A$1:$P$1,0),FALSE)=0,"",VLOOKUP($E15,BDD!$A$1:$S$567,MATCH(I$10,BDD!$A$1:$P$1,0),FALSE)),"")</f>
        <v>N3</v>
      </c>
      <c r="J15" s="95"/>
      <c r="K15" s="96" t="str">
        <f>IFERROR(IF(VLOOKUP($E15,BDD!$A$1:$S$567,MATCH(K$10,BDD!$A$1:$P$1,0),FALSE)=0,"",VLOOKUP($E15,BDD!$A$1:$S$567,MATCH(K$10,BDD!$A$1:$P$1,0),FALSE)),"")</f>
        <v xml:space="preserve">• Les personnes en charge du pilotage du portefeuille de projet disposent de ressources suffisantes (temps, budget, outil, accès à l'information) pour en permettre la bonne gestion.
• La gestion formelle du portefeuille est généralement assurée par un « Project Management Office » (PMO), qui prépare les décisions des dirigeants.
• Les projets sont évalués à la fois en fonction de leur contribution à la création de valeur et des risques ou difficultés de mise en œuvre inhérents.
• Cette évaluation peut être introduite dans la structuration du référentiel pour classer les projets depuis « valeur forte/risques faibles » jusqu’à « valeur faible/risques forts ». </v>
      </c>
      <c r="L15" s="68"/>
      <c r="M15" s="90"/>
      <c r="N15" s="90"/>
      <c r="O15" s="68"/>
      <c r="P15" s="298"/>
    </row>
    <row r="16" spans="1:16" ht="130.05000000000001" hidden="1" customHeight="1" x14ac:dyDescent="0.3">
      <c r="A16" s="298"/>
      <c r="B16" s="68"/>
      <c r="C16" s="68" t="str">
        <f t="shared" si="0"/>
        <v>7</v>
      </c>
      <c r="D16" s="68">
        <f t="shared" si="1"/>
        <v>1</v>
      </c>
      <c r="E16" s="84" t="str">
        <f t="shared" si="2"/>
        <v>715</v>
      </c>
      <c r="F16" s="66" t="s">
        <v>33</v>
      </c>
      <c r="G16" s="67" t="str">
        <f>IFERROR(IF(VLOOKUP($E16,BDD!$A$1:$S$567,MATCH(G$10,BDD!$A$1:$P$1,0),FALSE)=0,"",VLOOKUP($E16,BDD!$A$1:$S$567,MATCH(G$10,BDD!$A$1:$P$1,0),FALSE)),"")</f>
        <v/>
      </c>
      <c r="H16" s="85" t="str">
        <f>IF(VLOOKUP(E16,BDD!$A$1:$S$567,15,FALSE)=0,"Critère non évalué","")</f>
        <v>Critère non évalué</v>
      </c>
      <c r="I16" s="66" t="str">
        <f>IFERROR(IF(VLOOKUP($E16,BDD!$A$1:$S$567,MATCH(I$10,BDD!$A$1:$P$1,0),FALSE)=0,"",VLOOKUP($E16,BDD!$A$1:$S$567,MATCH(I$10,BDD!$A$1:$P$1,0),FALSE)),"")</f>
        <v xml:space="preserve"> </v>
      </c>
      <c r="J16" s="86"/>
      <c r="K16" s="67" t="str">
        <f>IFERROR(IF(VLOOKUP($E16,BDD!$A$1:$S$567,MATCH(K$10,BDD!$A$1:$P$1,0),FALSE)=0,"",VLOOKUP($E16,BDD!$A$1:$S$567,MATCH(K$10,BDD!$A$1:$P$1,0),FALSE)),"")</f>
        <v/>
      </c>
      <c r="L16" s="68"/>
      <c r="M16" s="82"/>
      <c r="N16" s="82"/>
      <c r="O16" s="68"/>
      <c r="P16" s="298"/>
    </row>
    <row r="17" spans="1:16" ht="130.05000000000001" hidden="1" customHeight="1" x14ac:dyDescent="0.3">
      <c r="A17" s="298"/>
      <c r="B17" s="68"/>
      <c r="C17" s="68" t="str">
        <f t="shared" si="0"/>
        <v>7</v>
      </c>
      <c r="D17" s="68">
        <f t="shared" si="1"/>
        <v>1</v>
      </c>
      <c r="E17" s="84" t="str">
        <f t="shared" si="2"/>
        <v>716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xml:space="preserve"> </v>
      </c>
      <c r="J17" s="89"/>
      <c r="K17" s="65" t="str">
        <f>IFERROR(IF(VLOOKUP($E17,BDD!$A$1:$S$567,MATCH(K$10,BDD!$A$1:$P$1,0),FALSE)=0,"",VLOOKUP($E17,BDD!$A$1:$S$567,MATCH(K$10,BDD!$A$1:$P$1,0),FALSE)),"")</f>
        <v/>
      </c>
      <c r="L17" s="68"/>
      <c r="M17" s="90"/>
      <c r="N17" s="90"/>
      <c r="O17" s="68"/>
      <c r="P17" s="298"/>
    </row>
    <row r="18" spans="1:16" ht="130.05000000000001" hidden="1" customHeight="1" x14ac:dyDescent="0.3">
      <c r="A18" s="298"/>
      <c r="B18" s="68"/>
      <c r="C18" s="68" t="str">
        <f t="shared" si="0"/>
        <v>7</v>
      </c>
      <c r="D18" s="68">
        <f t="shared" si="1"/>
        <v>1</v>
      </c>
      <c r="E18" s="84" t="str">
        <f t="shared" si="2"/>
        <v>717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298"/>
    </row>
    <row r="19" spans="1:16" ht="18" x14ac:dyDescent="0.35">
      <c r="A19" s="298"/>
      <c r="B19" s="68"/>
      <c r="C19" s="68" t="str">
        <f t="shared" si="0"/>
        <v>7</v>
      </c>
      <c r="D19" s="68">
        <f t="shared" si="1"/>
        <v>1</v>
      </c>
      <c r="E19" s="84" t="str">
        <f t="shared" si="2"/>
        <v>71</v>
      </c>
      <c r="F19" s="68"/>
      <c r="G19" s="69" t="str">
        <f>IF(Suppl!B80=2,"Le vecteur n'est pas utilisé","")</f>
        <v/>
      </c>
      <c r="H19" s="69"/>
      <c r="I19" s="69"/>
      <c r="J19" s="69"/>
      <c r="K19" s="69"/>
      <c r="L19" s="70"/>
      <c r="M19" s="68"/>
      <c r="N19" s="68"/>
      <c r="O19" s="68"/>
      <c r="P19" s="298"/>
    </row>
    <row r="20" spans="1:16" x14ac:dyDescent="0.3">
      <c r="A20" s="298"/>
      <c r="B20" s="68"/>
      <c r="C20" s="68" t="str">
        <f t="shared" si="0"/>
        <v>7</v>
      </c>
      <c r="D20" s="68">
        <f>IF(LEFT(F20,14)="Bonne pratique",D19+1,D19)</f>
        <v>1</v>
      </c>
      <c r="E20" s="84" t="str">
        <f t="shared" si="2"/>
        <v>71</v>
      </c>
      <c r="F20" s="68"/>
      <c r="G20" s="68"/>
      <c r="H20" s="68"/>
      <c r="I20" s="68"/>
      <c r="J20" s="68"/>
      <c r="K20" s="68"/>
      <c r="L20" s="68"/>
      <c r="M20" s="68"/>
      <c r="N20" s="68"/>
      <c r="O20" s="68"/>
      <c r="P20" s="298"/>
    </row>
    <row r="21" spans="1:16" ht="25.8" x14ac:dyDescent="0.5">
      <c r="A21" s="304"/>
      <c r="B21" s="74"/>
      <c r="C21" s="68" t="str">
        <f t="shared" si="0"/>
        <v>7</v>
      </c>
      <c r="D21" s="68">
        <f t="shared" si="1"/>
        <v>2</v>
      </c>
      <c r="E21" s="84" t="str">
        <f t="shared" si="2"/>
        <v>722</v>
      </c>
      <c r="F21" s="208" t="s">
        <v>500</v>
      </c>
      <c r="G21" s="75"/>
      <c r="H21" s="205"/>
      <c r="I21" s="73"/>
      <c r="J21" s="73" t="str">
        <f>VLOOKUP(E28,BDD!$A$2:$N$567,6,FALSE)</f>
        <v>Business Case</v>
      </c>
      <c r="K21" s="72"/>
      <c r="L21" s="75"/>
      <c r="M21" s="75"/>
      <c r="N21" s="75"/>
      <c r="O21" s="74"/>
      <c r="P21" s="304"/>
    </row>
    <row r="22" spans="1:16" x14ac:dyDescent="0.3">
      <c r="A22" s="298"/>
      <c r="B22" s="68"/>
      <c r="C22" s="68" t="str">
        <f t="shared" si="0"/>
        <v>7</v>
      </c>
      <c r="D22" s="68">
        <f t="shared" si="1"/>
        <v>2</v>
      </c>
      <c r="E22" s="84" t="str">
        <f t="shared" si="2"/>
        <v>72</v>
      </c>
      <c r="F22" s="68"/>
      <c r="G22" s="68"/>
      <c r="H22" s="68"/>
      <c r="I22" s="68"/>
      <c r="J22" s="68"/>
      <c r="K22" s="68"/>
      <c r="L22" s="68"/>
      <c r="M22" s="68"/>
      <c r="N22" s="68"/>
      <c r="O22" s="68"/>
      <c r="P22" s="298"/>
    </row>
    <row r="23" spans="1:16" ht="18" x14ac:dyDescent="0.35">
      <c r="A23" s="305"/>
      <c r="B23" s="76"/>
      <c r="C23" s="68" t="str">
        <f t="shared" si="0"/>
        <v>7</v>
      </c>
      <c r="D23" s="68">
        <f t="shared" si="1"/>
        <v>2</v>
      </c>
      <c r="E23" s="84" t="str">
        <f t="shared" si="2"/>
        <v>72</v>
      </c>
      <c r="F23" s="76"/>
      <c r="G23" s="76"/>
      <c r="H23" s="76"/>
      <c r="I23" s="77"/>
      <c r="J23" s="207" t="str">
        <f>IFERROR(_xlfn.TEXTBEFORE(VLOOKUP(E28,BDD!$A$2:$N$567,7,FALSE)," ",30),VLOOKUP(E28,BDD!$A$2:$N$567,7,FALSE))</f>
        <v>Les métiers élaborent un business case avec l’aide de la DSI, pour chaque projet ayant un volet numérique significatif.</v>
      </c>
      <c r="K23" s="77"/>
      <c r="L23" s="76"/>
      <c r="M23" s="76"/>
      <c r="N23" s="76"/>
      <c r="O23" s="76"/>
      <c r="P23" s="305"/>
    </row>
    <row r="24" spans="1:16" ht="18" x14ac:dyDescent="0.35">
      <c r="A24" s="298"/>
      <c r="B24" s="68"/>
      <c r="C24" s="68" t="str">
        <f t="shared" si="0"/>
        <v>7</v>
      </c>
      <c r="D24" s="68">
        <f t="shared" si="1"/>
        <v>2</v>
      </c>
      <c r="E24" s="84" t="str">
        <f t="shared" si="2"/>
        <v>72</v>
      </c>
      <c r="F24" s="68"/>
      <c r="G24" s="68"/>
      <c r="H24" s="68"/>
      <c r="I24" s="68"/>
      <c r="J24" s="207" t="str">
        <f>IFERROR(_xlfn.TEXTAFTER(VLOOKUP(E28,BDD!$A$2:$N$567,7,FALSE)," ",30),"")</f>
        <v/>
      </c>
      <c r="K24" s="68"/>
      <c r="L24" s="68"/>
      <c r="M24" s="68"/>
      <c r="N24" s="68"/>
      <c r="O24" s="68"/>
      <c r="P24" s="298"/>
    </row>
    <row r="25" spans="1:16" x14ac:dyDescent="0.3">
      <c r="A25" s="298"/>
      <c r="B25" s="68"/>
      <c r="C25" s="68" t="str">
        <f t="shared" si="0"/>
        <v>7</v>
      </c>
      <c r="D25" s="68">
        <f t="shared" si="1"/>
        <v>2</v>
      </c>
      <c r="E25" s="84" t="str">
        <f t="shared" si="2"/>
        <v>72</v>
      </c>
      <c r="F25" s="68"/>
      <c r="G25" s="68"/>
      <c r="H25" s="68"/>
      <c r="I25" s="68"/>
      <c r="J25" s="78"/>
      <c r="K25" s="68"/>
      <c r="L25" s="68"/>
      <c r="M25" s="619" t="s">
        <v>92</v>
      </c>
      <c r="N25" s="619"/>
      <c r="O25" s="68"/>
      <c r="P25" s="298"/>
    </row>
    <row r="26" spans="1:16" ht="33" x14ac:dyDescent="0.3">
      <c r="A26" s="298"/>
      <c r="B26" s="68"/>
      <c r="C26" s="68" t="str">
        <f t="shared" si="0"/>
        <v>7</v>
      </c>
      <c r="D26" s="68">
        <f t="shared" si="1"/>
        <v>2</v>
      </c>
      <c r="E26" s="84" t="str">
        <f t="shared" si="2"/>
        <v>72</v>
      </c>
      <c r="F26" s="93"/>
      <c r="G26" s="80" t="s">
        <v>561</v>
      </c>
      <c r="H26" s="80" t="s">
        <v>82</v>
      </c>
      <c r="I26" s="80" t="s">
        <v>83</v>
      </c>
      <c r="J26" s="80" t="s">
        <v>84</v>
      </c>
      <c r="K26" s="80" t="s">
        <v>85</v>
      </c>
      <c r="L26" s="78"/>
      <c r="M26" s="81" t="s">
        <v>86</v>
      </c>
      <c r="N26" s="82" t="s">
        <v>87</v>
      </c>
      <c r="O26" s="68"/>
      <c r="P26" s="298"/>
    </row>
    <row r="27" spans="1:16" x14ac:dyDescent="0.3">
      <c r="A27" s="298"/>
      <c r="B27" s="68"/>
      <c r="C27" s="68" t="str">
        <f t="shared" si="0"/>
        <v>7</v>
      </c>
      <c r="D27" s="68">
        <f t="shared" si="1"/>
        <v>2</v>
      </c>
      <c r="E27" s="84" t="str">
        <f t="shared" si="2"/>
        <v>72</v>
      </c>
      <c r="F27" s="68"/>
      <c r="G27" s="83"/>
      <c r="H27" s="83"/>
      <c r="I27" s="83"/>
      <c r="J27" s="68"/>
      <c r="K27" s="83"/>
      <c r="L27" s="68"/>
      <c r="M27" s="68"/>
      <c r="N27" s="68"/>
      <c r="O27" s="68"/>
      <c r="P27" s="298"/>
    </row>
    <row r="28" spans="1:16" ht="210.6" customHeight="1" x14ac:dyDescent="0.3">
      <c r="A28" s="298"/>
      <c r="B28" s="68"/>
      <c r="C28" s="68" t="str">
        <f t="shared" si="0"/>
        <v>7</v>
      </c>
      <c r="D28" s="68">
        <f t="shared" si="1"/>
        <v>2</v>
      </c>
      <c r="E28" s="84" t="str">
        <f t="shared" si="2"/>
        <v>721</v>
      </c>
      <c r="F28" s="66" t="s">
        <v>27</v>
      </c>
      <c r="G28" s="67" t="str">
        <f>IFERROR(IF(VLOOKUP($E28,BDD!$A$1:$S$567,MATCH(G$10,BDD!$A$1:$P$1,0),FALSE)=0,"",VLOOKUP($E28,BDD!$A$1:$S$567,MATCH(G$10,BDD!$A$1:$P$1,0),FALSE)),"")</f>
        <v xml:space="preserve">Le business case présente les bénéfices quantitatifs et qualitatifs attendus par l'organisation en termes d’amélioration des processus et de création de valeur. </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Le business case est le livrable d’un processus de validation progressive des projets, depuis leur idée initiale jusqu’à la décision de lancement.
• Ces business cases explicitent les bénéfices métiers attendus et les conditions nécessaires à leur obtention :
- Quoi ? (Objectifs du projet)
- Pourquoi ? (Opportunités et bénéfices attendus)
- Qui ? (Moyens humains et compétences nécessaires)
- Combien ? (Coûts et ROI)
- Quand ? (Objectif de développement, rapidité d’exécution, perspective court/long terme).
• Les bénéfices du projet sont définis avec des critères qualitatifs et quantitatifs.
• Les impacts pour les métiers (organisation, processus, niveau de compétences à mettre en place) sont clairement évalués.
• Le business case doit permettre de justifier un projet en mettant en avant ses avantages, ses coûts, et ses impacts potentiels sur l'organisation.
• Le business case doit aider les décideurs à évaluer si le projet est réalisable et rentable.</v>
      </c>
      <c r="L28" s="68"/>
      <c r="M28" s="87"/>
      <c r="N28" s="87"/>
      <c r="O28" s="68"/>
      <c r="P28" s="298"/>
    </row>
    <row r="29" spans="1:16" ht="130.05000000000001" customHeight="1" x14ac:dyDescent="0.3">
      <c r="A29" s="298"/>
      <c r="B29" s="68"/>
      <c r="C29" s="68" t="str">
        <f t="shared" si="0"/>
        <v>7</v>
      </c>
      <c r="D29" s="68">
        <f t="shared" si="1"/>
        <v>2</v>
      </c>
      <c r="E29" s="84" t="str">
        <f t="shared" si="2"/>
        <v>722</v>
      </c>
      <c r="F29" s="94" t="s">
        <v>28</v>
      </c>
      <c r="G29" s="65" t="str">
        <f>IFERROR(IF(VLOOKUP($E29,BDD!$A$1:$S$567,MATCH(G$10,BDD!$A$1:$P$1,0),FALSE)=0,"",VLOOKUP($E29,BDD!$A$1:$S$567,MATCH(G$10,BDD!$A$1:$P$1,0),FALSE)),"")</f>
        <v>Le business case évalue la rentabilité des projets en prenant en compte les gains espérés et les coûts prévisionnels globaux.</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A minima, une estimation du rapport bénéfices/coûts doit être réalisée en fonction de la maturité de l'organisation :
- Lorsque le volet numérique est important, les coûts (projet et récurrents) sont estimés, si nécessaire, sur la base de prototypes. 
- L’élaboration d’un plan de charge permet d’affiner la vision temporelle du business case.
- Les coûts récurrents doivent être estimés sur une période de 3 à 5 ans (voire en fonction de la durée de vie estimée de l’application).</v>
      </c>
      <c r="L29" s="68"/>
      <c r="M29" s="90"/>
      <c r="N29" s="90"/>
      <c r="O29" s="68"/>
      <c r="P29" s="298"/>
    </row>
    <row r="30" spans="1:16" ht="130.05000000000001" customHeight="1" x14ac:dyDescent="0.3">
      <c r="A30" s="298"/>
      <c r="B30" s="68"/>
      <c r="C30" s="68" t="str">
        <f t="shared" si="0"/>
        <v>7</v>
      </c>
      <c r="D30" s="68">
        <f t="shared" si="1"/>
        <v>2</v>
      </c>
      <c r="E30" s="84" t="str">
        <f t="shared" si="2"/>
        <v>723</v>
      </c>
      <c r="F30" s="66" t="s">
        <v>30</v>
      </c>
      <c r="G30" s="67" t="str">
        <f>IFERROR(IF(VLOOKUP($E30,BDD!$A$1:$S$567,MATCH(G$10,BDD!$A$1:$P$1,0),FALSE)=0,"",VLOOKUP($E30,BDD!$A$1:$S$567,MATCH(G$10,BDD!$A$1:$P$1,0),FALSE)),"")</f>
        <v>Le business case inclut une analyse des risques (non-atteinte des bénéfices escomptés, dérapage des coûts et des délais, risques à ne pas faire, etc.).</v>
      </c>
      <c r="H30" s="85" t="str">
        <f>IF(VLOOKUP(E30,BDD!$A$1:$S$567,15,FALSE)=0,"Critère non évalué","")</f>
        <v>Critère non évalué</v>
      </c>
      <c r="I30" s="66" t="str">
        <f>IFERROR(IF(VLOOKUP($E30,BDD!$A$1:$S$567,MATCH(I$10,BDD!$A$1:$P$1,0),FALSE)=0,"",VLOOKUP($E30,BDD!$A$1:$S$567,MATCH(I$10,BDD!$A$1:$P$1,0),FALSE)),"")</f>
        <v>N3</v>
      </c>
      <c r="J30" s="86"/>
      <c r="K30" s="67" t="str">
        <f>IFERROR(IF(VLOOKUP($E30,BDD!$A$1:$S$567,MATCH(K$10,BDD!$A$1:$P$1,0),FALSE)=0,"",VLOOKUP($E30,BDD!$A$1:$S$567,MATCH(K$10,BDD!$A$1:$P$1,0),FALSE)),"")</f>
        <v>• A minima, une analyse des risques doit être réalisée en fonction de la maturité de l'organisation, il faudra  :
- Identifier les conditions de réussite du projet (notamment privilégier des prototypes lorsque les enjeux le justifient).
- Identifier les interdépendances entre projets et en mesurer l‘impact sur les business cases,  car elles constituent un facteur de risque souvent sous-estimé. 
- Envisager des solutions alternatives (ex : refonte du processus métier), ou un fonctionnement en solution dégradée.</v>
      </c>
      <c r="L30" s="68"/>
      <c r="M30" s="87"/>
      <c r="N30" s="87"/>
      <c r="O30" s="68"/>
      <c r="P30" s="298"/>
    </row>
    <row r="31" spans="1:16" ht="130.05000000000001" customHeight="1" x14ac:dyDescent="0.3">
      <c r="A31" s="298"/>
      <c r="B31" s="68"/>
      <c r="C31" s="68" t="str">
        <f t="shared" si="0"/>
        <v>7</v>
      </c>
      <c r="D31" s="68">
        <f t="shared" si="1"/>
        <v>2</v>
      </c>
      <c r="E31" s="84" t="str">
        <f t="shared" si="2"/>
        <v>724</v>
      </c>
      <c r="F31" s="64" t="s">
        <v>32</v>
      </c>
      <c r="G31" s="65" t="str">
        <f>IFERROR(IF(VLOOKUP($E31,BDD!$A$1:$S$567,MATCH(G$10,BDD!$A$1:$P$1,0),FALSE)=0,"",VLOOKUP($E31,BDD!$A$1:$S$567,MATCH(G$10,BDD!$A$1:$P$1,0),FALSE)),"")</f>
        <v>Le leadership de l’élaboration des business cases est assuré par les métiers en collaboration avec la DSI.</v>
      </c>
      <c r="H31" s="88" t="str">
        <f>IF(VLOOKUP(E31,BDD!$A$1:$S$567,15,FALSE)=0,"Critère non évalué","")</f>
        <v>Critère non évalué</v>
      </c>
      <c r="I31" s="64" t="str">
        <f>IFERROR(IF(VLOOKUP($E31,BDD!$A$1:$S$567,MATCH(I$10,BDD!$A$1:$P$1,0),FALSE)=0,"",VLOOKUP($E31,BDD!$A$1:$S$567,MATCH(I$10,BDD!$A$1:$P$1,0),FALSE)),"")</f>
        <v>N2</v>
      </c>
      <c r="J31" s="91"/>
      <c r="K31" s="65" t="str">
        <f>IFERROR(IF(VLOOKUP($E31,BDD!$A$1:$S$567,MATCH(K$10,BDD!$A$1:$P$1,0),FALSE)=0,"",VLOOKUP($E31,BDD!$A$1:$S$567,MATCH(K$10,BDD!$A$1:$P$1,0),FALSE)),"")</f>
        <v>• Pour les projets purement techniques et d’infrastructure, le business case peut être établi par la DSI et validé par l’entité ayant autorité. Pour tous les autres, les métiers sont les pilotes de l'élaboration des business cases.
• Pour les projets présentant des enjeux stratégiques ou organisationnels significatifs, un business case doit également être élaboré, même lorsque les coûts engagés sont limités.</v>
      </c>
      <c r="L31" s="68"/>
      <c r="M31" s="90"/>
      <c r="N31" s="90"/>
      <c r="O31" s="68"/>
      <c r="P31" s="298"/>
    </row>
    <row r="32" spans="1:16" ht="130.05000000000001" customHeight="1" x14ac:dyDescent="0.3">
      <c r="A32" s="298"/>
      <c r="B32" s="68"/>
      <c r="C32" s="68" t="str">
        <f t="shared" si="0"/>
        <v>7</v>
      </c>
      <c r="D32" s="68">
        <f t="shared" si="1"/>
        <v>2</v>
      </c>
      <c r="E32" s="84" t="str">
        <f t="shared" si="2"/>
        <v>725</v>
      </c>
      <c r="F32" s="66" t="s">
        <v>33</v>
      </c>
      <c r="G32" s="67" t="str">
        <f>IFERROR(IF(VLOOKUP($E32,BDD!$A$1:$S$567,MATCH(G$10,BDD!$A$1:$P$1,0),FALSE)=0,"",VLOOKUP($E32,BDD!$A$1:$S$567,MATCH(G$10,BDD!$A$1:$P$1,0),FALSE)),"")</f>
        <v>Les métiers, à l'origine des projets, y compris la DSI, sont responsables à la fois de l’atteinte des bénéfices attendus et de la gestion optimale des risques.</v>
      </c>
      <c r="H32" s="85" t="str">
        <f>IF(VLOOKUP(E32,BDD!$A$1:$S$567,15,FALSE)=0,"Critère non évalué","")</f>
        <v>Critère non évalué</v>
      </c>
      <c r="I32" s="66" t="str">
        <f>IFERROR(IF(VLOOKUP($E32,BDD!$A$1:$S$567,MATCH(I$10,BDD!$A$1:$P$1,0),FALSE)=0,"",VLOOKUP($E32,BDD!$A$1:$S$567,MATCH(I$10,BDD!$A$1:$P$1,0),FALSE)),"")</f>
        <v>N4</v>
      </c>
      <c r="J32" s="86"/>
      <c r="K32" s="67" t="str">
        <f>IFERROR(IF(VLOOKUP($E32,BDD!$A$1:$S$567,MATCH(K$10,BDD!$A$1:$P$1,0),FALSE)=0,"",VLOOKUP($E32,BDD!$A$1:$S$567,MATCH(K$10,BDD!$A$1:$P$1,0),FALSE)),"")</f>
        <v>• Les business cases comportent l’identification des responsables métiers (y compris des sponsors) qui auront en charge la concrétisation des bénéfices métiers. Pour cela, ils sont associés au déroulement du projet pendant toute sa durée de vie.
• Les responsables métiers concernés prennent, avec le chef de projet métier, toutes dispositions (en termes de personnel, information, formation, organisation, etc.) nécessaires à la concrétisation des bénéfices attendus en matière de création de valeur, et/ou d'alignement stratégique, puis de gestion des risques.</v>
      </c>
      <c r="L32" s="68"/>
      <c r="M32" s="82"/>
      <c r="N32" s="82"/>
      <c r="O32" s="68"/>
      <c r="P32" s="298"/>
    </row>
    <row r="33" spans="1:16" ht="130.05000000000001" customHeight="1" x14ac:dyDescent="0.3">
      <c r="A33" s="298"/>
      <c r="B33" s="68"/>
      <c r="C33" s="68" t="str">
        <f t="shared" si="0"/>
        <v>7</v>
      </c>
      <c r="D33" s="68">
        <f t="shared" si="1"/>
        <v>2</v>
      </c>
      <c r="E33" s="84" t="str">
        <f t="shared" si="2"/>
        <v>726</v>
      </c>
      <c r="F33" s="64" t="s">
        <v>34</v>
      </c>
      <c r="G33" s="96" t="str">
        <f>IFERROR(IF(VLOOKUP($E33,BDD!$A$1:$S$567,MATCH(G$10,BDD!$A$1:$P$1,0),FALSE)=0,"",VLOOKUP($E33,BDD!$A$1:$S$567,MATCH(G$10,BDD!$A$1:$P$1,0),FALSE)),"")</f>
        <v>La DSI vérifie la cohérence du business case avec la feuille de route du numérique.</v>
      </c>
      <c r="H33" s="92" t="str">
        <f>IF(VLOOKUP(E33,BDD!$A$1:$S$567,15,FALSE)=0,"Critère non évalué","")</f>
        <v>Critère non évalué</v>
      </c>
      <c r="I33" s="64" t="str">
        <f>IFERROR(IF(VLOOKUP($E33,BDD!$A$1:$S$567,MATCH(I$10,BDD!$A$1:$P$1,0),FALSE)=0,"",VLOOKUP($E33,BDD!$A$1:$S$567,MATCH(I$10,BDD!$A$1:$P$1,0),FALSE)),"")</f>
        <v>N3</v>
      </c>
      <c r="J33" s="206"/>
      <c r="K33" s="96" t="str">
        <f>IFERROR(IF(VLOOKUP($E33,BDD!$A$1:$S$567,MATCH(K$10,BDD!$A$1:$P$1,0),FALSE)=0,"",VLOOKUP($E33,BDD!$A$1:$S$567,MATCH(K$10,BDD!$A$1:$P$1,0),FALSE)),"")</f>
        <v>• Cette vérification de cohérence est indispensable pour :
- Maîtriser les évolutions du SI (« Shadow IT généralisé », utilisation anarchique des offres cloud et SaaS…)
- Garantir la sécurité du SI (incidents de sécurité, cyberattaques, etc.) et sa conformité (CNIL, RGPD, traçabilité, etc.)
- Rationaliser les évolutions du SI et maîtriser les technologies nécessaires pour ces évolutions
- Maîtriser la dette technique (obsolescence matérielle et logicielle).</v>
      </c>
      <c r="L33" s="68"/>
      <c r="M33" s="90"/>
      <c r="N33" s="90"/>
      <c r="O33" s="68"/>
      <c r="P33" s="298"/>
    </row>
    <row r="34" spans="1:16" ht="130.05000000000001" hidden="1" customHeight="1" x14ac:dyDescent="0.3">
      <c r="A34" s="298"/>
      <c r="B34" s="68"/>
      <c r="C34" s="68" t="str">
        <f t="shared" si="0"/>
        <v>7</v>
      </c>
      <c r="D34" s="68">
        <f t="shared" si="1"/>
        <v>2</v>
      </c>
      <c r="E34" s="84" t="str">
        <f t="shared" si="2"/>
        <v>727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xml:space="preserve"> </v>
      </c>
      <c r="J34" s="86"/>
      <c r="K34" s="67" t="str">
        <f>IFERROR(IF(VLOOKUP($E34,BDD!$A$1:$S$567,MATCH(K$10,BDD!$A$1:$P$1,0),FALSE)=0,"",VLOOKUP($E34,BDD!$A$1:$S$567,MATCH(K$10,BDD!$A$1:$P$1,0),FALSE)),"")</f>
        <v/>
      </c>
      <c r="L34" s="68"/>
      <c r="M34" s="82"/>
      <c r="N34" s="82"/>
      <c r="O34" s="68"/>
      <c r="P34" s="298"/>
    </row>
    <row r="35" spans="1:16" ht="18" x14ac:dyDescent="0.35">
      <c r="A35" s="298"/>
      <c r="B35" s="68"/>
      <c r="C35" s="68" t="str">
        <f t="shared" si="0"/>
        <v>7</v>
      </c>
      <c r="D35" s="68">
        <f t="shared" si="1"/>
        <v>2</v>
      </c>
      <c r="E35" s="84" t="str">
        <f t="shared" si="2"/>
        <v>72</v>
      </c>
      <c r="F35" s="68"/>
      <c r="G35" s="69" t="str">
        <f>IF(Suppl!B96=2,"Le vecteur n'est pas utilisé","")</f>
        <v/>
      </c>
      <c r="H35" s="69"/>
      <c r="I35" s="68"/>
      <c r="J35" s="69"/>
      <c r="K35" s="69"/>
      <c r="L35" s="70"/>
      <c r="M35" s="68"/>
      <c r="N35" s="68"/>
      <c r="O35" s="68"/>
      <c r="P35" s="298"/>
    </row>
    <row r="36" spans="1:16" x14ac:dyDescent="0.3">
      <c r="A36" s="298"/>
      <c r="B36" s="68"/>
      <c r="C36" s="68" t="str">
        <f t="shared" si="0"/>
        <v>7</v>
      </c>
      <c r="D36" s="68">
        <f>IF(LEFT(F36,14)="Bonne pratique",D35+1,D35)</f>
        <v>2</v>
      </c>
      <c r="E36" s="84" t="str">
        <f t="shared" si="2"/>
        <v>72</v>
      </c>
      <c r="F36" s="68"/>
      <c r="G36" s="68"/>
      <c r="H36" s="68"/>
      <c r="I36" s="68"/>
      <c r="J36" s="68"/>
      <c r="K36" s="68"/>
      <c r="L36" s="68"/>
      <c r="M36" s="68"/>
      <c r="N36" s="68"/>
      <c r="O36" s="68"/>
      <c r="P36" s="298"/>
    </row>
    <row r="37" spans="1:16" ht="25.8" x14ac:dyDescent="0.5">
      <c r="A37" s="304"/>
      <c r="B37" s="74"/>
      <c r="C37" s="68" t="str">
        <f t="shared" si="0"/>
        <v>7</v>
      </c>
      <c r="D37" s="68">
        <f t="shared" si="1"/>
        <v>3</v>
      </c>
      <c r="E37" s="84" t="str">
        <f t="shared" si="2"/>
        <v>733</v>
      </c>
      <c r="F37" s="208" t="s">
        <v>501</v>
      </c>
      <c r="G37" s="75"/>
      <c r="H37" s="205"/>
      <c r="I37" s="73"/>
      <c r="J37" s="73" t="str">
        <f>VLOOKUP(E44,BDD!$A$2:$N$567,6,FALSE)</f>
        <v>Innovation</v>
      </c>
      <c r="K37" s="72"/>
      <c r="L37" s="75"/>
      <c r="M37" s="75"/>
      <c r="N37" s="75"/>
      <c r="O37" s="74"/>
      <c r="P37" s="304"/>
    </row>
    <row r="38" spans="1:16" x14ac:dyDescent="0.3">
      <c r="A38" s="298"/>
      <c r="B38" s="68"/>
      <c r="C38" s="68" t="str">
        <f t="shared" si="0"/>
        <v>7</v>
      </c>
      <c r="D38" s="68">
        <f t="shared" si="1"/>
        <v>3</v>
      </c>
      <c r="E38" s="84" t="str">
        <f t="shared" si="2"/>
        <v>73</v>
      </c>
      <c r="F38" s="68"/>
      <c r="G38" s="68"/>
      <c r="H38" s="68"/>
      <c r="I38" s="68"/>
      <c r="J38" s="68"/>
      <c r="K38" s="68"/>
      <c r="L38" s="68"/>
      <c r="M38" s="68"/>
      <c r="N38" s="68"/>
      <c r="O38" s="68"/>
      <c r="P38" s="298"/>
    </row>
    <row r="39" spans="1:16" ht="18" x14ac:dyDescent="0.35">
      <c r="A39" s="305"/>
      <c r="B39" s="76"/>
      <c r="C39" s="68" t="str">
        <f t="shared" si="0"/>
        <v>7</v>
      </c>
      <c r="D39" s="68">
        <f t="shared" si="1"/>
        <v>3</v>
      </c>
      <c r="E39" s="84" t="str">
        <f t="shared" si="2"/>
        <v>73</v>
      </c>
      <c r="F39" s="76"/>
      <c r="G39" s="76"/>
      <c r="H39" s="76"/>
      <c r="I39" s="77"/>
      <c r="J39" s="207" t="str">
        <f>IFERROR(_xlfn.TEXTBEFORE(VLOOKUP(E44,BDD!$A$2:$N$567,7,FALSE)," ",30),VLOOKUP(E44,BDD!$A$2:$N$567,7,FALSE))</f>
        <v>Le portefeuille de projets intègre les projets d’industrialisation des initiatives d’innovation (PoC, MVP, Labs et autres travaux de R&amp;D).</v>
      </c>
      <c r="K39" s="77"/>
      <c r="L39" s="76"/>
      <c r="M39" s="76"/>
      <c r="N39" s="76"/>
      <c r="O39" s="76"/>
      <c r="P39" s="305"/>
    </row>
    <row r="40" spans="1:16" ht="18" x14ac:dyDescent="0.35">
      <c r="A40" s="298"/>
      <c r="B40" s="68"/>
      <c r="C40" s="68" t="str">
        <f t="shared" si="0"/>
        <v>7</v>
      </c>
      <c r="D40" s="68">
        <f t="shared" si="1"/>
        <v>3</v>
      </c>
      <c r="E40" s="84" t="str">
        <f t="shared" si="2"/>
        <v>73</v>
      </c>
      <c r="F40" s="68"/>
      <c r="G40" s="68"/>
      <c r="H40" s="68"/>
      <c r="I40" s="68"/>
      <c r="J40" s="207" t="str">
        <f>IFERROR(_xlfn.TEXTAFTER(VLOOKUP(E44,BDD!$A$2:$N$567,7,FALSE)," ",30),"")</f>
        <v/>
      </c>
      <c r="K40" s="68"/>
      <c r="L40" s="68"/>
      <c r="M40" s="68"/>
      <c r="N40" s="68"/>
      <c r="O40" s="68"/>
      <c r="P40" s="298"/>
    </row>
    <row r="41" spans="1:16" x14ac:dyDescent="0.3">
      <c r="A41" s="298"/>
      <c r="B41" s="68"/>
      <c r="C41" s="68" t="str">
        <f t="shared" si="0"/>
        <v>7</v>
      </c>
      <c r="D41" s="68">
        <f t="shared" si="1"/>
        <v>3</v>
      </c>
      <c r="E41" s="84" t="str">
        <f t="shared" si="2"/>
        <v>73</v>
      </c>
      <c r="F41" s="68"/>
      <c r="G41" s="68"/>
      <c r="H41" s="68"/>
      <c r="I41" s="68"/>
      <c r="J41" s="78"/>
      <c r="K41" s="68"/>
      <c r="L41" s="68"/>
      <c r="M41" s="619" t="s">
        <v>92</v>
      </c>
      <c r="N41" s="619"/>
      <c r="O41" s="68"/>
      <c r="P41" s="298"/>
    </row>
    <row r="42" spans="1:16" ht="33" x14ac:dyDescent="0.3">
      <c r="A42" s="298"/>
      <c r="B42" s="68"/>
      <c r="C42" s="68" t="str">
        <f t="shared" si="0"/>
        <v>7</v>
      </c>
      <c r="D42" s="68">
        <f t="shared" si="1"/>
        <v>3</v>
      </c>
      <c r="E42" s="84" t="str">
        <f t="shared" si="2"/>
        <v>73</v>
      </c>
      <c r="F42" s="79"/>
      <c r="G42" s="80" t="s">
        <v>561</v>
      </c>
      <c r="H42" s="80" t="s">
        <v>82</v>
      </c>
      <c r="I42" s="80" t="s">
        <v>83</v>
      </c>
      <c r="J42" s="80" t="s">
        <v>84</v>
      </c>
      <c r="K42" s="80" t="s">
        <v>85</v>
      </c>
      <c r="L42" s="78"/>
      <c r="M42" s="81" t="s">
        <v>86</v>
      </c>
      <c r="N42" s="82" t="s">
        <v>87</v>
      </c>
      <c r="O42" s="68"/>
      <c r="P42" s="298"/>
    </row>
    <row r="43" spans="1:16" x14ac:dyDescent="0.3">
      <c r="A43" s="298"/>
      <c r="B43" s="68"/>
      <c r="C43" s="68" t="str">
        <f t="shared" si="0"/>
        <v>7</v>
      </c>
      <c r="D43" s="68">
        <f t="shared" si="1"/>
        <v>3</v>
      </c>
      <c r="E43" s="84" t="str">
        <f t="shared" si="2"/>
        <v>73</v>
      </c>
      <c r="F43" s="68"/>
      <c r="G43" s="83"/>
      <c r="H43" s="83"/>
      <c r="I43" s="83"/>
      <c r="J43" s="68"/>
      <c r="K43" s="83"/>
      <c r="L43" s="68"/>
      <c r="M43" s="68"/>
      <c r="N43" s="68"/>
      <c r="O43" s="68"/>
      <c r="P43" s="298"/>
    </row>
    <row r="44" spans="1:16" ht="130.05000000000001" customHeight="1" x14ac:dyDescent="0.3">
      <c r="A44" s="298"/>
      <c r="B44" s="68"/>
      <c r="C44" s="68" t="str">
        <f t="shared" si="0"/>
        <v>7</v>
      </c>
      <c r="D44" s="68">
        <f t="shared" si="1"/>
        <v>3</v>
      </c>
      <c r="E44" s="84" t="str">
        <f t="shared" si="2"/>
        <v>731</v>
      </c>
      <c r="F44" s="66" t="s">
        <v>27</v>
      </c>
      <c r="G44" s="67" t="str">
        <f>IFERROR(IF(VLOOKUP($E44,BDD!$A$1:$S$567,MATCH(G$10,BDD!$A$1:$P$1,0),FALSE)=0,"",VLOOKUP($E44,BDD!$A$1:$S$567,MATCH(G$10,BDD!$A$1:$P$1,0),FALSE)),"")</f>
        <v>La DSI recense les initiatives qui ont vocation à être industrialisées auprès des acteurs de l’innovation.</v>
      </c>
      <c r="H44" s="85" t="str">
        <f>IF(VLOOKUP(E44,BDD!$A$1:$S$567,15,FALSE)=0,"Critère non évalué","")</f>
        <v>Critère non évalué</v>
      </c>
      <c r="I44" s="66" t="str">
        <f>IFERROR(IF(VLOOKUP($E44,BDD!$A$1:$S$567,MATCH(I$10,BDD!$A$1:$P$1,0),FALSE)=0,"",VLOOKUP($E44,BDD!$A$1:$S$567,MATCH(I$10,BDD!$A$1:$P$1,0),FALSE)),"")</f>
        <v>N3</v>
      </c>
      <c r="J44" s="86"/>
      <c r="K44" s="67" t="str">
        <f>IFERROR(IF(VLOOKUP($E44,BDD!$A$1:$S$567,MATCH(K$10,BDD!$A$1:$P$1,0),FALSE)=0,"",VLOOKUP($E44,BDD!$A$1:$S$567,MATCH(K$10,BDD!$A$1:$P$1,0),FALSE)),"")</f>
        <v>• Ces acteurs de l’innovation peuvent être dans la DSI (cellule et communauté d’innovation), dans les directions métiers, dans la direction innovation, etc.
• La DSI travaille avec les porteurs de ces initiatives, parfois appelés « champions numériques ».
• La DSI doit être impliquée en amont de la décision d’industrialisation pour en assurer la faisabilité (choix d’architecture, sécurité, etc.).</v>
      </c>
      <c r="L44" s="68"/>
      <c r="M44" s="87"/>
      <c r="N44" s="87"/>
      <c r="O44" s="68"/>
      <c r="P44" s="298"/>
    </row>
    <row r="45" spans="1:16" ht="130.05000000000001" customHeight="1" x14ac:dyDescent="0.3">
      <c r="A45" s="298"/>
      <c r="B45" s="68"/>
      <c r="C45" s="68" t="str">
        <f t="shared" si="0"/>
        <v>7</v>
      </c>
      <c r="D45" s="68">
        <f t="shared" si="1"/>
        <v>3</v>
      </c>
      <c r="E45" s="84" t="str">
        <f t="shared" si="2"/>
        <v>732</v>
      </c>
      <c r="F45" s="249" t="s">
        <v>28</v>
      </c>
      <c r="G45" s="96" t="str">
        <f>IFERROR(IF(VLOOKUP($E45,BDD!$A$1:$S$567,MATCH(G$10,BDD!$A$1:$P$1,0),FALSE)=0,"",VLOOKUP($E45,BDD!$A$1:$S$567,MATCH(G$10,BDD!$A$1:$P$1,0),FALSE)),"")</f>
        <v>La gouvernance du portefeuille est adaptée pour gérer ces initiatives d’innovation en fonction de leurs spécificités (notamment les enjeux de time-to-market).</v>
      </c>
      <c r="H45" s="210" t="str">
        <f>IF(VLOOKUP(E45,BDD!$A$1:$S$567,15,FALSE)=0,"Critère non évalué","")</f>
        <v>Critère non évalué</v>
      </c>
      <c r="I45" s="64" t="str">
        <f>IFERROR(IF(VLOOKUP($E45,BDD!$A$1:$S$567,MATCH(I$10,BDD!$A$1:$P$1,0),FALSE)=0,"",VLOOKUP($E45,BDD!$A$1:$S$567,MATCH(I$10,BDD!$A$1:$P$1,0),FALSE)),"")</f>
        <v>N3</v>
      </c>
      <c r="J45" s="206"/>
      <c r="K45" s="96" t="str">
        <f>IFERROR(IF(VLOOKUP($E45,BDD!$A$1:$S$567,MATCH(K$10,BDD!$A$1:$P$1,0),FALSE)=0,"",VLOOKUP($E45,BDD!$A$1:$S$567,MATCH(K$10,BDD!$A$1:$P$1,0),FALSE)),"")</f>
        <v>• Ces initiatives sont passées en revue régulièrement pour décider de les poursuivre, de les réorienter ou de les arrêter.
• La méthode d’analyse s’inspire des méthodes de développement du numérique.
• Le processus de décision est rapide.
• Lorsqu’un projet est jugé porteur, des moyens de développement rapide lui sont alloués et il rejoint le portefeuille de projets numériques de l'entreprise.</v>
      </c>
      <c r="L45" s="68"/>
      <c r="M45" s="90"/>
      <c r="N45" s="90"/>
      <c r="O45" s="68"/>
      <c r="P45" s="298"/>
    </row>
    <row r="46" spans="1:16" ht="130.05000000000001" hidden="1" customHeight="1" x14ac:dyDescent="0.3">
      <c r="A46" s="298"/>
      <c r="B46" s="68"/>
      <c r="C46" s="68" t="str">
        <f t="shared" si="0"/>
        <v>7</v>
      </c>
      <c r="D46" s="68">
        <f t="shared" si="1"/>
        <v>3</v>
      </c>
      <c r="E46" s="84" t="str">
        <f t="shared" si="2"/>
        <v>733</v>
      </c>
      <c r="F46" s="66" t="s">
        <v>30</v>
      </c>
      <c r="G46" s="67" t="str">
        <f>IFERROR(IF(VLOOKUP($E46,BDD!$A$1:$S$567,MATCH(G$10,BDD!$A$1:$P$1,0),FALSE)=0,"",VLOOKUP($E46,BDD!$A$1:$S$567,MATCH(G$10,BDD!$A$1:$P$1,0),FALSE)),"")</f>
        <v/>
      </c>
      <c r="H46" s="85" t="str">
        <f>IF(VLOOKUP(E46,BDD!$A$1:$S$567,15,FALSE)=0,"Critère non évalué","")</f>
        <v>Critère non évalué</v>
      </c>
      <c r="I46" s="66" t="str">
        <f>IFERROR(IF(VLOOKUP($E46,BDD!$A$1:$S$567,MATCH(I$10,BDD!$A$1:$P$1,0),FALSE)=0,"",VLOOKUP($E46,BDD!$A$1:$S$567,MATCH(I$10,BDD!$A$1:$P$1,0),FALSE)),"")</f>
        <v xml:space="preserve"> </v>
      </c>
      <c r="J46" s="86"/>
      <c r="K46" s="67" t="str">
        <f>IFERROR(IF(VLOOKUP($E46,BDD!$A$1:$S$567,MATCH(K$10,BDD!$A$1:$P$1,0),FALSE)=0,"",VLOOKUP($E46,BDD!$A$1:$S$567,MATCH(K$10,BDD!$A$1:$P$1,0),FALSE)),"")</f>
        <v/>
      </c>
      <c r="L46" s="68"/>
      <c r="M46" s="87"/>
      <c r="N46" s="87"/>
      <c r="O46" s="68"/>
      <c r="P46" s="298"/>
    </row>
    <row r="47" spans="1:16" ht="120" hidden="1" customHeight="1" x14ac:dyDescent="0.3">
      <c r="A47" s="298"/>
      <c r="B47" s="68"/>
      <c r="C47" s="68" t="str">
        <f t="shared" si="0"/>
        <v>7</v>
      </c>
      <c r="D47" s="68">
        <f t="shared" si="1"/>
        <v>3</v>
      </c>
      <c r="E47" s="84" t="str">
        <f t="shared" si="2"/>
        <v>734</v>
      </c>
      <c r="F47" s="64" t="s">
        <v>32</v>
      </c>
      <c r="G47" s="96" t="str">
        <f>IFERROR(IF(VLOOKUP($E47,BDD!$A$1:$S$567,MATCH(G$10,BDD!$A$1:$P$1,0),FALSE)=0,"",VLOOKUP($E47,BDD!$A$1:$S$567,MATCH(G$10,BDD!$A$1:$P$1,0),FALSE)),"")</f>
        <v/>
      </c>
      <c r="H47" s="210" t="str">
        <f>IF(VLOOKUP(E47,BDD!$A$1:$S$567,15,FALSE)=0,"Critère non évalué","")</f>
        <v>Critère non évalué</v>
      </c>
      <c r="I47" s="64" t="str">
        <f>IFERROR(IF(VLOOKUP($E47,BDD!$A$1:$S$567,MATCH(I$10,BDD!$A$1:$P$1,0),FALSE)=0,"",VLOOKUP($E47,BDD!$A$1:$S$567,MATCH(I$10,BDD!$A$1:$P$1,0),FALSE)),"")</f>
        <v xml:space="preserve"> </v>
      </c>
      <c r="J47" s="95"/>
      <c r="K47" s="96" t="str">
        <f>IFERROR(IF(VLOOKUP($E47,BDD!$A$1:$S$567,MATCH(K$10,BDD!$A$1:$P$1,0),FALSE)=0,"",VLOOKUP($E47,BDD!$A$1:$S$567,MATCH(K$10,BDD!$A$1:$P$1,0),FALSE)),"")</f>
        <v/>
      </c>
      <c r="L47" s="68"/>
      <c r="M47" s="90"/>
      <c r="N47" s="90"/>
      <c r="O47" s="68"/>
      <c r="P47" s="298"/>
    </row>
    <row r="48" spans="1:16" ht="130.05000000000001" hidden="1" customHeight="1" x14ac:dyDescent="0.3">
      <c r="A48" s="298"/>
      <c r="B48" s="68"/>
      <c r="C48" s="68" t="str">
        <f t="shared" si="0"/>
        <v>7</v>
      </c>
      <c r="D48" s="68">
        <f t="shared" si="1"/>
        <v>3</v>
      </c>
      <c r="E48" s="84" t="str">
        <f t="shared" si="2"/>
        <v>735</v>
      </c>
      <c r="F48" s="66" t="s">
        <v>33</v>
      </c>
      <c r="G48" s="67" t="str">
        <f>IFERROR(IF(VLOOKUP($E48,BDD!$A$1:$S$567,MATCH(G$10,BDD!$A$1:$P$1,0),FALSE)=0,"",VLOOKUP($E48,BDD!$A$1:$S$567,MATCH(G$10,BDD!$A$1:$P$1,0),FALSE)),"")</f>
        <v/>
      </c>
      <c r="H48" s="85" t="str">
        <f>IF(VLOOKUP(E48,BDD!$A$1:$S$567,15,FALSE)=0,"Critère non évalué","")</f>
        <v>Critère non évalué</v>
      </c>
      <c r="I48" s="66" t="str">
        <f>IFERROR(IF(VLOOKUP($E48,BDD!$A$1:$S$567,MATCH(I$10,BDD!$A$1:$P$1,0),FALSE)=0,"",VLOOKUP($E48,BDD!$A$1:$S$567,MATCH(I$10,BDD!$A$1:$P$1,0),FALSE)),"")</f>
        <v xml:space="preserve"> </v>
      </c>
      <c r="J48" s="86"/>
      <c r="K48" s="67" t="str">
        <f>IFERROR(IF(VLOOKUP($E48,BDD!$A$1:$S$567,MATCH(K$10,BDD!$A$1:$P$1,0),FALSE)=0,"",VLOOKUP($E48,BDD!$A$1:$S$567,MATCH(K$10,BDD!$A$1:$P$1,0),FALSE)),"")</f>
        <v/>
      </c>
      <c r="L48" s="68"/>
      <c r="M48" s="87"/>
      <c r="N48" s="87"/>
      <c r="O48" s="68"/>
      <c r="P48" s="298"/>
    </row>
    <row r="49" spans="1:16" ht="120" hidden="1" customHeight="1" x14ac:dyDescent="0.3">
      <c r="A49" s="298"/>
      <c r="B49" s="68"/>
      <c r="C49" s="68" t="str">
        <f t="shared" si="0"/>
        <v>7</v>
      </c>
      <c r="D49" s="68">
        <f t="shared" si="1"/>
        <v>3</v>
      </c>
      <c r="E49" s="84" t="str">
        <f t="shared" si="2"/>
        <v>736</v>
      </c>
      <c r="F49" s="64" t="s">
        <v>34</v>
      </c>
      <c r="G49" s="96" t="str">
        <f>IFERROR(IF(VLOOKUP($E49,BDD!$A$1:$S$567,MATCH(G$10,BDD!$A$1:$P$1,0),FALSE)=0,"",VLOOKUP($E49,BDD!$A$1:$S$567,MATCH(G$10,BDD!$A$1:$P$1,0),FALSE)),"")</f>
        <v/>
      </c>
      <c r="H49" s="210" t="str">
        <f>IF(VLOOKUP(E49,BDD!$A$1:$S$567,15,FALSE)=0,"Critère non évalué","")</f>
        <v>Critère non évalué</v>
      </c>
      <c r="I49" s="64" t="str">
        <f>IFERROR(IF(VLOOKUP($E49,BDD!$A$1:$S$567,MATCH(I$10,BDD!$A$1:$P$1,0),FALSE)=0,"",VLOOKUP($E49,BDD!$A$1:$S$567,MATCH(I$10,BDD!$A$1:$P$1,0),FALSE)),"")</f>
        <v xml:space="preserve"> </v>
      </c>
      <c r="J49" s="95"/>
      <c r="K49" s="96" t="str">
        <f>IFERROR(IF(VLOOKUP($E49,BDD!$A$1:$S$567,MATCH(K$10,BDD!$A$1:$P$1,0),FALSE)=0,"",VLOOKUP($E49,BDD!$A$1:$S$567,MATCH(K$10,BDD!$A$1:$P$1,0),FALSE)),"")</f>
        <v/>
      </c>
      <c r="L49" s="68"/>
      <c r="M49" s="90"/>
      <c r="N49" s="90"/>
      <c r="O49" s="68"/>
      <c r="P49" s="298"/>
    </row>
    <row r="50" spans="1:16" ht="130.05000000000001" hidden="1" customHeight="1" x14ac:dyDescent="0.3">
      <c r="A50" s="298"/>
      <c r="B50" s="68"/>
      <c r="C50" s="68" t="str">
        <f t="shared" si="0"/>
        <v>7</v>
      </c>
      <c r="D50" s="68">
        <f t="shared" si="1"/>
        <v>3</v>
      </c>
      <c r="E50" s="84" t="str">
        <f t="shared" si="2"/>
        <v>737</v>
      </c>
      <c r="F50" s="66" t="s">
        <v>36</v>
      </c>
      <c r="G50" s="67" t="str">
        <f>IFERROR(IF(VLOOKUP($E50,BDD!$A$1:$S$567,MATCH(G$10,BDD!$A$1:$P$1,0),FALSE)=0,"",VLOOKUP($E50,BDD!$A$1:$S$567,MATCH(G$10,BDD!$A$1:$P$1,0),FALSE)),"")</f>
        <v/>
      </c>
      <c r="H50" s="85" t="str">
        <f>IF(VLOOKUP(E50,BDD!$A$1:$S$567,15,FALSE)=0,"Critère non évalué","")</f>
        <v>Critère non évalué</v>
      </c>
      <c r="I50" s="66" t="str">
        <f>IFERROR(IF(VLOOKUP($E50,BDD!$A$1:$S$567,MATCH(I$10,BDD!$A$1:$P$1,0),FALSE)=0,"",VLOOKUP($E50,BDD!$A$1:$S$567,MATCH(I$10,BDD!$A$1:$P$1,0),FALSE)),"")</f>
        <v xml:space="preserve"> </v>
      </c>
      <c r="J50" s="86"/>
      <c r="K50" s="67" t="str">
        <f>IFERROR(IF(VLOOKUP($E50,BDD!$A$1:$S$567,MATCH(K$10,BDD!$A$1:$P$1,0),FALSE)=0,"",VLOOKUP($E50,BDD!$A$1:$S$567,MATCH(K$10,BDD!$A$1:$P$1,0),FALSE)),"")</f>
        <v/>
      </c>
      <c r="L50" s="68"/>
      <c r="M50" s="87"/>
      <c r="N50" s="87"/>
      <c r="O50" s="68"/>
      <c r="P50" s="298"/>
    </row>
    <row r="51" spans="1:16" ht="18" x14ac:dyDescent="0.35">
      <c r="A51" s="298"/>
      <c r="B51" s="68"/>
      <c r="C51" s="68" t="str">
        <f t="shared" si="0"/>
        <v>7</v>
      </c>
      <c r="D51" s="68"/>
      <c r="E51" s="84"/>
      <c r="F51" s="68"/>
      <c r="G51" s="69"/>
      <c r="H51" s="69"/>
      <c r="I51" s="69"/>
      <c r="J51" s="69"/>
      <c r="K51" s="69"/>
      <c r="L51" s="70"/>
      <c r="M51" s="68"/>
      <c r="N51" s="68"/>
      <c r="O51" s="68"/>
      <c r="P51" s="298"/>
    </row>
    <row r="52" spans="1:16" x14ac:dyDescent="0.3">
      <c r="A52" s="298"/>
      <c r="B52" s="68"/>
      <c r="C52" s="68" t="str">
        <f t="shared" si="0"/>
        <v>7</v>
      </c>
      <c r="D52" s="68">
        <f>IF(LEFT(F52,14)="Bonne pratique",D48+1,D48)</f>
        <v>3</v>
      </c>
      <c r="E52" s="84" t="str">
        <f t="shared" si="2"/>
        <v>73</v>
      </c>
      <c r="F52" s="68"/>
      <c r="G52" s="68"/>
      <c r="H52" s="68"/>
      <c r="I52" s="68"/>
      <c r="J52" s="68"/>
      <c r="K52" s="68"/>
      <c r="L52" s="68"/>
      <c r="M52" s="68"/>
      <c r="N52" s="68"/>
      <c r="O52" s="68"/>
      <c r="P52" s="298"/>
    </row>
    <row r="53" spans="1:16" ht="25.8" x14ac:dyDescent="0.5">
      <c r="A53" s="304"/>
      <c r="B53" s="74"/>
      <c r="C53" s="68" t="str">
        <f t="shared" si="0"/>
        <v>7</v>
      </c>
      <c r="D53" s="68">
        <f t="shared" si="1"/>
        <v>4</v>
      </c>
      <c r="E53" s="84" t="str">
        <f t="shared" si="2"/>
        <v>744</v>
      </c>
      <c r="F53" s="208" t="s">
        <v>502</v>
      </c>
      <c r="G53" s="75"/>
      <c r="H53" s="205"/>
      <c r="I53" s="73"/>
      <c r="J53" s="73" t="str">
        <f>VLOOKUP(E60,BDD!$A$2:$N$567,6,FALSE)</f>
        <v>Innovation</v>
      </c>
      <c r="K53" s="72"/>
      <c r="L53" s="75"/>
      <c r="M53" s="75"/>
      <c r="N53" s="75"/>
      <c r="O53" s="74"/>
      <c r="P53" s="304"/>
    </row>
    <row r="54" spans="1:16" x14ac:dyDescent="0.3">
      <c r="A54" s="298"/>
      <c r="B54" s="68"/>
      <c r="C54" s="68" t="str">
        <f t="shared" si="0"/>
        <v>7</v>
      </c>
      <c r="D54" s="68">
        <f t="shared" si="1"/>
        <v>4</v>
      </c>
      <c r="E54" s="84" t="str">
        <f t="shared" si="2"/>
        <v>74</v>
      </c>
      <c r="F54" s="68"/>
      <c r="G54" s="68"/>
      <c r="H54" s="68"/>
      <c r="I54" s="68"/>
      <c r="J54" s="68"/>
      <c r="K54" s="68"/>
      <c r="L54" s="68"/>
      <c r="M54" s="68"/>
      <c r="N54" s="68"/>
      <c r="O54" s="68"/>
      <c r="P54" s="298"/>
    </row>
    <row r="55" spans="1:16" ht="18" x14ac:dyDescent="0.35">
      <c r="A55" s="305"/>
      <c r="B55" s="76"/>
      <c r="C55" s="68" t="str">
        <f t="shared" si="0"/>
        <v>7</v>
      </c>
      <c r="D55" s="68">
        <f t="shared" si="1"/>
        <v>4</v>
      </c>
      <c r="E55" s="84" t="str">
        <f t="shared" si="2"/>
        <v>74</v>
      </c>
      <c r="F55" s="76"/>
      <c r="G55" s="76"/>
      <c r="H55" s="76"/>
      <c r="I55" s="77"/>
      <c r="J55" s="207" t="str">
        <f>IFERROR(_xlfn.TEXTBEFORE(VLOOKUP(E60,BDD!$A$2:$N$567,7,FALSE)," ",18),VLOOKUP(E60,BDD!$A$2:$N$567,7,FALSE))</f>
        <v>Un processus de gestion des priorités de lancement (inter-projets) basé sur les business cases est mis en place</v>
      </c>
      <c r="K55" s="77"/>
      <c r="L55" s="76"/>
      <c r="M55" s="76"/>
      <c r="N55" s="76"/>
      <c r="O55" s="76"/>
      <c r="P55" s="305"/>
    </row>
    <row r="56" spans="1:16" ht="18" x14ac:dyDescent="0.35">
      <c r="A56" s="298"/>
      <c r="B56" s="68"/>
      <c r="C56" s="68" t="str">
        <f t="shared" si="0"/>
        <v>7</v>
      </c>
      <c r="D56" s="68">
        <f t="shared" si="1"/>
        <v>4</v>
      </c>
      <c r="E56" s="84" t="str">
        <f t="shared" si="2"/>
        <v>74</v>
      </c>
      <c r="F56" s="68"/>
      <c r="G56" s="68"/>
      <c r="H56" s="68"/>
      <c r="I56" s="68"/>
      <c r="J56" s="207" t="str">
        <f>IFERROR(_xlfn.TEXTAFTER(VLOOKUP(E60,BDD!$A$2:$N$567,7,FALSE)," ",18),"")</f>
        <v>et implique les directions métiers au niveau du Comité de direction pour les projets clés.</v>
      </c>
      <c r="K56" s="68"/>
      <c r="L56" s="68"/>
      <c r="M56" s="68"/>
      <c r="N56" s="68"/>
      <c r="O56" s="68"/>
      <c r="P56" s="298"/>
    </row>
    <row r="57" spans="1:16" x14ac:dyDescent="0.3">
      <c r="A57" s="298"/>
      <c r="B57" s="68"/>
      <c r="C57" s="68" t="str">
        <f t="shared" si="0"/>
        <v>7</v>
      </c>
      <c r="D57" s="68">
        <f t="shared" si="1"/>
        <v>4</v>
      </c>
      <c r="E57" s="84" t="str">
        <f t="shared" si="2"/>
        <v>74</v>
      </c>
      <c r="F57" s="68"/>
      <c r="G57" s="68"/>
      <c r="H57" s="68"/>
      <c r="I57" s="68"/>
      <c r="J57" s="78"/>
      <c r="K57" s="68"/>
      <c r="L57" s="68"/>
      <c r="M57" s="619" t="s">
        <v>92</v>
      </c>
      <c r="N57" s="619"/>
      <c r="O57" s="68"/>
      <c r="P57" s="298"/>
    </row>
    <row r="58" spans="1:16" ht="33" x14ac:dyDescent="0.3">
      <c r="A58" s="298"/>
      <c r="B58" s="68"/>
      <c r="C58" s="68" t="str">
        <f t="shared" si="0"/>
        <v>7</v>
      </c>
      <c r="D58" s="68">
        <f t="shared" si="1"/>
        <v>4</v>
      </c>
      <c r="E58" s="84" t="str">
        <f t="shared" si="2"/>
        <v>74</v>
      </c>
      <c r="F58" s="79"/>
      <c r="G58" s="80" t="s">
        <v>561</v>
      </c>
      <c r="H58" s="80" t="s">
        <v>82</v>
      </c>
      <c r="I58" s="80" t="s">
        <v>83</v>
      </c>
      <c r="J58" s="80" t="s">
        <v>84</v>
      </c>
      <c r="K58" s="80" t="s">
        <v>85</v>
      </c>
      <c r="L58" s="78"/>
      <c r="M58" s="81" t="s">
        <v>86</v>
      </c>
      <c r="N58" s="82" t="s">
        <v>87</v>
      </c>
      <c r="O58" s="68"/>
      <c r="P58" s="298"/>
    </row>
    <row r="59" spans="1:16" x14ac:dyDescent="0.3">
      <c r="A59" s="298"/>
      <c r="B59" s="68"/>
      <c r="C59" s="68" t="str">
        <f t="shared" si="0"/>
        <v>7</v>
      </c>
      <c r="D59" s="68">
        <f t="shared" si="1"/>
        <v>4</v>
      </c>
      <c r="E59" s="84" t="str">
        <f t="shared" si="2"/>
        <v>74</v>
      </c>
      <c r="F59" s="68"/>
      <c r="G59" s="83"/>
      <c r="H59" s="83"/>
      <c r="I59" s="83"/>
      <c r="J59" s="68"/>
      <c r="K59" s="83"/>
      <c r="L59" s="68"/>
      <c r="M59" s="68"/>
      <c r="N59" s="68"/>
      <c r="O59" s="68"/>
      <c r="P59" s="298"/>
    </row>
    <row r="60" spans="1:16" ht="130.05000000000001" customHeight="1" x14ac:dyDescent="0.3">
      <c r="A60" s="298"/>
      <c r="B60" s="68"/>
      <c r="C60" s="68" t="str">
        <f t="shared" si="0"/>
        <v>7</v>
      </c>
      <c r="D60" s="68">
        <f t="shared" si="1"/>
        <v>4</v>
      </c>
      <c r="E60" s="84" t="str">
        <f t="shared" si="2"/>
        <v>741</v>
      </c>
      <c r="F60" s="66" t="s">
        <v>27</v>
      </c>
      <c r="G60" s="67" t="str">
        <f>IFERROR(IF(VLOOKUP($E60,BDD!$A$1:$S$567,MATCH(G$10,BDD!$A$1:$P$1,0),FALSE)=0,"",VLOOKUP($E60,BDD!$A$1:$S$567,MATCH(G$10,BDD!$A$1:$P$1,0),FALSE)),"")</f>
        <v>Pour prioriser leur lancement, les projets du portefeuille sont évalués en fonction des bénéfices escomptés pour l’entreprise, des risques inhérents, et du cadre budgétaire de l’organisation.</v>
      </c>
      <c r="H60" s="85" t="str">
        <f>IF(VLOOKUP(E60,BDD!$A$1:$S$567,15,FALSE)=0,"Critère non évalué","")</f>
        <v>Critère non évalué</v>
      </c>
      <c r="I60" s="66" t="str">
        <f>IFERROR(IF(VLOOKUP($E60,BDD!$A$1:$S$567,MATCH(I$10,BDD!$A$1:$P$1,0),FALSE)=0,"",VLOOKUP($E60,BDD!$A$1:$S$567,MATCH(I$10,BDD!$A$1:$P$1,0),FALSE)),"")</f>
        <v>N2</v>
      </c>
      <c r="J60" s="86"/>
      <c r="K60" s="67" t="str">
        <f>IFERROR(IF(VLOOKUP($E60,BDD!$A$1:$S$567,MATCH(K$10,BDD!$A$1:$P$1,0),FALSE)=0,"",VLOOKUP($E60,BDD!$A$1:$S$567,MATCH(K$10,BDD!$A$1:$P$1,0),FALSE)),"")</f>
        <v>• Un canevas de décision et d’arbitrage est défini, partagé et préétabli.
• L’évaluation des bénéfices et des risques se fait sur la base du business case.
• Les dépendances avec des projets existants ou sur le point d’être lancés sont identifiées et leurs impacts analysés.</v>
      </c>
      <c r="L60" s="68"/>
      <c r="M60" s="87"/>
      <c r="N60" s="87"/>
      <c r="O60" s="68"/>
      <c r="P60" s="298"/>
    </row>
    <row r="61" spans="1:16" ht="130.05000000000001" customHeight="1" x14ac:dyDescent="0.3">
      <c r="A61" s="298"/>
      <c r="B61" s="68"/>
      <c r="C61" s="68" t="str">
        <f t="shared" si="0"/>
        <v>7</v>
      </c>
      <c r="D61" s="68">
        <f t="shared" si="1"/>
        <v>4</v>
      </c>
      <c r="E61" s="84" t="str">
        <f t="shared" si="2"/>
        <v>742</v>
      </c>
      <c r="F61" s="94" t="s">
        <v>28</v>
      </c>
      <c r="G61" s="65" t="str">
        <f>IFERROR(IF(VLOOKUP($E61,BDD!$A$1:$S$567,MATCH(G$10,BDD!$A$1:$P$1,0),FALSE)=0,"",VLOOKUP($E61,BDD!$A$1:$S$567,MATCH(G$10,BDD!$A$1:$P$1,0),FALSE)),"")</f>
        <v>La gouvernance numérique de l'organisation prévoit les modalités et les instances de lancement de projet.</v>
      </c>
      <c r="H61" s="88" t="str">
        <f>IF(VLOOKUP(E61,BDD!$A$1:$S$567,15,FALSE)=0,"Critère non évalué","")</f>
        <v>Critère non évalué</v>
      </c>
      <c r="I61" s="64" t="str">
        <f>IFERROR(IF(VLOOKUP($E61,BDD!$A$1:$S$567,MATCH(I$10,BDD!$A$1:$P$1,0),FALSE)=0,"",VLOOKUP($E61,BDD!$A$1:$S$567,MATCH(I$10,BDD!$A$1:$P$1,0),FALSE)),"")</f>
        <v>N1</v>
      </c>
      <c r="J61" s="89"/>
      <c r="K61" s="65" t="str">
        <f>IFERROR(IF(VLOOKUP($E61,BDD!$A$1:$S$567,MATCH(K$10,BDD!$A$1:$P$1,0),FALSE)=0,"",VLOOKUP($E61,BDD!$A$1:$S$567,MATCH(K$10,BDD!$A$1:$P$1,0),FALSE)),"")</f>
        <v/>
      </c>
      <c r="L61" s="68"/>
      <c r="M61" s="90"/>
      <c r="N61" s="90"/>
      <c r="O61" s="68"/>
      <c r="P61" s="298"/>
    </row>
    <row r="62" spans="1:16" ht="130.05000000000001" customHeight="1" x14ac:dyDescent="0.3">
      <c r="A62" s="298"/>
      <c r="B62" s="68"/>
      <c r="C62" s="68" t="str">
        <f t="shared" si="0"/>
        <v>7</v>
      </c>
      <c r="D62" s="68">
        <f>IF(LEFT(F62,14)="Bonne pratique",D61+1,D61)</f>
        <v>4</v>
      </c>
      <c r="E62" s="84" t="str">
        <f t="shared" si="2"/>
        <v>743</v>
      </c>
      <c r="F62" s="66" t="s">
        <v>30</v>
      </c>
      <c r="G62" s="67" t="str">
        <f>IFERROR(IF(VLOOKUP($E62,BDD!$A$1:$S$567,MATCH(G$10,BDD!$A$1:$P$1,0),FALSE)=0,"",VLOOKUP($E62,BDD!$A$1:$S$567,MATCH(G$10,BDD!$A$1:$P$1,0),FALSE)),"")</f>
        <v>Les décisions de lancement des projets sont prises lors de sessions ad-hoc réunissant l’instance décisionnaire (par exemple, le comité exécutif) ainsi que les représentants des métiers, de la DSI, des finances, et des RH.</v>
      </c>
      <c r="H62" s="85" t="str">
        <f>IF(VLOOKUP(E62,BDD!$A$1:$S$567,15,FALSE)=0,"Critère non évalué","")</f>
        <v>Critère non évalué</v>
      </c>
      <c r="I62" s="66" t="str">
        <f>IFERROR(IF(VLOOKUP($E62,BDD!$A$1:$S$567,MATCH(I$10,BDD!$A$1:$P$1,0),FALSE)=0,"",VLOOKUP($E62,BDD!$A$1:$S$567,MATCH(I$10,BDD!$A$1:$P$1,0),FALSE)),"")</f>
        <v>N3</v>
      </c>
      <c r="J62" s="86"/>
      <c r="K62" s="67" t="str">
        <f>IFERROR(IF(VLOOKUP($E62,BDD!$A$1:$S$567,MATCH(K$10,BDD!$A$1:$P$1,0),FALSE)=0,"",VLOOKUP($E62,BDD!$A$1:$S$567,MATCH(K$10,BDD!$A$1:$P$1,0),FALSE)),"")</f>
        <v>• L’autorisation de lancement des projets tient compte des contraintes opérationnelles : ressources humaines disponibles, capacité à faire, ressources financières.
• Les résultats des évaluations, et leurs conséquences en termes de hiérarchisation, sont formalisés et communiqués aux équipes concernées.
• Un processus d’escalade vers la direction générale est mis en place pour un arbitrage final si nécessaire.</v>
      </c>
      <c r="L62" s="68"/>
      <c r="M62" s="87"/>
      <c r="N62" s="87"/>
      <c r="O62" s="68"/>
      <c r="P62" s="298"/>
    </row>
    <row r="63" spans="1:16" ht="130.05000000000001" customHeight="1" x14ac:dyDescent="0.3">
      <c r="A63" s="298"/>
      <c r="B63" s="68"/>
      <c r="C63" s="68" t="str">
        <f t="shared" si="0"/>
        <v>7</v>
      </c>
      <c r="D63" s="68">
        <f t="shared" si="1"/>
        <v>4</v>
      </c>
      <c r="E63" s="84" t="str">
        <f t="shared" si="2"/>
        <v>744</v>
      </c>
      <c r="F63" s="64" t="s">
        <v>32</v>
      </c>
      <c r="G63" s="65" t="str">
        <f>IFERROR(IF(VLOOKUP($E63,BDD!$A$1:$S$567,MATCH(G$10,BDD!$A$1:$P$1,0),FALSE)=0,"",VLOOKUP($E63,BDD!$A$1:$S$567,MATCH(G$10,BDD!$A$1:$P$1,0),FALSE)),"")</f>
        <v>Les décisions de lancement des projets s’adaptent en fonction des enjeux stratégiques de l’entreprise et de son environnement concurrentiel (time-to-market).</v>
      </c>
      <c r="H63" s="88" t="str">
        <f>IF(VLOOKUP(E63,BDD!$A$1:$S$567,15,FALSE)=0,"Critère non évalué","")</f>
        <v>Critère non évalué</v>
      </c>
      <c r="I63" s="64" t="str">
        <f>IFERROR(IF(VLOOKUP($E63,BDD!$A$1:$S$567,MATCH(I$10,BDD!$A$1:$P$1,0),FALSE)=0,"",VLOOKUP($E63,BDD!$A$1:$S$567,MATCH(I$10,BDD!$A$1:$P$1,0),FALSE)),"")</f>
        <v>N2</v>
      </c>
      <c r="J63" s="91"/>
      <c r="K63" s="65" t="str">
        <f>IFERROR(IF(VLOOKUP($E63,BDD!$A$1:$S$567,MATCH(K$10,BDD!$A$1:$P$1,0),FALSE)=0,"",VLOOKUP($E63,BDD!$A$1:$S$567,MATCH(K$10,BDD!$A$1:$P$1,0),FALSE)),"")</f>
        <v>• Dans ce cas, une approche de projet « time-driven project » ou agile peut être mise en œuvre.</v>
      </c>
      <c r="L63" s="68"/>
      <c r="M63" s="90"/>
      <c r="N63" s="90"/>
      <c r="O63" s="68"/>
      <c r="P63" s="298"/>
    </row>
    <row r="64" spans="1:16" ht="130.05000000000001" customHeight="1" x14ac:dyDescent="0.3">
      <c r="A64" s="298"/>
      <c r="B64" s="68"/>
      <c r="C64" s="68" t="str">
        <f t="shared" si="0"/>
        <v>7</v>
      </c>
      <c r="D64" s="68">
        <f t="shared" si="1"/>
        <v>4</v>
      </c>
      <c r="E64" s="84" t="str">
        <f t="shared" si="2"/>
        <v>745</v>
      </c>
      <c r="F64" s="66" t="s">
        <v>33</v>
      </c>
      <c r="G64" s="67" t="str">
        <f>IFERROR(IF(VLOOKUP($E64,BDD!$A$1:$S$567,MATCH(G$10,BDD!$A$1:$P$1,0),FALSE)=0,"",VLOOKUP($E64,BDD!$A$1:$S$567,MATCH(G$10,BDD!$A$1:$P$1,0),FALSE)),"")</f>
        <v>Les décisions de lancement de projet sont alimentées par les bilans de projets passés et l'expérience ainsi capitalisée.</v>
      </c>
      <c r="H64" s="85" t="str">
        <f>IF(VLOOKUP(E64,BDD!$A$1:$S$567,15,FALSE)=0,"Critère non évalué","")</f>
        <v>Critère non évalué</v>
      </c>
      <c r="I64" s="66" t="str">
        <f>IFERROR(IF(VLOOKUP($E64,BDD!$A$1:$S$567,MATCH(I$10,BDD!$A$1:$P$1,0),FALSE)=0,"",VLOOKUP($E64,BDD!$A$1:$S$567,MATCH(I$10,BDD!$A$1:$P$1,0),FALSE)),"")</f>
        <v>N5</v>
      </c>
      <c r="J64" s="86"/>
      <c r="K64" s="67" t="str">
        <f>IFERROR(IF(VLOOKUP($E64,BDD!$A$1:$S$567,MATCH(K$10,BDD!$A$1:$P$1,0),FALSE)=0,"",VLOOKUP($E64,BDD!$A$1:$S$567,MATCH(K$10,BDD!$A$1:$P$1,0),FALSE)),"")</f>
        <v>• Les bilans projets réalisés remontent auprès de la direction générale et de l'instance de pilotage des projets.
• Les résultats de ces bilans sont pris en compte afin d'améliorer en continu la bonne priorisation des projets et la mise à jour des critères de décisions.
• À titre d'exemple, cette analyse doit permettre de mieux appréhender les projets dont le business case est trop optimiste, les projets en dépassement de calendrier et de budget, les projets trop complexes.</v>
      </c>
      <c r="L64" s="68"/>
      <c r="M64" s="82"/>
      <c r="N64" s="82"/>
      <c r="O64" s="68"/>
      <c r="P64" s="298"/>
    </row>
    <row r="65" spans="1:16" ht="130.05000000000001" hidden="1" customHeight="1" x14ac:dyDescent="0.3">
      <c r="A65" s="298"/>
      <c r="B65" s="68"/>
      <c r="C65" s="68" t="str">
        <f t="shared" si="0"/>
        <v>7</v>
      </c>
      <c r="D65" s="68">
        <f t="shared" si="1"/>
        <v>4</v>
      </c>
      <c r="E65" s="84" t="str">
        <f t="shared" si="2"/>
        <v>746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xml:space="preserve"> </v>
      </c>
      <c r="J65" s="206"/>
      <c r="K65" s="96" t="str">
        <f>IFERROR(IF(VLOOKUP($E65,BDD!$A$1:$S$567,MATCH(K$10,BDD!$A$1:$P$1,0),FALSE)=0,"",VLOOKUP($E65,BDD!$A$1:$S$567,MATCH(K$10,BDD!$A$1:$P$1,0),FALSE)),"")</f>
        <v/>
      </c>
      <c r="L65" s="68"/>
      <c r="M65" s="90"/>
      <c r="N65" s="90"/>
      <c r="O65" s="68"/>
      <c r="P65" s="298"/>
    </row>
    <row r="66" spans="1:16" ht="130.05000000000001" hidden="1" customHeight="1" x14ac:dyDescent="0.3">
      <c r="A66" s="298"/>
      <c r="B66" s="68"/>
      <c r="C66" s="68" t="str">
        <f t="shared" si="0"/>
        <v>7</v>
      </c>
      <c r="D66" s="68">
        <f t="shared" si="1"/>
        <v>4</v>
      </c>
      <c r="E66" s="84" t="str">
        <f t="shared" si="2"/>
        <v>747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298"/>
    </row>
    <row r="67" spans="1:16" x14ac:dyDescent="0.3">
      <c r="A67" s="298"/>
      <c r="B67" s="68"/>
      <c r="C67" s="68" t="str">
        <f t="shared" si="0"/>
        <v>7</v>
      </c>
      <c r="D67" s="68">
        <f t="shared" si="1"/>
        <v>4</v>
      </c>
      <c r="E67" s="84" t="str">
        <f t="shared" si="2"/>
        <v>74</v>
      </c>
      <c r="F67" s="68"/>
      <c r="G67" s="68"/>
      <c r="H67" s="68"/>
      <c r="I67" s="68"/>
      <c r="J67" s="68"/>
      <c r="K67" s="68"/>
      <c r="L67" s="68"/>
      <c r="M67" s="68"/>
      <c r="N67" s="68"/>
      <c r="O67" s="68"/>
      <c r="P67" s="298"/>
    </row>
    <row r="68" spans="1:16" x14ac:dyDescent="0.3">
      <c r="A68" s="298"/>
      <c r="B68" s="68"/>
      <c r="C68" s="68" t="str">
        <f t="shared" si="0"/>
        <v>7</v>
      </c>
      <c r="D68" s="68"/>
      <c r="E68" s="84"/>
      <c r="F68" s="68"/>
      <c r="G68" s="68"/>
      <c r="H68" s="68"/>
      <c r="I68" s="68"/>
      <c r="J68" s="68"/>
      <c r="K68" s="68"/>
      <c r="L68" s="68"/>
      <c r="M68" s="68"/>
      <c r="N68" s="68"/>
      <c r="O68" s="68"/>
      <c r="P68" s="298"/>
    </row>
    <row r="69" spans="1:16" x14ac:dyDescent="0.3">
      <c r="A69" s="298"/>
      <c r="B69" s="68"/>
      <c r="C69" s="68" t="str">
        <f t="shared" si="0"/>
        <v>7</v>
      </c>
      <c r="D69" s="68"/>
      <c r="E69" s="84"/>
      <c r="F69" s="68"/>
      <c r="G69" s="68"/>
      <c r="H69" s="68"/>
      <c r="I69" s="68"/>
      <c r="J69" s="68"/>
      <c r="K69" s="68"/>
      <c r="L69" s="68"/>
      <c r="M69" s="68"/>
      <c r="N69" s="68"/>
      <c r="O69" s="68"/>
      <c r="P69" s="298"/>
    </row>
    <row r="70" spans="1:16" x14ac:dyDescent="0.3">
      <c r="A70" s="298"/>
      <c r="B70" s="68"/>
      <c r="C70" s="68" t="str">
        <f t="shared" ref="C70:C115" si="3">IF(LEFT(RIGHT($B$1,2),1)=" ",RIGHT($B$1,1),RIGHT($B$1,2))</f>
        <v>7</v>
      </c>
      <c r="D70" s="68"/>
      <c r="E70" s="84"/>
      <c r="F70" s="68"/>
      <c r="G70" s="68"/>
      <c r="H70" s="68"/>
      <c r="I70" s="68"/>
      <c r="J70" s="68"/>
      <c r="K70" s="68"/>
      <c r="L70" s="68"/>
      <c r="M70" s="68"/>
      <c r="N70" s="68"/>
      <c r="O70" s="68"/>
      <c r="P70" s="298"/>
    </row>
    <row r="71" spans="1:16" ht="25.8" x14ac:dyDescent="0.5">
      <c r="A71" s="304"/>
      <c r="B71" s="74"/>
      <c r="C71" s="68" t="str">
        <f t="shared" si="3"/>
        <v>7</v>
      </c>
      <c r="D71" s="68">
        <f>IF(LEFT(F71,14)="Bonne pratique",D67+1,D67)</f>
        <v>5</v>
      </c>
      <c r="E71" s="84" t="str">
        <f t="shared" si="2"/>
        <v>755</v>
      </c>
      <c r="F71" s="208" t="s">
        <v>503</v>
      </c>
      <c r="G71" s="75"/>
      <c r="H71" s="205"/>
      <c r="I71" s="73"/>
      <c r="J71" s="73" t="str">
        <f>VLOOKUP(E78,BDD!$A$2:$N$567,6,FALSE)</f>
        <v>Suivi et recadrage des projets lancés</v>
      </c>
      <c r="K71" s="72"/>
      <c r="L71" s="75"/>
      <c r="M71" s="75"/>
      <c r="N71" s="75"/>
      <c r="O71" s="74"/>
      <c r="P71" s="304"/>
    </row>
    <row r="72" spans="1:16" x14ac:dyDescent="0.3">
      <c r="A72" s="298"/>
      <c r="B72" s="68"/>
      <c r="C72" s="68" t="str">
        <f t="shared" si="3"/>
        <v>7</v>
      </c>
      <c r="D72" s="68">
        <f t="shared" ref="D72:D84" si="4">IF(LEFT(F72,14)="Bonne pratique",D71+1,D71)</f>
        <v>5</v>
      </c>
      <c r="E72" s="84" t="str">
        <f t="shared" si="2"/>
        <v>75</v>
      </c>
      <c r="F72" s="68"/>
      <c r="G72" s="68"/>
      <c r="H72" s="68"/>
      <c r="I72" s="68"/>
      <c r="J72" s="68"/>
      <c r="K72" s="68"/>
      <c r="L72" s="68"/>
      <c r="M72" s="68"/>
      <c r="N72" s="68"/>
      <c r="O72" s="68"/>
      <c r="P72" s="298"/>
    </row>
    <row r="73" spans="1:16" ht="18" x14ac:dyDescent="0.35">
      <c r="A73" s="305"/>
      <c r="B73" s="76"/>
      <c r="C73" s="68" t="str">
        <f t="shared" si="3"/>
        <v>7</v>
      </c>
      <c r="D73" s="68">
        <f t="shared" si="4"/>
        <v>5</v>
      </c>
      <c r="E73" s="84" t="str">
        <f t="shared" si="2"/>
        <v>75</v>
      </c>
      <c r="F73" s="76"/>
      <c r="G73" s="76"/>
      <c r="H73" s="76"/>
      <c r="I73" s="77"/>
      <c r="J73" s="207" t="str">
        <f>IFERROR(_xlfn.TEXTBEFORE(VLOOKUP(E78,BDD!$A$2:$N$567,7,FALSE)," ",23),VLOOKUP(E78,BDD!$A$2:$N$567,7,FALSE))</f>
        <v>Des projets, impliquant les directions métiers, permet de suivre, recadrer, revoir la priorité ou arrêter les projets en cours, sur la base d’un</v>
      </c>
      <c r="K73" s="77"/>
      <c r="L73" s="76"/>
      <c r="M73" s="76"/>
      <c r="N73" s="76"/>
      <c r="O73" s="76"/>
      <c r="P73" s="305"/>
    </row>
    <row r="74" spans="1:16" ht="18" x14ac:dyDescent="0.35">
      <c r="A74" s="298"/>
      <c r="B74" s="68"/>
      <c r="C74" s="68" t="str">
        <f t="shared" si="3"/>
        <v>7</v>
      </c>
      <c r="D74" s="68">
        <f t="shared" si="4"/>
        <v>5</v>
      </c>
      <c r="E74" s="84" t="str">
        <f t="shared" si="2"/>
        <v>75</v>
      </c>
      <c r="F74" s="68"/>
      <c r="G74" s="68"/>
      <c r="H74" s="68"/>
      <c r="I74" s="68"/>
      <c r="J74" s="207" t="str">
        <f>IFERROR(_xlfn.TEXTAFTER(VLOOKUP(E78,BDD!$A$2:$N$567,7,FALSE)," ",23),"")</f>
        <v>reporting fiable et exhaustif, le cas échéant en actualisant les business cases.</v>
      </c>
      <c r="K74" s="68"/>
      <c r="L74" s="68"/>
      <c r="M74" s="68"/>
      <c r="N74" s="68"/>
      <c r="O74" s="68"/>
      <c r="P74" s="298"/>
    </row>
    <row r="75" spans="1:16" x14ac:dyDescent="0.3">
      <c r="A75" s="298"/>
      <c r="B75" s="68"/>
      <c r="C75" s="68" t="str">
        <f t="shared" si="3"/>
        <v>7</v>
      </c>
      <c r="D75" s="68">
        <f t="shared" si="4"/>
        <v>5</v>
      </c>
      <c r="E75" s="84" t="str">
        <f t="shared" si="2"/>
        <v>75</v>
      </c>
      <c r="F75" s="68"/>
      <c r="G75" s="68"/>
      <c r="H75" s="68"/>
      <c r="I75" s="68"/>
      <c r="J75" s="78"/>
      <c r="K75" s="68"/>
      <c r="L75" s="68"/>
      <c r="M75" s="619" t="s">
        <v>92</v>
      </c>
      <c r="N75" s="619"/>
      <c r="O75" s="68"/>
      <c r="P75" s="298"/>
    </row>
    <row r="76" spans="1:16" ht="33" x14ac:dyDescent="0.3">
      <c r="A76" s="298"/>
      <c r="B76" s="68"/>
      <c r="C76" s="68" t="str">
        <f t="shared" si="3"/>
        <v>7</v>
      </c>
      <c r="D76" s="68">
        <f t="shared" si="4"/>
        <v>5</v>
      </c>
      <c r="E76" s="84" t="str">
        <f t="shared" si="2"/>
        <v>75</v>
      </c>
      <c r="F76" s="93"/>
      <c r="G76" s="80" t="s">
        <v>561</v>
      </c>
      <c r="H76" s="80" t="s">
        <v>82</v>
      </c>
      <c r="I76" s="80" t="s">
        <v>83</v>
      </c>
      <c r="J76" s="80" t="s">
        <v>84</v>
      </c>
      <c r="K76" s="80" t="s">
        <v>85</v>
      </c>
      <c r="L76" s="78"/>
      <c r="M76" s="81" t="s">
        <v>86</v>
      </c>
      <c r="N76" s="82" t="s">
        <v>87</v>
      </c>
      <c r="O76" s="68"/>
      <c r="P76" s="298"/>
    </row>
    <row r="77" spans="1:16" x14ac:dyDescent="0.3">
      <c r="A77" s="298"/>
      <c r="B77" s="68"/>
      <c r="C77" s="68" t="str">
        <f t="shared" si="3"/>
        <v>7</v>
      </c>
      <c r="D77" s="68">
        <f t="shared" si="4"/>
        <v>5</v>
      </c>
      <c r="E77" s="84" t="str">
        <f t="shared" si="2"/>
        <v>75</v>
      </c>
      <c r="F77" s="68"/>
      <c r="G77" s="83"/>
      <c r="H77" s="83"/>
      <c r="I77" s="83"/>
      <c r="J77" s="68"/>
      <c r="K77" s="83"/>
      <c r="L77" s="68"/>
      <c r="M77" s="68"/>
      <c r="N77" s="68"/>
      <c r="O77" s="68"/>
      <c r="P77" s="298"/>
    </row>
    <row r="78" spans="1:16" ht="130.05000000000001" customHeight="1" x14ac:dyDescent="0.3">
      <c r="A78" s="298"/>
      <c r="B78" s="68"/>
      <c r="C78" s="68" t="str">
        <f t="shared" si="3"/>
        <v>7</v>
      </c>
      <c r="D78" s="68">
        <f t="shared" si="4"/>
        <v>5</v>
      </c>
      <c r="E78" s="84" t="str">
        <f t="shared" si="2"/>
        <v>751</v>
      </c>
      <c r="F78" s="66" t="s">
        <v>27</v>
      </c>
      <c r="G78" s="67" t="str">
        <f>IFERROR(IF(VLOOKUP($E78,BDD!$A$1:$S$567,MATCH(G$10,BDD!$A$1:$P$1,0),FALSE)=0,"",VLOOKUP($E78,BDD!$A$1:$S$567,MATCH(G$10,BDD!$A$1:$P$1,0),FALSE)),"")</f>
        <v>L'instance de pilotage du portefeuille (PMO) organise la collecte et la consolidation des informations des projets pour établir un tableau de bord macroscopique de suivi d'avancement. Ce tableau de bord est examiné régulièrement par les organes de pilotage et la direction générale.</v>
      </c>
      <c r="H78" s="85" t="str">
        <f>IF(VLOOKUP(E78,BDD!$A$1:$S$567,15,FALSE)=0,"Critère non évalué","")</f>
        <v>Critère non évalué</v>
      </c>
      <c r="I78" s="66" t="str">
        <f>IFERROR(IF(VLOOKUP($E78,BDD!$A$1:$S$567,MATCH(I$10,BDD!$A$1:$P$1,0),FALSE)=0,"",VLOOKUP($E78,BDD!$A$1:$S$567,MATCH(I$10,BDD!$A$1:$P$1,0),FALSE)),"")</f>
        <v>N3</v>
      </c>
      <c r="J78" s="86"/>
      <c r="K78" s="67" t="str">
        <f>IFERROR(IF(VLOOKUP($E78,BDD!$A$1:$S$567,MATCH(K$10,BDD!$A$1:$P$1,0),FALSE)=0,"",VLOOKUP($E78,BDD!$A$1:$S$567,MATCH(K$10,BDD!$A$1:$P$1,0),FALSE)),"")</f>
        <v>• Les chefs de projets mettent à jour l’avancement des projets (qualité, coûts, délais, risques, reste-à-faire, approche méthodologique, etc.) dans un outil dédié au suivi des projets pour permettre l’élaboration d’un tableau de bord de synthèse.
• Ces informations sont validées conjointement avec le métier au travers des comités projet.</v>
      </c>
      <c r="L78" s="68"/>
      <c r="M78" s="87"/>
      <c r="N78" s="87"/>
      <c r="O78" s="68"/>
      <c r="P78" s="298"/>
    </row>
    <row r="79" spans="1:16" ht="130.05000000000001" customHeight="1" x14ac:dyDescent="0.3">
      <c r="A79" s="298"/>
      <c r="B79" s="68"/>
      <c r="C79" s="68" t="str">
        <f t="shared" si="3"/>
        <v>7</v>
      </c>
      <c r="D79" s="68">
        <f t="shared" si="4"/>
        <v>5</v>
      </c>
      <c r="E79" s="84" t="str">
        <f t="shared" si="2"/>
        <v>752</v>
      </c>
      <c r="F79" s="94" t="s">
        <v>28</v>
      </c>
      <c r="G79" s="65" t="str">
        <f>IFERROR(IF(VLOOKUP($E79,BDD!$A$1:$S$567,MATCH(G$10,BDD!$A$1:$P$1,0),FALSE)=0,"",VLOOKUP($E79,BDD!$A$1:$S$567,MATCH(G$10,BDD!$A$1:$P$1,0),FALSE)),"")</f>
        <v>Sur la base de ce tableau de bord de suivi, les organes de pilotage et la direction générale prennent des décisions d’allocation de ressources, de re-priorisation et, au besoin, d’actualisation des business cases en fonction des objectifs stratégiques de l'organisation et de la priorisation des moyens.</v>
      </c>
      <c r="H79" s="88" t="str">
        <f>IF(VLOOKUP(E79,BDD!$A$1:$S$567,15,FALSE)=0,"Critère non évalué","")</f>
        <v>Critère non évalué</v>
      </c>
      <c r="I79" s="64" t="str">
        <f>IFERROR(IF(VLOOKUP($E79,BDD!$A$1:$S$567,MATCH(I$10,BDD!$A$1:$P$1,0),FALSE)=0,"",VLOOKUP($E79,BDD!$A$1:$S$567,MATCH(I$10,BDD!$A$1:$P$1,0),FALSE)),"")</f>
        <v>N4</v>
      </c>
      <c r="J79" s="89"/>
      <c r="K79" s="65" t="str">
        <f>IFERROR(IF(VLOOKUP($E79,BDD!$A$1:$S$567,MATCH(K$10,BDD!$A$1:$P$1,0),FALSE)=0,"",VLOOKUP($E79,BDD!$A$1:$S$567,MATCH(K$10,BDD!$A$1:$P$1,0),FALSE)),"")</f>
        <v>• Les organes de pilotage examinent périodiquement (au moins trimestriellement) le tableau de bord et procèdent aux éventuels arbitrages souhaitables entre les différents projets (e.g. repriorisation, réallocation de ressources, dé-priorisation ou arrêt de projets, révision des business cases, etc.), au vu des priorités stratégiques et de la priorisation des ressources.</v>
      </c>
      <c r="L79" s="68"/>
      <c r="M79" s="90"/>
      <c r="N79" s="90"/>
      <c r="O79" s="68"/>
      <c r="P79" s="298"/>
    </row>
    <row r="80" spans="1:16" ht="130.05000000000001" customHeight="1" x14ac:dyDescent="0.3">
      <c r="A80" s="298"/>
      <c r="B80" s="68"/>
      <c r="C80" s="68" t="str">
        <f t="shared" si="3"/>
        <v>7</v>
      </c>
      <c r="D80" s="68">
        <f t="shared" si="4"/>
        <v>5</v>
      </c>
      <c r="E80" s="84" t="str">
        <f t="shared" si="2"/>
        <v>753</v>
      </c>
      <c r="F80" s="66" t="s">
        <v>30</v>
      </c>
      <c r="G80" s="67" t="str">
        <f>IFERROR(IF(VLOOKUP($E80,BDD!$A$1:$S$567,MATCH(G$10,BDD!$A$1:$P$1,0),FALSE)=0,"",VLOOKUP($E80,BDD!$A$1:$S$567,MATCH(G$10,BDD!$A$1:$P$1,0),FALSE)),"")</f>
        <v>L'instance en charge du portefeuille suit les risques et dispose de l’autorité nécessaire pour lancer des audits sur les projets à risque.</v>
      </c>
      <c r="H80" s="85" t="str">
        <f>IF(VLOOKUP(E80,BDD!$A$1:$S$567,15,FALSE)=0,"Critère non évalué","")</f>
        <v>Critère non évalué</v>
      </c>
      <c r="I80" s="66" t="str">
        <f>IFERROR(IF(VLOOKUP($E80,BDD!$A$1:$S$567,MATCH(I$10,BDD!$A$1:$P$1,0),FALSE)=0,"",VLOOKUP($E80,BDD!$A$1:$S$567,MATCH(I$10,BDD!$A$1:$P$1,0),FALSE)),"")</f>
        <v>N3</v>
      </c>
      <c r="J80" s="86"/>
      <c r="K80" s="67" t="str">
        <f>IFERROR(IF(VLOOKUP($E80,BDD!$A$1:$S$567,MATCH(K$10,BDD!$A$1:$P$1,0),FALSE)=0,"",VLOOKUP($E80,BDD!$A$1:$S$567,MATCH(K$10,BDD!$A$1:$P$1,0),FALSE)),"")</f>
        <v>•  Ces audits sont menés par des entités indépendantes (internes ou externes).</v>
      </c>
      <c r="L80" s="68"/>
      <c r="M80" s="87"/>
      <c r="N80" s="87"/>
      <c r="O80" s="68"/>
      <c r="P80" s="298"/>
    </row>
    <row r="81" spans="1:16" ht="130.05000000000001" customHeight="1" x14ac:dyDescent="0.3">
      <c r="A81" s="298"/>
      <c r="B81" s="68"/>
      <c r="C81" s="68" t="str">
        <f t="shared" si="3"/>
        <v>7</v>
      </c>
      <c r="D81" s="68">
        <f t="shared" si="4"/>
        <v>5</v>
      </c>
      <c r="E81" s="84" t="str">
        <f t="shared" si="2"/>
        <v>754</v>
      </c>
      <c r="F81" s="64" t="s">
        <v>32</v>
      </c>
      <c r="G81" s="96" t="str">
        <f>IFERROR(IF(VLOOKUP($E81,BDD!$A$1:$S$567,MATCH(G$10,BDD!$A$1:$P$1,0),FALSE)=0,"",VLOOKUP($E81,BDD!$A$1:$S$567,MATCH(G$10,BDD!$A$1:$P$1,0),FALSE)),"")</f>
        <v>L'instance en charge du pilotage du portefeuille dispose d'un outil de gestion de portefeuille de projets incluant les objectifs métier, le budget et le suivi opérationnel des projets.</v>
      </c>
      <c r="H81" s="210" t="str">
        <f>IF(VLOOKUP(E81,BDD!$A$1:$S$567,15,FALSE)=0,"Critère non évalué","")</f>
        <v>Critère non évalué</v>
      </c>
      <c r="I81" s="64" t="str">
        <f>IFERROR(IF(VLOOKUP($E81,BDD!$A$1:$S$567,MATCH(I$10,BDD!$A$1:$P$1,0),FALSE)=0,"",VLOOKUP($E81,BDD!$A$1:$S$567,MATCH(I$10,BDD!$A$1:$P$1,0),FALSE)),"")</f>
        <v>N1</v>
      </c>
      <c r="J81" s="95"/>
      <c r="K81" s="96" t="str">
        <f>IFERROR(IF(VLOOKUP($E81,BDD!$A$1:$S$567,MATCH(K$10,BDD!$A$1:$P$1,0),FALSE)=0,"",VLOOKUP($E81,BDD!$A$1:$S$567,MATCH(K$10,BDD!$A$1:$P$1,0),FALSE)),"")</f>
        <v>• L’outil de gestion de portefeuille permet la consolidation des éléments utilisés dans la gestion opérationnelle des projets.
• Il intègre les éléments clés de pilotage, tels que l’allocation des ressources, les interdépendances avec les autres projets, les indicateurs unifiés, etc.
• Cet outil est mis à la disposition des directions métiers permettant ainsi  un travail collaboratif. Il est adapté au nombre et à la complexité des projets à gérer.</v>
      </c>
      <c r="L81" s="68"/>
      <c r="M81" s="90"/>
      <c r="N81" s="90"/>
      <c r="O81" s="68"/>
      <c r="P81" s="298"/>
    </row>
    <row r="82" spans="1:16" ht="130.05000000000001" hidden="1" customHeight="1" x14ac:dyDescent="0.3">
      <c r="A82" s="298"/>
      <c r="B82" s="68"/>
      <c r="C82" s="68" t="str">
        <f t="shared" si="3"/>
        <v>7</v>
      </c>
      <c r="D82" s="68">
        <f t="shared" si="4"/>
        <v>5</v>
      </c>
      <c r="E82" s="84" t="str">
        <f t="shared" si="2"/>
        <v>755</v>
      </c>
      <c r="F82" s="66" t="s">
        <v>33</v>
      </c>
      <c r="G82" s="67" t="str">
        <f>IFERROR(IF(VLOOKUP($E82,BDD!$A$1:$S$567,MATCH(G$10,BDD!$A$1:$P$1,0),FALSE)=0,"",VLOOKUP($E82,BDD!$A$1:$S$567,MATCH(G$10,BDD!$A$1:$P$1,0),FALSE)),"")</f>
        <v/>
      </c>
      <c r="H82" s="85" t="str">
        <f>IF(VLOOKUP(E82,BDD!$A$1:$S$567,15,FALSE)=0,"Critère non évalué","")</f>
        <v>Critère non évalué</v>
      </c>
      <c r="I82" s="66" t="str">
        <f>IFERROR(IF(VLOOKUP($E82,BDD!$A$1:$S$567,MATCH(I$10,BDD!$A$1:$P$1,0),FALSE)=0,"",VLOOKUP($E82,BDD!$A$1:$S$567,MATCH(I$10,BDD!$A$1:$P$1,0),FALSE)),"")</f>
        <v xml:space="preserve"> </v>
      </c>
      <c r="J82" s="86"/>
      <c r="K82" s="67" t="str">
        <f>IFERROR(IF(VLOOKUP($E82,BDD!$A$1:$S$567,MATCH(K$10,BDD!$A$1:$P$1,0),FALSE)=0,"",VLOOKUP($E82,BDD!$A$1:$S$567,MATCH(K$10,BDD!$A$1:$P$1,0),FALSE)),"")</f>
        <v/>
      </c>
      <c r="L82" s="68"/>
      <c r="M82" s="82"/>
      <c r="N82" s="82"/>
      <c r="O82" s="68"/>
      <c r="P82" s="298"/>
    </row>
    <row r="83" spans="1:16" ht="130.05000000000001" hidden="1" customHeight="1" x14ac:dyDescent="0.3">
      <c r="A83" s="298"/>
      <c r="B83" s="68"/>
      <c r="C83" s="68" t="str">
        <f t="shared" si="3"/>
        <v>7</v>
      </c>
      <c r="D83" s="68">
        <f t="shared" si="4"/>
        <v>5</v>
      </c>
      <c r="E83" s="84" t="str">
        <f>C83&amp;D83&amp;RIGHT(F83,1)</f>
        <v>756</v>
      </c>
      <c r="F83" s="64" t="s">
        <v>34</v>
      </c>
      <c r="G83" s="65" t="str">
        <f>IFERROR(IF(VLOOKUP($E83,BDD!$A$1:$S$567,MATCH(G$10,BDD!$A$1:$P$1,0),FALSE)=0,"",VLOOKUP($E83,BDD!$A$1:$S$567,MATCH(G$10,BDD!$A$1:$P$1,0),FALSE)),"")</f>
        <v/>
      </c>
      <c r="H83" s="88" t="str">
        <f>IF(VLOOKUP(E83,BDD!$A$1:$S$567,15,FALSE)=0,"Critère non évalué","")</f>
        <v>Critère non évalué</v>
      </c>
      <c r="I83" s="64" t="str">
        <f>IFERROR(IF(VLOOKUP($E83,BDD!$A$1:$S$567,MATCH(I$10,BDD!$A$1:$P$1,0),FALSE)=0,"",VLOOKUP($E83,BDD!$A$1:$S$567,MATCH(I$10,BDD!$A$1:$P$1,0),FALSE)),"")</f>
        <v xml:space="preserve"> </v>
      </c>
      <c r="J83" s="91"/>
      <c r="K83" s="65" t="str">
        <f>IFERROR(IF(VLOOKUP($E83,BDD!$A$1:$S$567,MATCH(K$10,BDD!$A$1:$P$1,0),FALSE)=0,"",VLOOKUP($E83,BDD!$A$1:$S$567,MATCH(K$10,BDD!$A$1:$P$1,0),FALSE)),"")</f>
        <v/>
      </c>
      <c r="L83" s="68"/>
      <c r="M83" s="90"/>
      <c r="N83" s="90"/>
      <c r="O83" s="68"/>
      <c r="P83" s="298"/>
    </row>
    <row r="84" spans="1:16" ht="130.05000000000001" hidden="1" customHeight="1" x14ac:dyDescent="0.3">
      <c r="A84" s="298"/>
      <c r="B84" s="68"/>
      <c r="C84" s="68" t="str">
        <f t="shared" si="3"/>
        <v>7</v>
      </c>
      <c r="D84" s="68">
        <f t="shared" si="4"/>
        <v>5</v>
      </c>
      <c r="E84" s="84" t="str">
        <f>C84&amp;D84&amp;RIGHT(F84,1)</f>
        <v>757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298"/>
    </row>
    <row r="85" spans="1:16" x14ac:dyDescent="0.3">
      <c r="A85" s="298"/>
      <c r="B85" s="68"/>
      <c r="C85" s="68" t="str">
        <f t="shared" si="3"/>
        <v>7</v>
      </c>
      <c r="D85" s="68"/>
      <c r="E85" s="68"/>
      <c r="F85" s="68"/>
      <c r="G85" s="68"/>
      <c r="H85" s="68"/>
      <c r="I85" s="68"/>
      <c r="J85" s="68"/>
      <c r="K85" s="68"/>
      <c r="L85" s="68"/>
      <c r="M85" s="68"/>
      <c r="N85" s="68"/>
      <c r="O85" s="68"/>
      <c r="P85" s="298"/>
    </row>
    <row r="86" spans="1:16" x14ac:dyDescent="0.3">
      <c r="A86" s="298"/>
      <c r="B86" s="68"/>
      <c r="C86" s="68" t="str">
        <f t="shared" si="3"/>
        <v>7</v>
      </c>
      <c r="D86" s="68"/>
      <c r="E86" s="68"/>
      <c r="F86" s="68"/>
      <c r="G86" s="68"/>
      <c r="H86" s="68"/>
      <c r="I86" s="68"/>
      <c r="J86" s="68"/>
      <c r="K86" s="68"/>
      <c r="L86" s="68"/>
      <c r="M86" s="68"/>
      <c r="N86" s="68"/>
      <c r="O86" s="68"/>
      <c r="P86" s="298"/>
    </row>
    <row r="87" spans="1:16" ht="25.8" x14ac:dyDescent="0.5">
      <c r="A87" s="304"/>
      <c r="B87" s="74"/>
      <c r="C87" s="68" t="str">
        <f t="shared" si="3"/>
        <v>7</v>
      </c>
      <c r="D87" s="68">
        <f>IF(LEFT(F87,14)="Bonne pratique",D83+1,D83)</f>
        <v>6</v>
      </c>
      <c r="E87" s="84" t="str">
        <f t="shared" ref="E87:E100" si="5">C87&amp;D87&amp;RIGHT(F87,1)</f>
        <v>766</v>
      </c>
      <c r="F87" s="208" t="s">
        <v>556</v>
      </c>
      <c r="G87" s="75"/>
      <c r="H87" s="205"/>
      <c r="I87" s="73"/>
      <c r="J87" s="73" t="str">
        <f>VLOOKUP(E94,BDD!$A$2:$N$567,6,FALSE)</f>
        <v>Bilan de projet métiers</v>
      </c>
      <c r="K87" s="72"/>
      <c r="L87" s="75"/>
      <c r="M87" s="75"/>
      <c r="N87" s="75"/>
      <c r="O87" s="74"/>
      <c r="P87" s="304"/>
    </row>
    <row r="88" spans="1:16" x14ac:dyDescent="0.3">
      <c r="A88" s="298"/>
      <c r="B88" s="68"/>
      <c r="C88" s="68" t="str">
        <f t="shared" si="3"/>
        <v>7</v>
      </c>
      <c r="D88" s="68">
        <f t="shared" ref="D88:D100" si="6">IF(LEFT(F88,14)="Bonne pratique",D87+1,D87)</f>
        <v>6</v>
      </c>
      <c r="E88" s="84" t="str">
        <f t="shared" si="5"/>
        <v>76</v>
      </c>
      <c r="F88" s="68"/>
      <c r="G88" s="68"/>
      <c r="H88" s="68"/>
      <c r="I88" s="68"/>
      <c r="J88" s="68"/>
      <c r="K88" s="68"/>
      <c r="L88" s="68"/>
      <c r="M88" s="68"/>
      <c r="N88" s="68"/>
      <c r="O88" s="68"/>
      <c r="P88" s="298"/>
    </row>
    <row r="89" spans="1:16" ht="18" x14ac:dyDescent="0.35">
      <c r="A89" s="305"/>
      <c r="B89" s="76"/>
      <c r="C89" s="68" t="str">
        <f t="shared" si="3"/>
        <v>7</v>
      </c>
      <c r="D89" s="68">
        <f t="shared" si="6"/>
        <v>6</v>
      </c>
      <c r="E89" s="84" t="str">
        <f t="shared" si="5"/>
        <v>76</v>
      </c>
      <c r="F89" s="76"/>
      <c r="G89" s="76"/>
      <c r="H89" s="76"/>
      <c r="I89" s="77"/>
      <c r="J89" s="207" t="str">
        <f>IFERROR(_xlfn.TEXTBEFORE(VLOOKUP(E94,BDD!$A$2:$N$567,7,FALSE)," ",22),VLOOKUP(E94,BDD!$A$2:$N$567,7,FALSE))</f>
        <v>La direction générale fait effectuer des bilans de projet métiers, une fois le fonctionnement nominal atteint, afin d’en tirer les enseignements nécessaires</v>
      </c>
      <c r="K89" s="77"/>
      <c r="L89" s="76"/>
      <c r="M89" s="76"/>
      <c r="N89" s="76"/>
      <c r="O89" s="76"/>
      <c r="P89" s="305"/>
    </row>
    <row r="90" spans="1:16" ht="18" x14ac:dyDescent="0.35">
      <c r="A90" s="298"/>
      <c r="B90" s="68"/>
      <c r="C90" s="68" t="str">
        <f t="shared" si="3"/>
        <v>7</v>
      </c>
      <c r="D90" s="68">
        <f t="shared" si="6"/>
        <v>6</v>
      </c>
      <c r="E90" s="84" t="str">
        <f t="shared" si="5"/>
        <v>76</v>
      </c>
      <c r="F90" s="68"/>
      <c r="G90" s="68"/>
      <c r="H90" s="68"/>
      <c r="I90" s="68"/>
      <c r="J90" s="207" t="str">
        <f>IFERROR(_xlfn.TEXTAFTER(VLOOKUP(E94,BDD!$A$2:$N$567,7,FALSE)," ",22),"")</f>
        <v>et d’optimiser les processus de décision et de pilotage.</v>
      </c>
      <c r="K90" s="68"/>
      <c r="L90" s="68"/>
      <c r="M90" s="68"/>
      <c r="N90" s="68"/>
      <c r="O90" s="68"/>
      <c r="P90" s="298"/>
    </row>
    <row r="91" spans="1:16" x14ac:dyDescent="0.3">
      <c r="A91" s="298"/>
      <c r="B91" s="68"/>
      <c r="C91" s="68" t="str">
        <f t="shared" si="3"/>
        <v>7</v>
      </c>
      <c r="D91" s="68">
        <f t="shared" si="6"/>
        <v>6</v>
      </c>
      <c r="E91" s="84" t="str">
        <f t="shared" si="5"/>
        <v>76</v>
      </c>
      <c r="F91" s="68"/>
      <c r="G91" s="68"/>
      <c r="H91" s="68"/>
      <c r="I91" s="68"/>
      <c r="J91" s="78"/>
      <c r="K91" s="68"/>
      <c r="L91" s="68"/>
      <c r="M91" s="619" t="s">
        <v>92</v>
      </c>
      <c r="N91" s="619"/>
      <c r="O91" s="68"/>
      <c r="P91" s="298"/>
    </row>
    <row r="92" spans="1:16" ht="33" x14ac:dyDescent="0.3">
      <c r="A92" s="298"/>
      <c r="B92" s="68"/>
      <c r="C92" s="68" t="str">
        <f t="shared" si="3"/>
        <v>7</v>
      </c>
      <c r="D92" s="68">
        <f t="shared" si="6"/>
        <v>6</v>
      </c>
      <c r="E92" s="84" t="str">
        <f t="shared" si="5"/>
        <v>76</v>
      </c>
      <c r="F92" s="93"/>
      <c r="G92" s="80" t="s">
        <v>561</v>
      </c>
      <c r="H92" s="80" t="s">
        <v>82</v>
      </c>
      <c r="I92" s="80" t="s">
        <v>83</v>
      </c>
      <c r="J92" s="80" t="s">
        <v>84</v>
      </c>
      <c r="K92" s="80" t="s">
        <v>85</v>
      </c>
      <c r="L92" s="78"/>
      <c r="M92" s="81" t="s">
        <v>86</v>
      </c>
      <c r="N92" s="82" t="s">
        <v>87</v>
      </c>
      <c r="O92" s="68"/>
      <c r="P92" s="298"/>
    </row>
    <row r="93" spans="1:16" x14ac:dyDescent="0.3">
      <c r="A93" s="298"/>
      <c r="B93" s="68"/>
      <c r="C93" s="68" t="str">
        <f t="shared" si="3"/>
        <v>7</v>
      </c>
      <c r="D93" s="68">
        <f t="shared" si="6"/>
        <v>6</v>
      </c>
      <c r="E93" s="84" t="str">
        <f t="shared" si="5"/>
        <v>76</v>
      </c>
      <c r="F93" s="68"/>
      <c r="G93" s="83"/>
      <c r="H93" s="83"/>
      <c r="I93" s="83"/>
      <c r="J93" s="68"/>
      <c r="K93" s="83"/>
      <c r="L93" s="68"/>
      <c r="M93" s="68"/>
      <c r="N93" s="68"/>
      <c r="O93" s="68"/>
      <c r="P93" s="298"/>
    </row>
    <row r="94" spans="1:16" ht="130.05000000000001" customHeight="1" x14ac:dyDescent="0.3">
      <c r="A94" s="298"/>
      <c r="B94" s="68"/>
      <c r="C94" s="68" t="str">
        <f t="shared" si="3"/>
        <v>7</v>
      </c>
      <c r="D94" s="68">
        <f t="shared" si="6"/>
        <v>6</v>
      </c>
      <c r="E94" s="84" t="str">
        <f t="shared" si="5"/>
        <v>761</v>
      </c>
      <c r="F94" s="66" t="s">
        <v>27</v>
      </c>
      <c r="G94" s="67" t="str">
        <f>IFERROR(IF(VLOOKUP($E94,BDD!$A$1:$S$567,MATCH(G$10,BDD!$A$1:$P$1,0),FALSE)=0,"",VLOOKUP($E94,BDD!$A$1:$S$567,MATCH(G$10,BDD!$A$1:$P$1,0),FALSE)),"")</f>
        <v>Pour les projets fortement contributifs à la création de valeur ou coûteux, les bénéfices métiers atteints sont analysés pour vérifier qu’ils sont en ligne avec les objectifs et exigences du business case initial.</v>
      </c>
      <c r="H94" s="85" t="str">
        <f>IF(VLOOKUP(E94,BDD!$A$1:$S$567,15,FALSE)=0,"Critère non évalué","")</f>
        <v>Critère non évalué</v>
      </c>
      <c r="I94" s="66" t="str">
        <f>IFERROR(IF(VLOOKUP($E94,BDD!$A$1:$S$567,MATCH(I$10,BDD!$A$1:$P$1,0),FALSE)=0,"",VLOOKUP($E94,BDD!$A$1:$S$567,MATCH(I$10,BDD!$A$1:$P$1,0),FALSE)),"")</f>
        <v>N4</v>
      </c>
      <c r="J94" s="86"/>
      <c r="K94" s="67" t="str">
        <f>IFERROR(IF(VLOOKUP($E94,BDD!$A$1:$S$567,MATCH(K$10,BDD!$A$1:$P$1,0),FALSE)=0,"",VLOOKUP($E94,BDD!$A$1:$S$567,MATCH(K$10,BDD!$A$1:$P$1,0),FALSE)),"")</f>
        <v>• Les bilans de projet doivent notamment permettre d’identifier les domaines dans lesquels les nouveaux systèmes d’information ont apporté des gains de performance ou d’efficacité fonctionnelle ainsi que ceux où ils ont entraîné des ralentissements ou des régressions.
• La direction de projet est représentée dans les discussions relatives aux bilans de projet.</v>
      </c>
      <c r="L94" s="68"/>
      <c r="M94" s="87"/>
      <c r="N94" s="87"/>
      <c r="O94" s="68"/>
      <c r="P94" s="298"/>
    </row>
    <row r="95" spans="1:16" ht="130.05000000000001" customHeight="1" x14ac:dyDescent="0.3">
      <c r="A95" s="298"/>
      <c r="B95" s="68"/>
      <c r="C95" s="68" t="str">
        <f t="shared" si="3"/>
        <v>7</v>
      </c>
      <c r="D95" s="68">
        <f t="shared" si="6"/>
        <v>6</v>
      </c>
      <c r="E95" s="84" t="str">
        <f t="shared" si="5"/>
        <v>762</v>
      </c>
      <c r="F95" s="94" t="s">
        <v>28</v>
      </c>
      <c r="G95" s="65" t="str">
        <f>IFERROR(IF(VLOOKUP($E95,BDD!$A$1:$S$567,MATCH(G$10,BDD!$A$1:$P$1,0),FALSE)=0,"",VLOOKUP($E95,BDD!$A$1:$S$567,MATCH(G$10,BDD!$A$1:$P$1,0),FALSE)),"")</f>
        <v>Les analyses sont réalisées avec toutes les parties prenantes du métier et de la direction du projet SI (équipe projet, utilisateurs finaux, clients, etc.).</v>
      </c>
      <c r="H95" s="88" t="str">
        <f>IF(VLOOKUP(E95,BDD!$A$1:$S$567,15,FALSE)=0,"Critère non évalué","")</f>
        <v>Critère non évalué</v>
      </c>
      <c r="I95" s="64" t="str">
        <f>IFERROR(IF(VLOOKUP($E95,BDD!$A$1:$S$567,MATCH(I$10,BDD!$A$1:$P$1,0),FALSE)=0,"",VLOOKUP($E95,BDD!$A$1:$S$567,MATCH(I$10,BDD!$A$1:$P$1,0),FALSE)),"")</f>
        <v>N5</v>
      </c>
      <c r="J95" s="89"/>
      <c r="K95" s="65" t="str">
        <f>IFERROR(IF(VLOOKUP($E95,BDD!$A$1:$S$567,MATCH(K$10,BDD!$A$1:$P$1,0),FALSE)=0,"",VLOOKUP($E95,BDD!$A$1:$S$567,MATCH(K$10,BDD!$A$1:$P$1,0),FALSE)),"")</f>
        <v>• Le recours à une tierce partie (interne ou externe) peut être utile pour apporter une évaluation indépendante du bilan projet.</v>
      </c>
      <c r="L95" s="68"/>
      <c r="M95" s="90"/>
      <c r="N95" s="90"/>
      <c r="O95" s="68"/>
      <c r="P95" s="298"/>
    </row>
    <row r="96" spans="1:16" ht="130.05000000000001" customHeight="1" x14ac:dyDescent="0.3">
      <c r="A96" s="298"/>
      <c r="B96" s="68"/>
      <c r="C96" s="68" t="str">
        <f t="shared" si="3"/>
        <v>7</v>
      </c>
      <c r="D96" s="68">
        <f t="shared" si="6"/>
        <v>6</v>
      </c>
      <c r="E96" s="84" t="str">
        <f t="shared" si="5"/>
        <v>763</v>
      </c>
      <c r="F96" s="66" t="s">
        <v>30</v>
      </c>
      <c r="G96" s="67" t="str">
        <f>IFERROR(IF(VLOOKUP($E96,BDD!$A$1:$S$567,MATCH(G$10,BDD!$A$1:$P$1,0),FALSE)=0,"",VLOOKUP($E96,BDD!$A$1:$S$567,MATCH(G$10,BDD!$A$1:$P$1,0),FALSE)),"")</f>
        <v>Les analyses et retours d’expérience concernant le déroulement du projet sont formalisés et partagés.</v>
      </c>
      <c r="H96" s="85" t="str">
        <f>IF(VLOOKUP(E96,BDD!$A$1:$S$567,15,FALSE)=0,"Critère non évalué","")</f>
        <v>Critère non évalué</v>
      </c>
      <c r="I96" s="66" t="str">
        <f>IFERROR(IF(VLOOKUP($E96,BDD!$A$1:$S$567,MATCH(I$10,BDD!$A$1:$P$1,0),FALSE)=0,"",VLOOKUP($E96,BDD!$A$1:$S$567,MATCH(I$10,BDD!$A$1:$P$1,0),FALSE)),"")</f>
        <v>N4</v>
      </c>
      <c r="J96" s="86"/>
      <c r="K96" s="67" t="str">
        <f>IFERROR(IF(VLOOKUP($E96,BDD!$A$1:$S$567,MATCH(K$10,BDD!$A$1:$P$1,0),FALSE)=0,"",VLOOKUP($E96,BDD!$A$1:$S$567,MATCH(K$10,BDD!$A$1:$P$1,0),FALSE)),"")</f>
        <v xml:space="preserve">• Afin d’exploiter plus facilement les données recueillies lors des bilans de projet, l’utilisation d’un modèle standardisé est recommandée.
• Les bilans de projet métiers viennent alimenter une base de connaissances partagée, mise à disposition de l’ensemble des directions métiers et des acteurs de la DSI.
• Les enseignements tirés des bilans alimentent la définition de plans d’action destinés à améliorer le processus de gestion du portefeuille de projets, ainsi que les pratiques de lancement et de réalisation des projets. </v>
      </c>
      <c r="L96" s="68"/>
      <c r="M96" s="87"/>
      <c r="N96" s="87"/>
      <c r="O96" s="68"/>
      <c r="P96" s="298"/>
    </row>
    <row r="97" spans="1:16" ht="130.05000000000001" customHeight="1" x14ac:dyDescent="0.3">
      <c r="A97" s="298"/>
      <c r="B97" s="68"/>
      <c r="C97" s="68" t="str">
        <f t="shared" si="3"/>
        <v>7</v>
      </c>
      <c r="D97" s="68">
        <f t="shared" si="6"/>
        <v>6</v>
      </c>
      <c r="E97" s="84" t="str">
        <f t="shared" si="5"/>
        <v>764</v>
      </c>
      <c r="F97" s="64" t="s">
        <v>32</v>
      </c>
      <c r="G97" s="65" t="str">
        <f>IFERROR(IF(VLOOKUP($E97,BDD!$A$1:$S$567,MATCH(G$10,BDD!$A$1:$P$1,0),FALSE)=0,"",VLOOKUP($E97,BDD!$A$1:$S$567,MATCH(G$10,BDD!$A$1:$P$1,0),FALSE)),"")</f>
        <v>Un processus formalisé, assorti de responsabilités clairement définies, encadre l’établissement et la mise en œuvre des plans d’action issus des bilans de projet, afin de sécuriser la concrétisation des bénéfices attendus.</v>
      </c>
      <c r="H97" s="88" t="str">
        <f>IF(VLOOKUP(E97,BDD!$A$1:$S$567,15,FALSE)=0,"Critère non évalué","")</f>
        <v>Critère non évalué</v>
      </c>
      <c r="I97" s="64" t="str">
        <f>IFERROR(IF(VLOOKUP($E97,BDD!$A$1:$S$567,MATCH(I$10,BDD!$A$1:$P$1,0),FALSE)=0,"",VLOOKUP($E97,BDD!$A$1:$S$567,MATCH(I$10,BDD!$A$1:$P$1,0),FALSE)),"")</f>
        <v>N4</v>
      </c>
      <c r="J97" s="91"/>
      <c r="K97" s="65" t="str">
        <f>IFERROR(IF(VLOOKUP($E97,BDD!$A$1:$S$567,MATCH(K$10,BDD!$A$1:$P$1,0),FALSE)=0,"",VLOOKUP($E97,BDD!$A$1:$S$567,MATCH(K$10,BDD!$A$1:$P$1,0),FALSE)),"")</f>
        <v>• La mise en œuvre des actions décidées s’applique à l'ensemble des sujets identifiés dans les bilans projets (ressources humaines, information, formation, organisation, etc.), voire au lancement d’un autre projet.</v>
      </c>
      <c r="L97" s="68"/>
      <c r="M97" s="90"/>
      <c r="N97" s="90"/>
      <c r="O97" s="68"/>
      <c r="P97" s="298"/>
    </row>
    <row r="98" spans="1:16" ht="130.05000000000001" customHeight="1" x14ac:dyDescent="0.3">
      <c r="A98" s="298"/>
      <c r="B98" s="68"/>
      <c r="C98" s="68" t="str">
        <f t="shared" si="3"/>
        <v>7</v>
      </c>
      <c r="D98" s="68">
        <f t="shared" si="6"/>
        <v>6</v>
      </c>
      <c r="E98" s="84" t="str">
        <f t="shared" si="5"/>
        <v>765</v>
      </c>
      <c r="F98" s="66" t="s">
        <v>33</v>
      </c>
      <c r="G98" s="67" t="str">
        <f>IFERROR(IF(VLOOKUP($E98,BDD!$A$1:$S$567,MATCH(G$10,BDD!$A$1:$P$1,0),FALSE)=0,"",VLOOKUP($E98,BDD!$A$1:$S$567,MATCH(G$10,BDD!$A$1:$P$1,0),FALSE)),"")</f>
        <v>Un bilan annuel de l'ensemble des projets du portefeuille est réalisé, il permet de capitaliser et de mettre en œuvre une amélioration continue.</v>
      </c>
      <c r="H98" s="85" t="str">
        <f>IF(VLOOKUP(E98,BDD!$A$1:$S$567,15,FALSE)=0,"Critère non évalué","")</f>
        <v>Critère non évalué</v>
      </c>
      <c r="I98" s="66" t="str">
        <f>IFERROR(IF(VLOOKUP($E98,BDD!$A$1:$S$567,MATCH(I$10,BDD!$A$1:$P$1,0),FALSE)=0,"",VLOOKUP($E98,BDD!$A$1:$S$567,MATCH(I$10,BDD!$A$1:$P$1,0),FALSE)),"")</f>
        <v>N5</v>
      </c>
      <c r="J98" s="86"/>
      <c r="K98" s="67" t="str">
        <f>IFERROR(IF(VLOOKUP($E98,BDD!$A$1:$S$567,MATCH(K$10,BDD!$A$1:$P$1,0),FALSE)=0,"",VLOOKUP($E98,BDD!$A$1:$S$567,MATCH(K$10,BDD!$A$1:$P$1,0),FALSE)),"")</f>
        <v/>
      </c>
      <c r="L98" s="68"/>
      <c r="M98" s="82"/>
      <c r="N98" s="82"/>
      <c r="O98" s="68"/>
      <c r="P98" s="298"/>
    </row>
    <row r="99" spans="1:16" ht="130.05000000000001" hidden="1" customHeight="1" x14ac:dyDescent="0.3">
      <c r="A99" s="298"/>
      <c r="B99" s="68"/>
      <c r="C99" s="68" t="str">
        <f t="shared" si="3"/>
        <v>7</v>
      </c>
      <c r="D99" s="68">
        <f t="shared" si="6"/>
        <v>6</v>
      </c>
      <c r="E99" s="84" t="str">
        <f t="shared" si="5"/>
        <v>766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xml:space="preserve"> </v>
      </c>
      <c r="J99" s="91"/>
      <c r="K99" s="65" t="str">
        <f>IFERROR(IF(VLOOKUP($E99,BDD!$A$1:$S$567,MATCH(K$10,BDD!$A$1:$P$1,0),FALSE)=0,"",VLOOKUP($E99,BDD!$A$1:$S$567,MATCH(K$10,BDD!$A$1:$P$1,0),FALSE)),"")</f>
        <v/>
      </c>
      <c r="L99" s="68"/>
      <c r="M99" s="90"/>
      <c r="N99" s="90"/>
      <c r="O99" s="68"/>
      <c r="P99" s="298"/>
    </row>
    <row r="100" spans="1:16" ht="130.05000000000001" hidden="1" customHeight="1" x14ac:dyDescent="0.3">
      <c r="A100" s="298"/>
      <c r="B100" s="68"/>
      <c r="C100" s="68" t="str">
        <f t="shared" si="3"/>
        <v>7</v>
      </c>
      <c r="D100" s="68">
        <f t="shared" si="6"/>
        <v>6</v>
      </c>
      <c r="E100" s="84" t="str">
        <f t="shared" si="5"/>
        <v>767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xml:space="preserve"> </v>
      </c>
      <c r="J100" s="86"/>
      <c r="K100" s="67" t="str">
        <f>IFERROR(IF(VLOOKUP($E100,BDD!$A$1:$S$567,MATCH(K$10,BDD!$A$1:$P$1,0),FALSE)=0,"",VLOOKUP($E100,BDD!$A$1:$S$567,MATCH(K$10,BDD!$A$1:$P$1,0),FALSE)),"")</f>
        <v/>
      </c>
      <c r="L100" s="68"/>
      <c r="M100" s="82"/>
      <c r="N100" s="82"/>
      <c r="O100" s="68"/>
      <c r="P100" s="298"/>
    </row>
    <row r="101" spans="1:16" hidden="1" x14ac:dyDescent="0.3">
      <c r="A101" s="298"/>
      <c r="B101" s="68"/>
      <c r="C101" s="68" t="str">
        <f t="shared" si="3"/>
        <v>7</v>
      </c>
      <c r="D101" s="68"/>
      <c r="E101" s="68"/>
      <c r="F101" s="68"/>
      <c r="G101" s="68"/>
      <c r="H101" s="68"/>
      <c r="I101" s="68"/>
      <c r="J101" s="68"/>
      <c r="K101" s="68"/>
      <c r="L101" s="68"/>
      <c r="M101" s="68"/>
      <c r="N101" s="68"/>
      <c r="O101" s="68"/>
      <c r="P101" s="298"/>
    </row>
    <row r="102" spans="1:16" hidden="1" x14ac:dyDescent="0.3">
      <c r="A102" s="298"/>
      <c r="B102" s="68"/>
      <c r="C102" s="68" t="str">
        <f t="shared" si="3"/>
        <v>7</v>
      </c>
      <c r="D102" s="68"/>
      <c r="E102" s="68"/>
      <c r="F102" s="68"/>
      <c r="G102" s="68"/>
      <c r="H102" s="68"/>
      <c r="I102" s="68"/>
      <c r="J102" s="68"/>
      <c r="K102" s="68"/>
      <c r="L102" s="68"/>
      <c r="M102" s="68"/>
      <c r="N102" s="68"/>
      <c r="O102" s="68"/>
      <c r="P102" s="298"/>
    </row>
    <row r="103" spans="1:16" ht="25.8" hidden="1" x14ac:dyDescent="0.5">
      <c r="A103" s="304"/>
      <c r="B103" s="74"/>
      <c r="C103" s="68" t="str">
        <f t="shared" si="3"/>
        <v>7</v>
      </c>
      <c r="D103" s="68">
        <f>IF(LEFT(F103,14)="Bonne pratique",D99+1,D99)</f>
        <v>7</v>
      </c>
      <c r="E103" s="84" t="str">
        <f t="shared" ref="E103:E116" si="7">C103&amp;D103&amp;RIGHT(F103,1)</f>
        <v>777</v>
      </c>
      <c r="F103" s="208" t="s">
        <v>557</v>
      </c>
      <c r="G103" s="75"/>
      <c r="H103" s="205"/>
      <c r="I103" s="73"/>
      <c r="J103" s="73" t="e">
        <f>VLOOKUP(E110,BDD!$A$2:$N$567,6,FALSE)</f>
        <v>#N/A</v>
      </c>
      <c r="K103" s="72"/>
      <c r="L103" s="75"/>
      <c r="M103" s="75"/>
      <c r="N103" s="75"/>
      <c r="O103" s="74"/>
      <c r="P103" s="304"/>
    </row>
    <row r="104" spans="1:16" hidden="1" x14ac:dyDescent="0.3">
      <c r="A104" s="298"/>
      <c r="B104" s="68"/>
      <c r="C104" s="68" t="str">
        <f t="shared" si="3"/>
        <v>7</v>
      </c>
      <c r="D104" s="68">
        <f t="shared" ref="D104:D116" si="8">IF(LEFT(F104,14)="Bonne pratique",D103+1,D103)</f>
        <v>7</v>
      </c>
      <c r="E104" s="84" t="str">
        <f t="shared" si="7"/>
        <v>77</v>
      </c>
      <c r="F104" s="68"/>
      <c r="G104" s="68"/>
      <c r="H104" s="68"/>
      <c r="I104" s="68"/>
      <c r="J104" s="68"/>
      <c r="K104" s="68"/>
      <c r="L104" s="68"/>
      <c r="M104" s="68"/>
      <c r="N104" s="68"/>
      <c r="O104" s="68"/>
      <c r="P104" s="298"/>
    </row>
    <row r="105" spans="1:16" ht="18" hidden="1" x14ac:dyDescent="0.35">
      <c r="A105" s="305"/>
      <c r="B105" s="76"/>
      <c r="C105" s="68" t="str">
        <f t="shared" si="3"/>
        <v>7</v>
      </c>
      <c r="D105" s="68">
        <f t="shared" si="8"/>
        <v>7</v>
      </c>
      <c r="E105" s="84" t="str">
        <f t="shared" si="7"/>
        <v>77</v>
      </c>
      <c r="F105" s="76"/>
      <c r="G105" s="76"/>
      <c r="H105" s="76"/>
      <c r="I105" s="77"/>
      <c r="J105" s="207" t="e">
        <f>IFERROR(_xlfn.TEXTBEFORE(VLOOKUP(E110,BDD!$A$2:$N$567,7,FALSE)," ",30),VLOOKUP(E110,BDD!$A$2:$N$567,7,FALSE))</f>
        <v>#N/A</v>
      </c>
      <c r="K105" s="77"/>
      <c r="L105" s="76"/>
      <c r="M105" s="76"/>
      <c r="N105" s="76"/>
      <c r="O105" s="76"/>
      <c r="P105" s="305"/>
    </row>
    <row r="106" spans="1:16" ht="18" hidden="1" x14ac:dyDescent="0.35">
      <c r="A106" s="298"/>
      <c r="B106" s="68"/>
      <c r="C106" s="68" t="str">
        <f t="shared" si="3"/>
        <v>7</v>
      </c>
      <c r="D106" s="68">
        <f t="shared" si="8"/>
        <v>7</v>
      </c>
      <c r="E106" s="84" t="str">
        <f t="shared" si="7"/>
        <v>77</v>
      </c>
      <c r="F106" s="68"/>
      <c r="G106" s="68"/>
      <c r="H106" s="68"/>
      <c r="I106" s="68"/>
      <c r="J106" s="207" t="str">
        <f>IFERROR(_xlfn.TEXTAFTER(VLOOKUP(E110,BDD!$A$2:$N$567,7,FALSE)," ",30),"")</f>
        <v/>
      </c>
      <c r="K106" s="68"/>
      <c r="L106" s="68"/>
      <c r="M106" s="68"/>
      <c r="N106" s="68"/>
      <c r="O106" s="68"/>
      <c r="P106" s="298"/>
    </row>
    <row r="107" spans="1:16" hidden="1" x14ac:dyDescent="0.3">
      <c r="A107" s="298"/>
      <c r="B107" s="68"/>
      <c r="C107" s="68" t="str">
        <f t="shared" si="3"/>
        <v>7</v>
      </c>
      <c r="D107" s="68">
        <f t="shared" si="8"/>
        <v>7</v>
      </c>
      <c r="E107" s="84" t="str">
        <f t="shared" si="7"/>
        <v>77</v>
      </c>
      <c r="F107" s="68"/>
      <c r="G107" s="68"/>
      <c r="H107" s="68"/>
      <c r="I107" s="68"/>
      <c r="J107" s="78"/>
      <c r="K107" s="68"/>
      <c r="L107" s="68"/>
      <c r="M107" s="619" t="s">
        <v>92</v>
      </c>
      <c r="N107" s="619"/>
      <c r="O107" s="68"/>
      <c r="P107" s="298"/>
    </row>
    <row r="108" spans="1:16" ht="33" hidden="1" x14ac:dyDescent="0.3">
      <c r="A108" s="298"/>
      <c r="B108" s="68"/>
      <c r="C108" s="68" t="str">
        <f t="shared" si="3"/>
        <v>7</v>
      </c>
      <c r="D108" s="68">
        <f t="shared" si="8"/>
        <v>7</v>
      </c>
      <c r="E108" s="84" t="str">
        <f t="shared" si="7"/>
        <v>77</v>
      </c>
      <c r="F108" s="93"/>
      <c r="G108" s="80" t="s">
        <v>561</v>
      </c>
      <c r="H108" s="80" t="s">
        <v>82</v>
      </c>
      <c r="I108" s="80" t="s">
        <v>83</v>
      </c>
      <c r="J108" s="80" t="s">
        <v>84</v>
      </c>
      <c r="K108" s="80" t="s">
        <v>85</v>
      </c>
      <c r="L108" s="78"/>
      <c r="M108" s="81" t="s">
        <v>86</v>
      </c>
      <c r="N108" s="82" t="s">
        <v>87</v>
      </c>
      <c r="O108" s="68"/>
      <c r="P108" s="298"/>
    </row>
    <row r="109" spans="1:16" hidden="1" x14ac:dyDescent="0.3">
      <c r="A109" s="298"/>
      <c r="B109" s="68"/>
      <c r="C109" s="68" t="str">
        <f t="shared" si="3"/>
        <v>7</v>
      </c>
      <c r="D109" s="68">
        <f t="shared" si="8"/>
        <v>7</v>
      </c>
      <c r="E109" s="84" t="str">
        <f t="shared" si="7"/>
        <v>77</v>
      </c>
      <c r="F109" s="68"/>
      <c r="G109" s="83"/>
      <c r="H109" s="83"/>
      <c r="I109" s="83"/>
      <c r="J109" s="68"/>
      <c r="K109" s="83"/>
      <c r="L109" s="68"/>
      <c r="M109" s="68"/>
      <c r="N109" s="68"/>
      <c r="O109" s="68"/>
      <c r="P109" s="298"/>
    </row>
    <row r="110" spans="1:16" ht="130.05000000000001" hidden="1" customHeight="1" x14ac:dyDescent="0.3">
      <c r="A110" s="298"/>
      <c r="B110" s="68"/>
      <c r="C110" s="68" t="str">
        <f t="shared" si="3"/>
        <v>7</v>
      </c>
      <c r="D110" s="68">
        <f t="shared" si="8"/>
        <v>7</v>
      </c>
      <c r="E110" s="84" t="str">
        <f t="shared" si="7"/>
        <v>771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298"/>
    </row>
    <row r="111" spans="1:16" ht="130.05000000000001" hidden="1" customHeight="1" x14ac:dyDescent="0.3">
      <c r="A111" s="298"/>
      <c r="B111" s="68"/>
      <c r="C111" s="68" t="str">
        <f t="shared" si="3"/>
        <v>7</v>
      </c>
      <c r="D111" s="68">
        <f t="shared" si="8"/>
        <v>7</v>
      </c>
      <c r="E111" s="84" t="str">
        <f t="shared" si="7"/>
        <v>772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298"/>
    </row>
    <row r="112" spans="1:16" ht="130.05000000000001" hidden="1" customHeight="1" x14ac:dyDescent="0.3">
      <c r="A112" s="298"/>
      <c r="B112" s="68"/>
      <c r="C112" s="68" t="str">
        <f t="shared" si="3"/>
        <v>7</v>
      </c>
      <c r="D112" s="68">
        <f t="shared" si="8"/>
        <v>7</v>
      </c>
      <c r="E112" s="84" t="str">
        <f t="shared" si="7"/>
        <v>773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298"/>
    </row>
    <row r="113" spans="1:16" ht="130.05000000000001" hidden="1" customHeight="1" x14ac:dyDescent="0.3">
      <c r="A113" s="298"/>
      <c r="B113" s="68"/>
      <c r="C113" s="68" t="str">
        <f t="shared" si="3"/>
        <v>7</v>
      </c>
      <c r="D113" s="68">
        <f t="shared" si="8"/>
        <v>7</v>
      </c>
      <c r="E113" s="84" t="str">
        <f t="shared" si="7"/>
        <v>774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298"/>
    </row>
    <row r="114" spans="1:16" ht="130.05000000000001" hidden="1" customHeight="1" x14ac:dyDescent="0.3">
      <c r="A114" s="298"/>
      <c r="B114" s="68"/>
      <c r="C114" s="68" t="str">
        <f t="shared" si="3"/>
        <v>7</v>
      </c>
      <c r="D114" s="68">
        <f t="shared" si="8"/>
        <v>7</v>
      </c>
      <c r="E114" s="84" t="str">
        <f t="shared" si="7"/>
        <v>775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298"/>
    </row>
    <row r="115" spans="1:16" ht="130.05000000000001" hidden="1" customHeight="1" x14ac:dyDescent="0.3">
      <c r="A115" s="298"/>
      <c r="B115" s="68"/>
      <c r="C115" s="68" t="str">
        <f t="shared" si="3"/>
        <v>7</v>
      </c>
      <c r="D115" s="68">
        <f t="shared" si="8"/>
        <v>7</v>
      </c>
      <c r="E115" s="84" t="str">
        <f t="shared" si="7"/>
        <v>776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298"/>
    </row>
    <row r="116" spans="1:16" ht="130.05000000000001" hidden="1" customHeight="1" x14ac:dyDescent="0.3">
      <c r="A116" s="298"/>
      <c r="B116" s="68"/>
      <c r="C116" s="68" t="str">
        <f t="shared" ref="C116" si="9">RIGHT($B$1,1)</f>
        <v>7</v>
      </c>
      <c r="D116" s="68">
        <f t="shared" si="8"/>
        <v>7</v>
      </c>
      <c r="E116" s="84" t="str">
        <f t="shared" si="7"/>
        <v>777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98"/>
    </row>
    <row r="117" spans="1:16" x14ac:dyDescent="0.3">
      <c r="A117" s="298"/>
      <c r="B117" s="68"/>
      <c r="C117" s="68"/>
      <c r="D117" s="68"/>
      <c r="E117" s="68"/>
      <c r="F117" s="68"/>
      <c r="G117" s="68"/>
      <c r="H117" s="68"/>
      <c r="I117" s="68"/>
      <c r="J117" s="68"/>
      <c r="K117" s="68"/>
      <c r="L117" s="68"/>
      <c r="M117" s="68"/>
      <c r="N117" s="68"/>
      <c r="O117" s="68"/>
      <c r="P117" s="298"/>
    </row>
    <row r="118" spans="1:16" x14ac:dyDescent="0.3">
      <c r="A118" s="298" t="s">
        <v>164</v>
      </c>
      <c r="B118" s="298"/>
      <c r="C118" s="298"/>
      <c r="D118" s="298"/>
      <c r="E118" s="298"/>
      <c r="F118" s="298"/>
      <c r="G118" s="298"/>
      <c r="H118" s="298"/>
      <c r="I118" s="298"/>
      <c r="J118" s="298"/>
      <c r="K118" s="298"/>
      <c r="L118" s="298"/>
      <c r="M118" s="298"/>
      <c r="N118" s="298"/>
      <c r="O118" s="298"/>
      <c r="P118" s="298" t="s">
        <v>164</v>
      </c>
    </row>
  </sheetData>
  <sheetProtection algorithmName="SHA-512" hashValue="aKc2CwKT04NXZmU9niIcaPrr3zTT18Pw3zT9xG72Ay+hbmMTcGw6z/q2EbwriylqfmohEAEl60qwir3NdJP28w==" saltValue="0daLGmlgS14sI6pIHVJ37g=="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00175385-024C-4302-9CD2-F9827E09F43E}"/>
    <hyperlink ref="F29" location="V2Quest!A1" display="(Cf. Vecteur 2 - Innovation)" xr:uid="{D04F2C9C-EBCF-4EC0-AE2E-EFF479F8A917}"/>
    <hyperlink ref="F45" location="V2Quest!A1" display="(Cf. Vecteur 2 - Innovation)" xr:uid="{F188F3E4-202D-43EA-A746-6242E2A32DCD}"/>
    <hyperlink ref="F61" location="V2Quest!A1" display="(Cf. Vecteur 2 - Innovation)" xr:uid="{7C0B2AFC-D4DC-4BE3-BFB3-E6599C55CE50}"/>
    <hyperlink ref="F79" location="V2Quest!A1" display="(Cf. Vecteur 2 - Innovation)" xr:uid="{B3712BF1-D177-495E-A954-D21EFE3631BD}"/>
    <hyperlink ref="F95" location="V2Quest!A1" display="(Cf. Vecteur 2 - Innovation)" xr:uid="{59050679-1A94-4EA4-B36D-94178E5C3DAE}"/>
    <hyperlink ref="F111" location="V2Quest!A1" display="(Cf. Vecteur 2 - Innovation)" xr:uid="{10E1A792-ACBD-48C1-A65F-400A5A390341}"/>
  </hyperlinks>
  <pageMargins left="0.7" right="0.7" top="0.75" bottom="0.75" header="0.3" footer="0.3"/>
  <ignoredErrors>
    <ignoredError sqref="H13"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56673" r:id="rId3" name="Option Button 1">
              <controlPr defaultSize="0" autoFill="0" autoLine="0" autoPict="0">
                <anchor moveWithCells="1">
                  <from>
                    <xdr:col>7</xdr:col>
                    <xdr:colOff>114300</xdr:colOff>
                    <xdr:row>12</xdr:row>
                    <xdr:rowOff>350520</xdr:rowOff>
                  </from>
                  <to>
                    <xdr:col>7</xdr:col>
                    <xdr:colOff>1950720</xdr:colOff>
                    <xdr:row>12</xdr:row>
                    <xdr:rowOff>769620</xdr:rowOff>
                  </to>
                </anchor>
              </controlPr>
            </control>
          </mc:Choice>
        </mc:AlternateContent>
        <mc:AlternateContent xmlns:mc="http://schemas.openxmlformats.org/markup-compatibility/2006">
          <mc:Choice Requires="x14">
            <control shapeId="156674" r:id="rId4" name="Option Button 2">
              <controlPr defaultSize="0" autoFill="0" autoLine="0" autoPict="0">
                <anchor moveWithCells="1">
                  <from>
                    <xdr:col>7</xdr:col>
                    <xdr:colOff>114300</xdr:colOff>
                    <xdr:row>12</xdr:row>
                    <xdr:rowOff>609600</xdr:rowOff>
                  </from>
                  <to>
                    <xdr:col>7</xdr:col>
                    <xdr:colOff>1950720</xdr:colOff>
                    <xdr:row>12</xdr:row>
                    <xdr:rowOff>1066800</xdr:rowOff>
                  </to>
                </anchor>
              </controlPr>
            </control>
          </mc:Choice>
        </mc:AlternateContent>
        <mc:AlternateContent xmlns:mc="http://schemas.openxmlformats.org/markup-compatibility/2006">
          <mc:Choice Requires="x14">
            <control shapeId="156675" r:id="rId5" name="Option Button 3">
              <controlPr defaultSize="0" autoFill="0" autoLine="0" autoPict="0">
                <anchor moveWithCells="1">
                  <from>
                    <xdr:col>7</xdr:col>
                    <xdr:colOff>114300</xdr:colOff>
                    <xdr:row>12</xdr:row>
                    <xdr:rowOff>906780</xdr:rowOff>
                  </from>
                  <to>
                    <xdr:col>7</xdr:col>
                    <xdr:colOff>1950720</xdr:colOff>
                    <xdr:row>12</xdr:row>
                    <xdr:rowOff>1363980</xdr:rowOff>
                  </to>
                </anchor>
              </controlPr>
            </control>
          </mc:Choice>
        </mc:AlternateContent>
        <mc:AlternateContent xmlns:mc="http://schemas.openxmlformats.org/markup-compatibility/2006">
          <mc:Choice Requires="x14">
            <control shapeId="156676" r:id="rId6" name="Option Button 4">
              <controlPr defaultSize="0" autoFill="0" autoLine="0" autoPict="0">
                <anchor moveWithCells="1">
                  <from>
                    <xdr:col>7</xdr:col>
                    <xdr:colOff>114300</xdr:colOff>
                    <xdr:row>12</xdr:row>
                    <xdr:rowOff>1211580</xdr:rowOff>
                  </from>
                  <to>
                    <xdr:col>7</xdr:col>
                    <xdr:colOff>1950720</xdr:colOff>
                    <xdr:row>12</xdr:row>
                    <xdr:rowOff>1668780</xdr:rowOff>
                  </to>
                </anchor>
              </controlPr>
            </control>
          </mc:Choice>
        </mc:AlternateContent>
        <mc:AlternateContent xmlns:mc="http://schemas.openxmlformats.org/markup-compatibility/2006">
          <mc:Choice Requires="x14">
            <control shapeId="156677"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6679"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6680"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156681" r:id="rId10" name="Option Button 9">
              <controlPr defaultSize="0" autoFill="0" autoLine="0" autoPict="0">
                <anchor moveWithCells="1">
                  <from>
                    <xdr:col>7</xdr:col>
                    <xdr:colOff>106680</xdr:colOff>
                    <xdr:row>11</xdr:row>
                    <xdr:rowOff>304800</xdr:rowOff>
                  </from>
                  <to>
                    <xdr:col>7</xdr:col>
                    <xdr:colOff>1958340</xdr:colOff>
                    <xdr:row>11</xdr:row>
                    <xdr:rowOff>502920</xdr:rowOff>
                  </to>
                </anchor>
              </controlPr>
            </control>
          </mc:Choice>
        </mc:AlternateContent>
        <mc:AlternateContent xmlns:mc="http://schemas.openxmlformats.org/markup-compatibility/2006">
          <mc:Choice Requires="x14">
            <control shapeId="156682"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156683"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156699" r:id="rId13" name="Option Button 27">
              <controlPr defaultSize="0" autoFill="0" autoLine="0" autoPict="0" altText="Case d'option 47">
                <anchor moveWithCells="1">
                  <from>
                    <xdr:col>7</xdr:col>
                    <xdr:colOff>114300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156700" r:id="rId14" name="Option Button 28">
              <controlPr defaultSize="0" autoFill="0" autoLine="0" autoPict="0">
                <anchor moveWithCells="1">
                  <from>
                    <xdr:col>7</xdr:col>
                    <xdr:colOff>114300</xdr:colOff>
                    <xdr:row>14</xdr:row>
                    <xdr:rowOff>304800</xdr:rowOff>
                  </from>
                  <to>
                    <xdr:col>7</xdr:col>
                    <xdr:colOff>1958340</xdr:colOff>
                    <xdr:row>14</xdr:row>
                    <xdr:rowOff>502920</xdr:rowOff>
                  </to>
                </anchor>
              </controlPr>
            </control>
          </mc:Choice>
        </mc:AlternateContent>
        <mc:AlternateContent xmlns:mc="http://schemas.openxmlformats.org/markup-compatibility/2006">
          <mc:Choice Requires="x14">
            <control shapeId="156701" r:id="rId15" name="Option Button 29">
              <controlPr defaultSize="0" autoFill="0" autoLine="0" autoPict="0">
                <anchor moveWithCells="1">
                  <from>
                    <xdr:col>7</xdr:col>
                    <xdr:colOff>114300</xdr:colOff>
                    <xdr:row>14</xdr:row>
                    <xdr:rowOff>579120</xdr:rowOff>
                  </from>
                  <to>
                    <xdr:col>7</xdr:col>
                    <xdr:colOff>1965960</xdr:colOff>
                    <xdr:row>14</xdr:row>
                    <xdr:rowOff>754380</xdr:rowOff>
                  </to>
                </anchor>
              </controlPr>
            </control>
          </mc:Choice>
        </mc:AlternateContent>
        <mc:AlternateContent xmlns:mc="http://schemas.openxmlformats.org/markup-compatibility/2006">
          <mc:Choice Requires="x14">
            <control shapeId="156702" r:id="rId16" name="Option Button 30">
              <controlPr defaultSize="0" autoFill="0" autoLine="0" autoPict="0">
                <anchor moveWithCells="1">
                  <from>
                    <xdr:col>7</xdr:col>
                    <xdr:colOff>114300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156703" r:id="rId17"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6704" r:id="rId18"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156705" r:id="rId19" name="Option Button 33">
              <controlPr defaultSize="0" autoFill="0" autoLine="0" autoPict="0">
                <anchor moveWithCells="1">
                  <from>
                    <xdr:col>7</xdr:col>
                    <xdr:colOff>106680</xdr:colOff>
                    <xdr:row>13</xdr:row>
                    <xdr:rowOff>304800</xdr:rowOff>
                  </from>
                  <to>
                    <xdr:col>7</xdr:col>
                    <xdr:colOff>1950720</xdr:colOff>
                    <xdr:row>13</xdr:row>
                    <xdr:rowOff>502920</xdr:rowOff>
                  </to>
                </anchor>
              </controlPr>
            </control>
          </mc:Choice>
        </mc:AlternateContent>
        <mc:AlternateContent xmlns:mc="http://schemas.openxmlformats.org/markup-compatibility/2006">
          <mc:Choice Requires="x14">
            <control shapeId="156706" r:id="rId20" name="Option Button 34">
              <controlPr defaultSize="0" autoFill="0" autoLine="0" autoPict="0">
                <anchor moveWithCells="1">
                  <from>
                    <xdr:col>7</xdr:col>
                    <xdr:colOff>106680</xdr:colOff>
                    <xdr:row>13</xdr:row>
                    <xdr:rowOff>579120</xdr:rowOff>
                  </from>
                  <to>
                    <xdr:col>7</xdr:col>
                    <xdr:colOff>1958340</xdr:colOff>
                    <xdr:row>13</xdr:row>
                    <xdr:rowOff>754380</xdr:rowOff>
                  </to>
                </anchor>
              </controlPr>
            </control>
          </mc:Choice>
        </mc:AlternateContent>
        <mc:AlternateContent xmlns:mc="http://schemas.openxmlformats.org/markup-compatibility/2006">
          <mc:Choice Requires="x14">
            <control shapeId="156707" r:id="rId21"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56708" r:id="rId22"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6709" r:id="rId23"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56710" r:id="rId24"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56711" r:id="rId25"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56712" r:id="rId26"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56713" r:id="rId27"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6720" r:id="rId28"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156721" r:id="rId29"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156722" r:id="rId30"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156723" r:id="rId31"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156724" r:id="rId32"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56725" r:id="rId33" name="Option Button 53">
              <controlPr defaultSize="0" autoFill="0" autoLine="0" autoPict="0">
                <anchor moveWithCells="1">
                  <from>
                    <xdr:col>7</xdr:col>
                    <xdr:colOff>114300</xdr:colOff>
                    <xdr:row>31</xdr:row>
                    <xdr:rowOff>144780</xdr:rowOff>
                  </from>
                  <to>
                    <xdr:col>7</xdr:col>
                    <xdr:colOff>1950720</xdr:colOff>
                    <xdr:row>31</xdr:row>
                    <xdr:rowOff>320040</xdr:rowOff>
                  </to>
                </anchor>
              </controlPr>
            </control>
          </mc:Choice>
        </mc:AlternateContent>
        <mc:AlternateContent xmlns:mc="http://schemas.openxmlformats.org/markup-compatibility/2006">
          <mc:Choice Requires="x14">
            <control shapeId="156726" r:id="rId34" name="Option Button 54">
              <controlPr defaultSize="0" autoFill="0" autoLine="0" autoPict="0">
                <anchor moveWithCells="1">
                  <from>
                    <xdr:col>7</xdr:col>
                    <xdr:colOff>114300</xdr:colOff>
                    <xdr:row>31</xdr:row>
                    <xdr:rowOff>396240</xdr:rowOff>
                  </from>
                  <to>
                    <xdr:col>7</xdr:col>
                    <xdr:colOff>1950720</xdr:colOff>
                    <xdr:row>31</xdr:row>
                    <xdr:rowOff>586740</xdr:rowOff>
                  </to>
                </anchor>
              </controlPr>
            </control>
          </mc:Choice>
        </mc:AlternateContent>
        <mc:AlternateContent xmlns:mc="http://schemas.openxmlformats.org/markup-compatibility/2006">
          <mc:Choice Requires="x14">
            <control shapeId="156727" r:id="rId35" name="Option Button 55">
              <controlPr defaultSize="0" autoFill="0" autoLine="0" autoPict="0">
                <anchor moveWithCells="1">
                  <from>
                    <xdr:col>7</xdr:col>
                    <xdr:colOff>114300</xdr:colOff>
                    <xdr:row>31</xdr:row>
                    <xdr:rowOff>640080</xdr:rowOff>
                  </from>
                  <to>
                    <xdr:col>7</xdr:col>
                    <xdr:colOff>1950720</xdr:colOff>
                    <xdr:row>31</xdr:row>
                    <xdr:rowOff>830580</xdr:rowOff>
                  </to>
                </anchor>
              </controlPr>
            </control>
          </mc:Choice>
        </mc:AlternateContent>
        <mc:AlternateContent xmlns:mc="http://schemas.openxmlformats.org/markup-compatibility/2006">
          <mc:Choice Requires="x14">
            <control shapeId="156728" r:id="rId36" name="Option Button 56">
              <controlPr defaultSize="0" autoFill="0" autoLine="0" autoPict="0">
                <anchor moveWithCells="1">
                  <from>
                    <xdr:col>7</xdr:col>
                    <xdr:colOff>114300</xdr:colOff>
                    <xdr:row>31</xdr:row>
                    <xdr:rowOff>922020</xdr:rowOff>
                  </from>
                  <to>
                    <xdr:col>7</xdr:col>
                    <xdr:colOff>1950720</xdr:colOff>
                    <xdr:row>31</xdr:row>
                    <xdr:rowOff>1112520</xdr:rowOff>
                  </to>
                </anchor>
              </controlPr>
            </control>
          </mc:Choice>
        </mc:AlternateContent>
        <mc:AlternateContent xmlns:mc="http://schemas.openxmlformats.org/markup-compatibility/2006">
          <mc:Choice Requires="x14">
            <control shapeId="156729" r:id="rId37"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56730" r:id="rId38"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156731" r:id="rId39" name="Option Button 59">
              <controlPr defaultSize="0" autoFill="0" autoLine="0" autoPict="0">
                <anchor moveWithCells="1">
                  <from>
                    <xdr:col>7</xdr:col>
                    <xdr:colOff>106680</xdr:colOff>
                    <xdr:row>30</xdr:row>
                    <xdr:rowOff>304800</xdr:rowOff>
                  </from>
                  <to>
                    <xdr:col>7</xdr:col>
                    <xdr:colOff>1950720</xdr:colOff>
                    <xdr:row>30</xdr:row>
                    <xdr:rowOff>502920</xdr:rowOff>
                  </to>
                </anchor>
              </controlPr>
            </control>
          </mc:Choice>
        </mc:AlternateContent>
        <mc:AlternateContent xmlns:mc="http://schemas.openxmlformats.org/markup-compatibility/2006">
          <mc:Choice Requires="x14">
            <control shapeId="156732" r:id="rId40" name="Option Button 60">
              <controlPr defaultSize="0" autoFill="0" autoLine="0" autoPict="0">
                <anchor moveWithCells="1">
                  <from>
                    <xdr:col>7</xdr:col>
                    <xdr:colOff>106680</xdr:colOff>
                    <xdr:row>30</xdr:row>
                    <xdr:rowOff>579120</xdr:rowOff>
                  </from>
                  <to>
                    <xdr:col>7</xdr:col>
                    <xdr:colOff>1958340</xdr:colOff>
                    <xdr:row>30</xdr:row>
                    <xdr:rowOff>754380</xdr:rowOff>
                  </to>
                </anchor>
              </controlPr>
            </control>
          </mc:Choice>
        </mc:AlternateContent>
        <mc:AlternateContent xmlns:mc="http://schemas.openxmlformats.org/markup-compatibility/2006">
          <mc:Choice Requires="x14">
            <control shapeId="156733" r:id="rId41" name="Option Button 61">
              <controlPr defaultSize="0" autoFill="0" autoLine="0" autoPict="0">
                <anchor moveWithCells="1">
                  <from>
                    <xdr:col>7</xdr:col>
                    <xdr:colOff>106680</xdr:colOff>
                    <xdr:row>30</xdr:row>
                    <xdr:rowOff>822960</xdr:rowOff>
                  </from>
                  <to>
                    <xdr:col>7</xdr:col>
                    <xdr:colOff>937260</xdr:colOff>
                    <xdr:row>30</xdr:row>
                    <xdr:rowOff>1005840</xdr:rowOff>
                  </to>
                </anchor>
              </controlPr>
            </control>
          </mc:Choice>
        </mc:AlternateContent>
        <mc:AlternateContent xmlns:mc="http://schemas.openxmlformats.org/markup-compatibility/2006">
          <mc:Choice Requires="x14">
            <control shapeId="156734" r:id="rId42" name="Group Box 62">
              <controlPr defaultSize="0" autoFill="0" autoPict="0">
                <anchor moveWithCells="1">
                  <from>
                    <xdr:col>7</xdr:col>
                    <xdr:colOff>0</xdr:colOff>
                    <xdr:row>30</xdr:row>
                    <xdr:rowOff>0</xdr:rowOff>
                  </from>
                  <to>
                    <xdr:col>7</xdr:col>
                    <xdr:colOff>1958340</xdr:colOff>
                    <xdr:row>31</xdr:row>
                    <xdr:rowOff>0</xdr:rowOff>
                  </to>
                </anchor>
              </controlPr>
            </control>
          </mc:Choice>
        </mc:AlternateContent>
        <mc:AlternateContent xmlns:mc="http://schemas.openxmlformats.org/markup-compatibility/2006">
          <mc:Choice Requires="x14">
            <control shapeId="156735" r:id="rId43"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56736" r:id="rId44"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56737" r:id="rId45"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56738" r:id="rId46"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56739" r:id="rId47"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6740" r:id="rId48"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156741" r:id="rId49"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56742" r:id="rId50"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156743" r:id="rId51"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56744" r:id="rId52"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56745" r:id="rId53" name="Option Button 73">
              <controlPr defaultSize="0" autoFill="0" autoLine="0" autoPict="0">
                <anchor moveWithCells="1">
                  <from>
                    <xdr:col>7</xdr:col>
                    <xdr:colOff>114300</xdr:colOff>
                    <xdr:row>44</xdr:row>
                    <xdr:rowOff>144780</xdr:rowOff>
                  </from>
                  <to>
                    <xdr:col>7</xdr:col>
                    <xdr:colOff>1950720</xdr:colOff>
                    <xdr:row>44</xdr:row>
                    <xdr:rowOff>320040</xdr:rowOff>
                  </to>
                </anchor>
              </controlPr>
            </control>
          </mc:Choice>
        </mc:AlternateContent>
        <mc:AlternateContent xmlns:mc="http://schemas.openxmlformats.org/markup-compatibility/2006">
          <mc:Choice Requires="x14">
            <control shapeId="156746" r:id="rId54" name="Option Button 74">
              <controlPr defaultSize="0" autoFill="0" autoLine="0" autoPict="0">
                <anchor moveWithCells="1">
                  <from>
                    <xdr:col>7</xdr:col>
                    <xdr:colOff>114300</xdr:colOff>
                    <xdr:row>44</xdr:row>
                    <xdr:rowOff>396240</xdr:rowOff>
                  </from>
                  <to>
                    <xdr:col>7</xdr:col>
                    <xdr:colOff>1950720</xdr:colOff>
                    <xdr:row>44</xdr:row>
                    <xdr:rowOff>586740</xdr:rowOff>
                  </to>
                </anchor>
              </controlPr>
            </control>
          </mc:Choice>
        </mc:AlternateContent>
        <mc:AlternateContent xmlns:mc="http://schemas.openxmlformats.org/markup-compatibility/2006">
          <mc:Choice Requires="x14">
            <control shapeId="156747" r:id="rId55" name="Option Button 75">
              <controlPr defaultSize="0" autoFill="0" autoLine="0" autoPict="0">
                <anchor moveWithCells="1">
                  <from>
                    <xdr:col>7</xdr:col>
                    <xdr:colOff>114300</xdr:colOff>
                    <xdr:row>44</xdr:row>
                    <xdr:rowOff>640080</xdr:rowOff>
                  </from>
                  <to>
                    <xdr:col>7</xdr:col>
                    <xdr:colOff>1950720</xdr:colOff>
                    <xdr:row>44</xdr:row>
                    <xdr:rowOff>830580</xdr:rowOff>
                  </to>
                </anchor>
              </controlPr>
            </control>
          </mc:Choice>
        </mc:AlternateContent>
        <mc:AlternateContent xmlns:mc="http://schemas.openxmlformats.org/markup-compatibility/2006">
          <mc:Choice Requires="x14">
            <control shapeId="156748" r:id="rId56" name="Option Button 76">
              <controlPr defaultSize="0" autoFill="0" autoLine="0" autoPict="0">
                <anchor moveWithCells="1">
                  <from>
                    <xdr:col>7</xdr:col>
                    <xdr:colOff>114300</xdr:colOff>
                    <xdr:row>44</xdr:row>
                    <xdr:rowOff>922020</xdr:rowOff>
                  </from>
                  <to>
                    <xdr:col>7</xdr:col>
                    <xdr:colOff>1950720</xdr:colOff>
                    <xdr:row>44</xdr:row>
                    <xdr:rowOff>1112520</xdr:rowOff>
                  </to>
                </anchor>
              </controlPr>
            </control>
          </mc:Choice>
        </mc:AlternateContent>
        <mc:AlternateContent xmlns:mc="http://schemas.openxmlformats.org/markup-compatibility/2006">
          <mc:Choice Requires="x14">
            <control shapeId="156749" r:id="rId57"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56760" r:id="rId58"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56761" r:id="rId59"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56762" r:id="rId60"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56763" r:id="rId61"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56764" r:id="rId62"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56765" r:id="rId63"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56766" r:id="rId64"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56767" r:id="rId65"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56768" r:id="rId66"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56769" r:id="rId67"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56771" r:id="rId68" name="Option Button 99">
              <controlPr defaultSize="0" autoFill="0" autoLine="0" autoPict="0">
                <anchor moveWithCells="1">
                  <from>
                    <xdr:col>7</xdr:col>
                    <xdr:colOff>114300</xdr:colOff>
                    <xdr:row>63</xdr:row>
                    <xdr:rowOff>144780</xdr:rowOff>
                  </from>
                  <to>
                    <xdr:col>7</xdr:col>
                    <xdr:colOff>1950720</xdr:colOff>
                    <xdr:row>63</xdr:row>
                    <xdr:rowOff>320040</xdr:rowOff>
                  </to>
                </anchor>
              </controlPr>
            </control>
          </mc:Choice>
        </mc:AlternateContent>
        <mc:AlternateContent xmlns:mc="http://schemas.openxmlformats.org/markup-compatibility/2006">
          <mc:Choice Requires="x14">
            <control shapeId="156772" r:id="rId69" name="Option Button 100">
              <controlPr defaultSize="0" autoFill="0" autoLine="0" autoPict="0">
                <anchor moveWithCells="1">
                  <from>
                    <xdr:col>7</xdr:col>
                    <xdr:colOff>114300</xdr:colOff>
                    <xdr:row>63</xdr:row>
                    <xdr:rowOff>396240</xdr:rowOff>
                  </from>
                  <to>
                    <xdr:col>7</xdr:col>
                    <xdr:colOff>1950720</xdr:colOff>
                    <xdr:row>63</xdr:row>
                    <xdr:rowOff>586740</xdr:rowOff>
                  </to>
                </anchor>
              </controlPr>
            </control>
          </mc:Choice>
        </mc:AlternateContent>
        <mc:AlternateContent xmlns:mc="http://schemas.openxmlformats.org/markup-compatibility/2006">
          <mc:Choice Requires="x14">
            <control shapeId="156773" r:id="rId70" name="Option Button 101">
              <controlPr defaultSize="0" autoFill="0" autoLine="0" autoPict="0">
                <anchor moveWithCells="1">
                  <from>
                    <xdr:col>7</xdr:col>
                    <xdr:colOff>114300</xdr:colOff>
                    <xdr:row>63</xdr:row>
                    <xdr:rowOff>640080</xdr:rowOff>
                  </from>
                  <to>
                    <xdr:col>7</xdr:col>
                    <xdr:colOff>1950720</xdr:colOff>
                    <xdr:row>63</xdr:row>
                    <xdr:rowOff>830580</xdr:rowOff>
                  </to>
                </anchor>
              </controlPr>
            </control>
          </mc:Choice>
        </mc:AlternateContent>
        <mc:AlternateContent xmlns:mc="http://schemas.openxmlformats.org/markup-compatibility/2006">
          <mc:Choice Requires="x14">
            <control shapeId="156774" r:id="rId71" name="Option Button 102">
              <controlPr defaultSize="0" autoFill="0" autoLine="0" autoPict="0">
                <anchor moveWithCells="1">
                  <from>
                    <xdr:col>7</xdr:col>
                    <xdr:colOff>114300</xdr:colOff>
                    <xdr:row>63</xdr:row>
                    <xdr:rowOff>922020</xdr:rowOff>
                  </from>
                  <to>
                    <xdr:col>7</xdr:col>
                    <xdr:colOff>1950720</xdr:colOff>
                    <xdr:row>63</xdr:row>
                    <xdr:rowOff>1112520</xdr:rowOff>
                  </to>
                </anchor>
              </controlPr>
            </control>
          </mc:Choice>
        </mc:AlternateContent>
        <mc:AlternateContent xmlns:mc="http://schemas.openxmlformats.org/markup-compatibility/2006">
          <mc:Choice Requires="x14">
            <control shapeId="156775" r:id="rId72"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56776" r:id="rId73"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156777" r:id="rId74"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56778" r:id="rId75"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156779" r:id="rId76"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56780" r:id="rId77"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56781" r:id="rId78"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156782" r:id="rId79"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56783" r:id="rId80"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156784" r:id="rId81"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56785" r:id="rId82"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56791" r:id="rId83"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156792" r:id="rId84"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156793" r:id="rId85"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156794" r:id="rId86"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156795" r:id="rId87"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56796" r:id="rId88"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156797" r:id="rId89"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156798" r:id="rId90"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156799" r:id="rId91"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156800" r:id="rId92"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56806" r:id="rId93" name="Option Button 134">
              <controlPr defaultSize="0" autoFill="0" autoLine="0" autoPict="0" altText="Case d'option 47">
                <anchor moveWithCells="1">
                  <from>
                    <xdr:col>7</xdr:col>
                    <xdr:colOff>106680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156807" r:id="rId94"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156808" r:id="rId95" name="Option Button 136">
              <controlPr defaultSize="0" autoFill="0" autoLine="0" autoPict="0">
                <anchor moveWithCells="1">
                  <from>
                    <xdr:col>7</xdr:col>
                    <xdr:colOff>106680</xdr:colOff>
                    <xdr:row>80</xdr:row>
                    <xdr:rowOff>579120</xdr:rowOff>
                  </from>
                  <to>
                    <xdr:col>7</xdr:col>
                    <xdr:colOff>1958340</xdr:colOff>
                    <xdr:row>80</xdr:row>
                    <xdr:rowOff>754380</xdr:rowOff>
                  </to>
                </anchor>
              </controlPr>
            </control>
          </mc:Choice>
        </mc:AlternateContent>
        <mc:AlternateContent xmlns:mc="http://schemas.openxmlformats.org/markup-compatibility/2006">
          <mc:Choice Requires="x14">
            <control shapeId="156809" r:id="rId96"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156810" r:id="rId97"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156811" r:id="rId98"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156812" r:id="rId99"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156813" r:id="rId100"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156814" r:id="rId101"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156815" r:id="rId102"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56816" r:id="rId103"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11" r:id="rId104" name="Option Button 145">
              <controlPr defaultSize="0" autoFill="0" autoLine="0" autoPict="0">
                <anchor moveWithCells="1">
                  <from>
                    <xdr:col>7</xdr:col>
                    <xdr:colOff>114300</xdr:colOff>
                    <xdr:row>27</xdr:row>
                    <xdr:rowOff>236220</xdr:rowOff>
                  </from>
                  <to>
                    <xdr:col>7</xdr:col>
                    <xdr:colOff>1950720</xdr:colOff>
                    <xdr:row>27</xdr:row>
                    <xdr:rowOff>518160</xdr:rowOff>
                  </to>
                </anchor>
              </controlPr>
            </control>
          </mc:Choice>
        </mc:AlternateContent>
        <mc:AlternateContent xmlns:mc="http://schemas.openxmlformats.org/markup-compatibility/2006">
          <mc:Choice Requires="x14">
            <control shapeId="12" r:id="rId105" name="Option Button 146">
              <controlPr defaultSize="0" autoFill="0" autoLine="0" autoPict="0">
                <anchor moveWithCells="1">
                  <from>
                    <xdr:col>7</xdr:col>
                    <xdr:colOff>114300</xdr:colOff>
                    <xdr:row>27</xdr:row>
                    <xdr:rowOff>480060</xdr:rowOff>
                  </from>
                  <to>
                    <xdr:col>7</xdr:col>
                    <xdr:colOff>1950720</xdr:colOff>
                    <xdr:row>27</xdr:row>
                    <xdr:rowOff>784860</xdr:rowOff>
                  </to>
                </anchor>
              </controlPr>
            </control>
          </mc:Choice>
        </mc:AlternateContent>
        <mc:AlternateContent xmlns:mc="http://schemas.openxmlformats.org/markup-compatibility/2006">
          <mc:Choice Requires="x14">
            <control shapeId="156819" r:id="rId106" name="Option Button 147">
              <controlPr defaultSize="0" autoFill="0" autoLine="0" autoPict="0">
                <anchor moveWithCells="1">
                  <from>
                    <xdr:col>7</xdr:col>
                    <xdr:colOff>114300</xdr:colOff>
                    <xdr:row>27</xdr:row>
                    <xdr:rowOff>739140</xdr:rowOff>
                  </from>
                  <to>
                    <xdr:col>7</xdr:col>
                    <xdr:colOff>1950720</xdr:colOff>
                    <xdr:row>27</xdr:row>
                    <xdr:rowOff>1051560</xdr:rowOff>
                  </to>
                </anchor>
              </controlPr>
            </control>
          </mc:Choice>
        </mc:AlternateContent>
        <mc:AlternateContent xmlns:mc="http://schemas.openxmlformats.org/markup-compatibility/2006">
          <mc:Choice Requires="x14">
            <control shapeId="156820" r:id="rId107" name="Option Button 148">
              <controlPr defaultSize="0" autoFill="0" autoLine="0" autoPict="0">
                <anchor moveWithCells="1">
                  <from>
                    <xdr:col>7</xdr:col>
                    <xdr:colOff>114300</xdr:colOff>
                    <xdr:row>27</xdr:row>
                    <xdr:rowOff>1005840</xdr:rowOff>
                  </from>
                  <to>
                    <xdr:col>7</xdr:col>
                    <xdr:colOff>1950720</xdr:colOff>
                    <xdr:row>27</xdr:row>
                    <xdr:rowOff>1318260</xdr:rowOff>
                  </to>
                </anchor>
              </controlPr>
            </control>
          </mc:Choice>
        </mc:AlternateContent>
        <mc:AlternateContent xmlns:mc="http://schemas.openxmlformats.org/markup-compatibility/2006">
          <mc:Choice Requires="x14">
            <control shapeId="156821" r:id="rId108"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3" r:id="rId109" name="Option Button 175">
              <controlPr defaultSize="0" autoFill="0" autoLine="0" autoPict="0">
                <anchor moveWithCells="1">
                  <from>
                    <xdr:col>7</xdr:col>
                    <xdr:colOff>114300</xdr:colOff>
                    <xdr:row>94</xdr:row>
                    <xdr:rowOff>144780</xdr:rowOff>
                  </from>
                  <to>
                    <xdr:col>7</xdr:col>
                    <xdr:colOff>1950720</xdr:colOff>
                    <xdr:row>94</xdr:row>
                    <xdr:rowOff>320040</xdr:rowOff>
                  </to>
                </anchor>
              </controlPr>
            </control>
          </mc:Choice>
        </mc:AlternateContent>
        <mc:AlternateContent xmlns:mc="http://schemas.openxmlformats.org/markup-compatibility/2006">
          <mc:Choice Requires="x14">
            <control shapeId="24" r:id="rId110" name="Option Button 176">
              <controlPr defaultSize="0" autoFill="0" autoLine="0" autoPict="0">
                <anchor moveWithCells="1">
                  <from>
                    <xdr:col>7</xdr:col>
                    <xdr:colOff>114300</xdr:colOff>
                    <xdr:row>94</xdr:row>
                    <xdr:rowOff>396240</xdr:rowOff>
                  </from>
                  <to>
                    <xdr:col>7</xdr:col>
                    <xdr:colOff>1950720</xdr:colOff>
                    <xdr:row>94</xdr:row>
                    <xdr:rowOff>586740</xdr:rowOff>
                  </to>
                </anchor>
              </controlPr>
            </control>
          </mc:Choice>
        </mc:AlternateContent>
        <mc:AlternateContent xmlns:mc="http://schemas.openxmlformats.org/markup-compatibility/2006">
          <mc:Choice Requires="x14">
            <control shapeId="156849" r:id="rId111" name="Option Button 177">
              <controlPr defaultSize="0" autoFill="0" autoLine="0" autoPict="0">
                <anchor moveWithCells="1">
                  <from>
                    <xdr:col>7</xdr:col>
                    <xdr:colOff>114300</xdr:colOff>
                    <xdr:row>94</xdr:row>
                    <xdr:rowOff>640080</xdr:rowOff>
                  </from>
                  <to>
                    <xdr:col>7</xdr:col>
                    <xdr:colOff>1950720</xdr:colOff>
                    <xdr:row>94</xdr:row>
                    <xdr:rowOff>830580</xdr:rowOff>
                  </to>
                </anchor>
              </controlPr>
            </control>
          </mc:Choice>
        </mc:AlternateContent>
        <mc:AlternateContent xmlns:mc="http://schemas.openxmlformats.org/markup-compatibility/2006">
          <mc:Choice Requires="x14">
            <control shapeId="156850" r:id="rId112" name="Option Button 178">
              <controlPr defaultSize="0" autoFill="0" autoLine="0" autoPict="0">
                <anchor moveWithCells="1">
                  <from>
                    <xdr:col>7</xdr:col>
                    <xdr:colOff>114300</xdr:colOff>
                    <xdr:row>94</xdr:row>
                    <xdr:rowOff>922020</xdr:rowOff>
                  </from>
                  <to>
                    <xdr:col>7</xdr:col>
                    <xdr:colOff>1950720</xdr:colOff>
                    <xdr:row>94</xdr:row>
                    <xdr:rowOff>1112520</xdr:rowOff>
                  </to>
                </anchor>
              </controlPr>
            </control>
          </mc:Choice>
        </mc:AlternateContent>
        <mc:AlternateContent xmlns:mc="http://schemas.openxmlformats.org/markup-compatibility/2006">
          <mc:Choice Requires="x14">
            <control shapeId="156851" r:id="rId113"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156852" r:id="rId114"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156853" r:id="rId115" name="Option Button 181">
              <controlPr defaultSize="0" autoFill="0" autoLine="0" autoPict="0">
                <anchor moveWithCells="1">
                  <from>
                    <xdr:col>7</xdr:col>
                    <xdr:colOff>106680</xdr:colOff>
                    <xdr:row>93</xdr:row>
                    <xdr:rowOff>304800</xdr:rowOff>
                  </from>
                  <to>
                    <xdr:col>7</xdr:col>
                    <xdr:colOff>1950720</xdr:colOff>
                    <xdr:row>93</xdr:row>
                    <xdr:rowOff>502920</xdr:rowOff>
                  </to>
                </anchor>
              </controlPr>
            </control>
          </mc:Choice>
        </mc:AlternateContent>
        <mc:AlternateContent xmlns:mc="http://schemas.openxmlformats.org/markup-compatibility/2006">
          <mc:Choice Requires="x14">
            <control shapeId="156854" r:id="rId116"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156855" r:id="rId117"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156856" r:id="rId118"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156857" r:id="rId119" name="Option Button 185">
              <controlPr defaultSize="0" autoFill="0" autoLine="0" autoPict="0">
                <anchor moveWithCells="1">
                  <from>
                    <xdr:col>7</xdr:col>
                    <xdr:colOff>114300</xdr:colOff>
                    <xdr:row>97</xdr:row>
                    <xdr:rowOff>144780</xdr:rowOff>
                  </from>
                  <to>
                    <xdr:col>7</xdr:col>
                    <xdr:colOff>1950720</xdr:colOff>
                    <xdr:row>97</xdr:row>
                    <xdr:rowOff>320040</xdr:rowOff>
                  </to>
                </anchor>
              </controlPr>
            </control>
          </mc:Choice>
        </mc:AlternateContent>
        <mc:AlternateContent xmlns:mc="http://schemas.openxmlformats.org/markup-compatibility/2006">
          <mc:Choice Requires="x14">
            <control shapeId="156858" r:id="rId120" name="Option Button 186">
              <controlPr defaultSize="0" autoFill="0" autoLine="0" autoPict="0">
                <anchor moveWithCells="1">
                  <from>
                    <xdr:col>7</xdr:col>
                    <xdr:colOff>114300</xdr:colOff>
                    <xdr:row>97</xdr:row>
                    <xdr:rowOff>396240</xdr:rowOff>
                  </from>
                  <to>
                    <xdr:col>7</xdr:col>
                    <xdr:colOff>1950720</xdr:colOff>
                    <xdr:row>97</xdr:row>
                    <xdr:rowOff>586740</xdr:rowOff>
                  </to>
                </anchor>
              </controlPr>
            </control>
          </mc:Choice>
        </mc:AlternateContent>
        <mc:AlternateContent xmlns:mc="http://schemas.openxmlformats.org/markup-compatibility/2006">
          <mc:Choice Requires="x14">
            <control shapeId="156859" r:id="rId121" name="Option Button 187">
              <controlPr defaultSize="0" autoFill="0" autoLine="0" autoPict="0">
                <anchor moveWithCells="1">
                  <from>
                    <xdr:col>7</xdr:col>
                    <xdr:colOff>114300</xdr:colOff>
                    <xdr:row>97</xdr:row>
                    <xdr:rowOff>640080</xdr:rowOff>
                  </from>
                  <to>
                    <xdr:col>7</xdr:col>
                    <xdr:colOff>1950720</xdr:colOff>
                    <xdr:row>97</xdr:row>
                    <xdr:rowOff>830580</xdr:rowOff>
                  </to>
                </anchor>
              </controlPr>
            </control>
          </mc:Choice>
        </mc:AlternateContent>
        <mc:AlternateContent xmlns:mc="http://schemas.openxmlformats.org/markup-compatibility/2006">
          <mc:Choice Requires="x14">
            <control shapeId="156860" r:id="rId122" name="Option Button 188">
              <controlPr defaultSize="0" autoFill="0" autoLine="0" autoPict="0">
                <anchor moveWithCells="1">
                  <from>
                    <xdr:col>7</xdr:col>
                    <xdr:colOff>114300</xdr:colOff>
                    <xdr:row>97</xdr:row>
                    <xdr:rowOff>922020</xdr:rowOff>
                  </from>
                  <to>
                    <xdr:col>7</xdr:col>
                    <xdr:colOff>1950720</xdr:colOff>
                    <xdr:row>97</xdr:row>
                    <xdr:rowOff>1112520</xdr:rowOff>
                  </to>
                </anchor>
              </controlPr>
            </control>
          </mc:Choice>
        </mc:AlternateContent>
        <mc:AlternateContent xmlns:mc="http://schemas.openxmlformats.org/markup-compatibility/2006">
          <mc:Choice Requires="x14">
            <control shapeId="36" r:id="rId123" name="Group Box 189">
              <controlPr defaultSize="0" autoFill="0" autoPict="0">
                <anchor moveWithCells="1">
                  <from>
                    <xdr:col>7</xdr:col>
                    <xdr:colOff>0</xdr:colOff>
                    <xdr:row>97</xdr:row>
                    <xdr:rowOff>0</xdr:rowOff>
                  </from>
                  <to>
                    <xdr:col>8</xdr:col>
                    <xdr:colOff>0</xdr:colOff>
                    <xdr:row>98</xdr:row>
                    <xdr:rowOff>0</xdr:rowOff>
                  </to>
                </anchor>
              </controlPr>
            </control>
          </mc:Choice>
        </mc:AlternateContent>
        <mc:AlternateContent xmlns:mc="http://schemas.openxmlformats.org/markup-compatibility/2006">
          <mc:Choice Requires="x14">
            <control shapeId="37" r:id="rId124" name="Option Button 190">
              <controlPr defaultSize="0" autoFill="0" autoLine="0" autoPict="0" altText="Case d'option 47">
                <anchor moveWithCells="1">
                  <from>
                    <xdr:col>7</xdr:col>
                    <xdr:colOff>106680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49" r:id="rId125" name="Option Button 191">
              <controlPr defaultSize="0" autoFill="0" autoLine="0" autoPict="0">
                <anchor moveWithCells="1">
                  <from>
                    <xdr:col>7</xdr:col>
                    <xdr:colOff>106680</xdr:colOff>
                    <xdr:row>96</xdr:row>
                    <xdr:rowOff>304800</xdr:rowOff>
                  </from>
                  <to>
                    <xdr:col>7</xdr:col>
                    <xdr:colOff>1950720</xdr:colOff>
                    <xdr:row>96</xdr:row>
                    <xdr:rowOff>502920</xdr:rowOff>
                  </to>
                </anchor>
              </controlPr>
            </control>
          </mc:Choice>
        </mc:AlternateContent>
        <mc:AlternateContent xmlns:mc="http://schemas.openxmlformats.org/markup-compatibility/2006">
          <mc:Choice Requires="x14">
            <control shapeId="156864" r:id="rId126" name="Option Button 192">
              <controlPr defaultSize="0" autoFill="0" autoLine="0" autoPict="0">
                <anchor moveWithCells="1">
                  <from>
                    <xdr:col>7</xdr:col>
                    <xdr:colOff>106680</xdr:colOff>
                    <xdr:row>96</xdr:row>
                    <xdr:rowOff>579120</xdr:rowOff>
                  </from>
                  <to>
                    <xdr:col>7</xdr:col>
                    <xdr:colOff>1958340</xdr:colOff>
                    <xdr:row>96</xdr:row>
                    <xdr:rowOff>754380</xdr:rowOff>
                  </to>
                </anchor>
              </controlPr>
            </control>
          </mc:Choice>
        </mc:AlternateContent>
        <mc:AlternateContent xmlns:mc="http://schemas.openxmlformats.org/markup-compatibility/2006">
          <mc:Choice Requires="x14">
            <control shapeId="156865" r:id="rId127" name="Option Button 193">
              <controlPr defaultSize="0" autoFill="0" autoLine="0" autoPict="0">
                <anchor moveWithCells="1">
                  <from>
                    <xdr:col>7</xdr:col>
                    <xdr:colOff>106680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156866" r:id="rId128"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156867" r:id="rId129"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57" r:id="rId130" name="Option Button 196">
              <controlPr defaultSize="0" autoFill="0" autoLine="0" autoPict="0">
                <anchor moveWithCells="1">
                  <from>
                    <xdr:col>7</xdr:col>
                    <xdr:colOff>106680</xdr:colOff>
                    <xdr:row>95</xdr:row>
                    <xdr:rowOff>304800</xdr:rowOff>
                  </from>
                  <to>
                    <xdr:col>7</xdr:col>
                    <xdr:colOff>1950720</xdr:colOff>
                    <xdr:row>95</xdr:row>
                    <xdr:rowOff>502920</xdr:rowOff>
                  </to>
                </anchor>
              </controlPr>
            </control>
          </mc:Choice>
        </mc:AlternateContent>
        <mc:AlternateContent xmlns:mc="http://schemas.openxmlformats.org/markup-compatibility/2006">
          <mc:Choice Requires="x14">
            <control shapeId="156869" r:id="rId131"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156870" r:id="rId132"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156871" r:id="rId133"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1A33C-8A5D-49E9-B5BE-AA9B6A64BD4E}">
  <sheetPr codeName="Feuil27">
    <tabColor rgb="FF1C3D79"/>
  </sheetPr>
  <dimension ref="A1:AI64"/>
  <sheetViews>
    <sheetView showGridLines="0" showRowColHeaders="0" zoomScale="52" zoomScaleNormal="52" workbookViewId="0">
      <selection activeCell="AX8" sqref="AX8"/>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307"/>
      <c r="B1" s="299" t="s">
        <v>564</v>
      </c>
      <c r="C1" s="307"/>
      <c r="D1" s="307"/>
      <c r="E1" s="300"/>
      <c r="F1" s="300"/>
      <c r="G1" s="300"/>
      <c r="H1" s="300"/>
      <c r="I1" s="300"/>
      <c r="J1" s="308"/>
      <c r="K1" s="309"/>
      <c r="L1" s="300"/>
      <c r="M1" s="300"/>
      <c r="N1" s="310" t="str">
        <f>VLOOKUP($E$27,BDD!$A$2:$N$567,3,FALSE)</f>
        <v>Portefeuille de projets</v>
      </c>
      <c r="O1" s="301"/>
      <c r="P1" s="311"/>
      <c r="Q1" s="301"/>
      <c r="R1" s="298"/>
      <c r="S1" s="312"/>
      <c r="T1" s="312"/>
      <c r="U1" s="312"/>
      <c r="V1" s="312"/>
      <c r="W1" s="312"/>
      <c r="X1" s="312"/>
      <c r="Y1" s="312"/>
      <c r="Z1" s="312"/>
      <c r="AA1" s="312"/>
      <c r="AB1" s="312"/>
      <c r="AC1" s="312"/>
      <c r="AD1" s="312"/>
      <c r="AE1" s="312"/>
      <c r="AF1" s="312"/>
      <c r="AG1" s="312"/>
      <c r="AH1" s="312"/>
      <c r="AI1" s="30"/>
    </row>
    <row r="2" spans="1:35" ht="45" customHeight="1" x14ac:dyDescent="0.3">
      <c r="A2" s="298"/>
      <c r="B2" s="298"/>
      <c r="C2" s="298"/>
      <c r="D2" s="298"/>
      <c r="E2" s="298"/>
      <c r="F2" s="298"/>
      <c r="G2" s="298"/>
      <c r="H2" s="298"/>
      <c r="I2" s="298"/>
      <c r="J2" s="298"/>
      <c r="K2" s="298"/>
      <c r="L2" s="298"/>
      <c r="M2" s="298"/>
      <c r="N2" s="303" t="str">
        <f>VLOOKUP($E$27,BDD!$A$2:$N$567,4,FALSE)</f>
        <v>Prioriser et piloter les projets numériques en cohérence avec les objectifs stratégiques de l'organisation en optimisant l'allocation des ressources</v>
      </c>
      <c r="O2" s="298"/>
      <c r="P2" s="298"/>
      <c r="Q2" s="298"/>
      <c r="R2" s="298"/>
      <c r="S2" s="313"/>
      <c r="T2" s="313"/>
      <c r="U2" s="313"/>
      <c r="V2" s="313"/>
      <c r="W2" s="313"/>
      <c r="X2" s="313"/>
      <c r="Y2" s="313"/>
      <c r="Z2" s="313"/>
      <c r="AA2" s="313"/>
      <c r="AB2" s="313"/>
      <c r="AC2" s="313"/>
      <c r="AD2" s="313"/>
      <c r="AE2" s="313"/>
      <c r="AF2" s="313"/>
      <c r="AG2" s="313"/>
      <c r="AH2" s="313"/>
      <c r="AI2" s="30"/>
    </row>
    <row r="3" spans="1:35" ht="45" customHeight="1" thickBot="1" x14ac:dyDescent="0.35">
      <c r="A3" s="311"/>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311"/>
      <c r="AI3" s="30"/>
    </row>
    <row r="4" spans="1:35" ht="26.4" thickBot="1" x14ac:dyDescent="0.55000000000000004">
      <c r="A4" s="311"/>
      <c r="B4" s="30"/>
      <c r="C4" s="30"/>
      <c r="D4" s="30"/>
      <c r="E4" s="30"/>
      <c r="F4" s="30"/>
      <c r="G4" s="36" t="s">
        <v>1</v>
      </c>
      <c r="H4" s="34"/>
      <c r="I4" s="32"/>
      <c r="J4" s="34"/>
      <c r="K4" s="34"/>
      <c r="L4" s="34"/>
      <c r="M4" s="34"/>
      <c r="N4" s="30"/>
      <c r="O4" s="30"/>
      <c r="P4" s="30"/>
      <c r="Q4" s="30"/>
      <c r="R4" s="30"/>
      <c r="S4" s="30"/>
      <c r="T4" s="30"/>
      <c r="U4" s="30"/>
      <c r="V4" s="30"/>
      <c r="W4" s="108" t="s">
        <v>0</v>
      </c>
      <c r="X4" s="30"/>
      <c r="Y4" s="30"/>
      <c r="Z4" s="30"/>
      <c r="AA4" s="417"/>
      <c r="AB4" s="418" t="s">
        <v>1079</v>
      </c>
      <c r="AC4" s="30"/>
      <c r="AD4" s="30"/>
      <c r="AE4" s="30"/>
      <c r="AF4" s="35"/>
      <c r="AG4" s="35"/>
      <c r="AH4" s="315"/>
      <c r="AI4" s="30"/>
    </row>
    <row r="5" spans="1:35" ht="30" customHeight="1" thickBot="1" x14ac:dyDescent="0.35">
      <c r="A5" s="311"/>
      <c r="B5" s="30"/>
      <c r="C5" s="30"/>
      <c r="D5" s="30"/>
      <c r="E5" s="30" t="str">
        <f>RIGHT($B$1,1)&amp;"11"</f>
        <v>711</v>
      </c>
      <c r="F5" s="30"/>
      <c r="G5" s="196" t="str">
        <f>IF(VLOOKUP(E5,BDD!$A$2:$N$567,13,FALSE)=0,"",VLOOKUP(E5,BDD!$A$2:$N$567,13,FALSE))</f>
        <v>Assurer l'alignement du contenu du portefeuille sur la stratégie de l'entreprise.</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311"/>
      <c r="AI5" s="30"/>
    </row>
    <row r="6" spans="1:35" ht="30" customHeight="1" x14ac:dyDescent="0.3">
      <c r="A6" s="314"/>
      <c r="B6" s="38"/>
      <c r="C6" s="38"/>
      <c r="D6" s="38"/>
      <c r="E6" s="38" t="str">
        <f>RIGHT($B$1,1)&amp;"12"</f>
        <v>712</v>
      </c>
      <c r="F6" s="38"/>
      <c r="G6" s="196" t="str">
        <f>IF(VLOOKUP(E6,BDD!$A$2:$N$567,13,FALSE)=0,"",VLOOKUP(E6,BDD!$A$2:$N$567,13,FALSE))</f>
        <v>Veiller au réalisme du portefeuille notamment par l’Analyse de Capacité des Moyens (ACM).</v>
      </c>
      <c r="H6" s="39"/>
      <c r="I6" s="32"/>
      <c r="K6" s="39"/>
      <c r="L6" s="505"/>
      <c r="M6" s="506"/>
      <c r="N6" s="507"/>
      <c r="O6" s="508"/>
      <c r="P6" s="508"/>
      <c r="Q6" s="508"/>
      <c r="R6" s="508"/>
      <c r="S6" s="508"/>
      <c r="T6" s="508"/>
      <c r="U6" s="508"/>
      <c r="V6" s="508"/>
      <c r="W6" s="508"/>
      <c r="X6" s="508"/>
      <c r="Y6" s="508"/>
      <c r="Z6" s="508"/>
      <c r="AA6" s="508"/>
      <c r="AB6" s="509"/>
      <c r="AC6" s="35"/>
      <c r="AD6" s="35"/>
      <c r="AE6" s="35"/>
      <c r="AF6" s="32"/>
      <c r="AG6" s="32"/>
      <c r="AH6" s="316"/>
      <c r="AI6" s="38"/>
    </row>
    <row r="7" spans="1:35" ht="31.8" thickBot="1" x14ac:dyDescent="0.35">
      <c r="A7" s="314"/>
      <c r="B7" s="38"/>
      <c r="C7" s="38"/>
      <c r="D7" s="38"/>
      <c r="E7" s="38" t="str">
        <f>RIGHT($B$1,1)&amp;"13"</f>
        <v>713</v>
      </c>
      <c r="F7" s="38"/>
      <c r="G7" s="196" t="str">
        <f>IF(VLOOKUP(E7,BDD!$A$2:$N$567,13,FALSE)=0,"",VLOOKUP(E7,BDD!$A$2:$N$567,13,FALSE))</f>
        <v>Garantir la conformité de l'arbitrage aux critères validés par l'organisation.</v>
      </c>
      <c r="H7" s="39"/>
      <c r="I7" s="32"/>
      <c r="K7" s="39"/>
      <c r="L7" s="510"/>
      <c r="M7" s="511"/>
      <c r="N7" s="420" t="s">
        <v>2</v>
      </c>
      <c r="O7" s="421" t="s">
        <v>3</v>
      </c>
      <c r="P7" s="421" t="s">
        <v>4</v>
      </c>
      <c r="Q7" s="421" t="s">
        <v>5</v>
      </c>
      <c r="R7" s="421" t="s">
        <v>6</v>
      </c>
      <c r="S7" s="421" t="s">
        <v>7</v>
      </c>
      <c r="T7" s="421" t="s">
        <v>8</v>
      </c>
      <c r="U7" s="421" t="s">
        <v>9</v>
      </c>
      <c r="V7" s="512"/>
      <c r="W7" s="460" t="s">
        <v>10</v>
      </c>
      <c r="X7" s="461" t="s">
        <v>11</v>
      </c>
      <c r="Y7" s="513"/>
      <c r="Z7" s="463" t="s">
        <v>12</v>
      </c>
      <c r="AA7" s="464" t="s">
        <v>13</v>
      </c>
      <c r="AB7" s="514"/>
      <c r="AC7" s="40"/>
      <c r="AD7" s="637" t="s">
        <v>14</v>
      </c>
      <c r="AE7" s="41" t="s">
        <v>15</v>
      </c>
      <c r="AF7" s="32"/>
      <c r="AG7" s="32"/>
      <c r="AH7" s="316"/>
      <c r="AI7" s="38"/>
    </row>
    <row r="8" spans="1:35" ht="41.4" x14ac:dyDescent="0.3">
      <c r="A8" s="314"/>
      <c r="B8" s="38"/>
      <c r="C8" s="38"/>
      <c r="D8" s="38"/>
      <c r="E8" s="38" t="str">
        <f>RIGHT($B$1,1)&amp;"14"</f>
        <v>714</v>
      </c>
      <c r="F8" s="38"/>
      <c r="G8" s="196" t="str">
        <f>IF(VLOOKUP(E8,BDD!$A$2:$N$567,13,FALSE)=0,"",VLOOKUP(E8,BDD!$A$2:$N$567,13,FALSE))</f>
        <v>Maîtriser l'exécution pour sécuriser la valeur escomptée du portefeuille.</v>
      </c>
      <c r="H8" s="39"/>
      <c r="I8" s="32"/>
      <c r="K8" s="39"/>
      <c r="L8" s="510"/>
      <c r="M8" s="419" t="str">
        <f>IF(LEFT(RIGHT($B$1,2),1)=" ",RIGHT($B$1,1),RIGHT($B$1,2))&amp;1</f>
        <v>71</v>
      </c>
      <c r="N8" s="422" t="str">
        <f>RIGHT(M8,1)&amp;" : "&amp;VLOOKUP($M8&amp;"1",BDD!$A$2:$N$567,6,FALSE)</f>
        <v>1 : Référentiel de projets</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23" t="str">
        <f>IF(VLOOKUP($M8&amp;RIGHT(Q$7,1),BDD!$A$1:$S$428,15,FALSE)=4,"NE",IF(VLOOKUP($M8&amp;RIGHT(Q$7,1),BDD!$A$1:$S$428,15,FALSE)=0,"NE",VLOOKUP($M8&amp;RIGHT(Q$7,1),BDD!$A$1:$S$428,15,FALSE)))</f>
        <v>NE</v>
      </c>
      <c r="R8" s="423" t="str">
        <f>IF(VLOOKUP($M8&amp;RIGHT(R$7,1),BDD!$A$1:$S$428,15,FALSE)=4,"NE",IF(VLOOKUP($M8&amp;RIGHT(R$7,1),BDD!$A$1:$S$428,15,FALSE)=0,"NE",VLOOKUP($M8&amp;RIGHT(R$7,1),BDD!$A$1:$S$428,15,FALSE)))</f>
        <v>NE</v>
      </c>
      <c r="S8" s="475"/>
      <c r="T8" s="475"/>
      <c r="U8" s="475"/>
      <c r="V8" s="512"/>
      <c r="W8" s="441" t="s">
        <v>16</v>
      </c>
      <c r="X8" s="442"/>
      <c r="Y8" s="515"/>
      <c r="Z8" s="468">
        <f>O25</f>
        <v>0</v>
      </c>
      <c r="AA8" s="469">
        <f>P25</f>
        <v>0</v>
      </c>
      <c r="AB8" s="514"/>
      <c r="AC8" s="40"/>
      <c r="AD8" s="638"/>
      <c r="AE8" s="44" t="s">
        <v>17</v>
      </c>
      <c r="AF8" s="32"/>
      <c r="AG8" s="32"/>
      <c r="AH8" s="316"/>
      <c r="AI8" s="38"/>
    </row>
    <row r="9" spans="1:35" ht="30" customHeight="1" x14ac:dyDescent="0.3">
      <c r="A9" s="314"/>
      <c r="B9" s="38"/>
      <c r="C9" s="38"/>
      <c r="D9" s="38"/>
      <c r="E9" s="38" t="str">
        <f>RIGHT($B$1,1)&amp;"15"</f>
        <v>715</v>
      </c>
      <c r="F9" s="38"/>
      <c r="G9" s="196" t="str">
        <f>IF(VLOOKUP(E9,BDD!$A$2:$N$567,13,FALSE)=0,"",VLOOKUP(E9,BDD!$A$2:$N$567,13,FALSE))</f>
        <v/>
      </c>
      <c r="H9" s="39"/>
      <c r="I9" s="32"/>
      <c r="K9" s="39"/>
      <c r="L9" s="510"/>
      <c r="M9" s="419" t="str">
        <f>IF(LEFT(RIGHT($B$1,2),1)=" ",RIGHT($B$1,1),RIGHT($B$1,2))&amp;2</f>
        <v>72</v>
      </c>
      <c r="N9" s="424" t="str">
        <f>RIGHT(M9,1)&amp;" : "&amp;VLOOKUP($M9&amp;"1",BDD!$A$2:$N$567,6,FALSE)</f>
        <v>2 : Business Case</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5" t="str">
        <f>IF(VLOOKUP($M9&amp;RIGHT(R$7,1),BDD!$A$1:$S$428,15,FALSE)=4,"NE",IF(VLOOKUP($M9&amp;RIGHT(R$7,1),BDD!$A$1:$S$428,15,FALSE)=0,"NE",VLOOKUP($M9&amp;RIGHT(R$7,1),BDD!$A$1:$S$428,15,FALSE)))</f>
        <v>NE</v>
      </c>
      <c r="S9" s="425" t="str">
        <f>IF(VLOOKUP($M9&amp;RIGHT(S$7,1),BDD!$A$1:$S$428,15,FALSE)=4,"NE",IF(VLOOKUP($M9&amp;RIGHT(S$7,1),BDD!$A$1:$S$428,15,FALSE)=0,"NE",VLOOKUP($M9&amp;RIGHT(S$7,1),BDD!$A$1:$S$428,15,FALSE)))</f>
        <v>NE</v>
      </c>
      <c r="T9" s="425" t="str">
        <f>IF(VLOOKUP($M9&amp;RIGHT(T$7,1),BDD!$A$1:$S$428,15,FALSE)=4,"NE",IF(VLOOKUP($M9&amp;RIGHT(T$7,1),BDD!$A$1:$S$428,15,FALSE)=0,"NE",VLOOKUP($M9&amp;RIGHT(T$7,1),BDD!$A$1:$S$428,15,FALSE)))</f>
        <v>NE</v>
      </c>
      <c r="U9" s="427"/>
      <c r="V9" s="512"/>
      <c r="W9" s="443" t="s">
        <v>16</v>
      </c>
      <c r="X9" s="444"/>
      <c r="Y9" s="516"/>
      <c r="Z9" s="472">
        <f>O31</f>
        <v>0</v>
      </c>
      <c r="AA9" s="473">
        <f>P31</f>
        <v>0</v>
      </c>
      <c r="AB9" s="514"/>
      <c r="AC9" s="40"/>
      <c r="AD9" s="638"/>
      <c r="AE9" s="48" t="s">
        <v>18</v>
      </c>
      <c r="AF9" s="32"/>
      <c r="AG9" s="32"/>
      <c r="AH9" s="316"/>
      <c r="AI9" s="38"/>
    </row>
    <row r="10" spans="1:35" ht="30" customHeight="1" x14ac:dyDescent="0.3">
      <c r="A10" s="314"/>
      <c r="B10" s="38"/>
      <c r="C10" s="38"/>
      <c r="D10" s="38"/>
      <c r="E10" s="38" t="str">
        <f>RIGHT($B$1,1)&amp;"16"</f>
        <v>716</v>
      </c>
      <c r="F10" s="38"/>
      <c r="G10" s="31" t="str">
        <f>IF(VLOOKUP(E10,BDD!$A$2:$N$567,13,FALSE)=0,"",VLOOKUP(E10,BDD!$A$2:$N$567,13,FALSE))</f>
        <v/>
      </c>
      <c r="H10" s="39"/>
      <c r="I10" s="32"/>
      <c r="K10" s="39"/>
      <c r="L10" s="510"/>
      <c r="M10" s="419" t="str">
        <f>IF(LEFT(RIGHT($B$1,2),1)=" ",RIGHT($B$1,1),RIGHT($B$1,2))&amp;3</f>
        <v>73</v>
      </c>
      <c r="N10" s="422" t="str">
        <f>RIGHT(M10,1)&amp;" : "&amp;VLOOKUP($M10&amp;"1",BDD!$A$2:$N$567,6,FALSE)</f>
        <v>3 : Innovation</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75"/>
      <c r="R10" s="474"/>
      <c r="S10" s="475"/>
      <c r="T10" s="475"/>
      <c r="U10" s="430"/>
      <c r="V10" s="512"/>
      <c r="W10" s="445" t="s">
        <v>16</v>
      </c>
      <c r="X10" s="446"/>
      <c r="Y10" s="515"/>
      <c r="Z10" s="468">
        <f>O39</f>
        <v>0</v>
      </c>
      <c r="AA10" s="469">
        <f>P39</f>
        <v>0</v>
      </c>
      <c r="AB10" s="514"/>
      <c r="AC10" s="40"/>
      <c r="AD10" s="638"/>
      <c r="AE10" s="53" t="s">
        <v>19</v>
      </c>
      <c r="AF10" s="51"/>
      <c r="AG10" s="52"/>
      <c r="AH10" s="317"/>
      <c r="AI10" s="38"/>
    </row>
    <row r="11" spans="1:35" ht="30" customHeight="1" x14ac:dyDescent="0.3">
      <c r="A11" s="311"/>
      <c r="B11" s="30"/>
      <c r="C11" s="30"/>
      <c r="D11" s="30"/>
      <c r="E11" s="30" t="str">
        <f>RIGHT($B$1,1)&amp;"17"</f>
        <v>717</v>
      </c>
      <c r="F11" s="30"/>
      <c r="G11" s="31" t="str">
        <f>IF(VLOOKUP(E11,BDD!$A$2:$N$567,13,FALSE)=0,"",VLOOKUP(E11,BDD!$A$2:$N$567,13,FALSE))</f>
        <v/>
      </c>
      <c r="H11" s="52"/>
      <c r="I11" s="32"/>
      <c r="K11" s="52"/>
      <c r="L11" s="517"/>
      <c r="M11" s="419" t="str">
        <f>IF(LEFT(RIGHT($B$1,2),1)=" ",RIGHT($B$1,1),RIGHT($B$1,2))&amp;4</f>
        <v>74</v>
      </c>
      <c r="N11" s="424" t="str">
        <f>RIGHT(M11,1)&amp;" : "&amp;VLOOKUP($M11&amp;"1",BDD!$A$2:$N$567,6,FALSE)</f>
        <v>4 : Innovation</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5" t="str">
        <f>IF(VLOOKUP($M11&amp;RIGHT(Q$7,1),BDD!$A$1:$S$428,15,FALSE)=4,"NE",IF(VLOOKUP($M11&amp;RIGHT(Q$7,1),BDD!$A$1:$S$428,15,FALSE)=0,"NE",VLOOKUP($M11&amp;RIGHT(Q$7,1),BDD!$A$1:$S$428,15,FALSE)))</f>
        <v>NE</v>
      </c>
      <c r="R11" s="425" t="str">
        <f>IF(VLOOKUP($M11&amp;RIGHT(R$7,1),BDD!$A$1:$S$428,15,FALSE)=4,"NE",IF(VLOOKUP($M11&amp;RIGHT(R$7,1),BDD!$A$1:$S$428,15,FALSE)=0,"NE",VLOOKUP($M11&amp;RIGHT(R$7,1),BDD!$A$1:$S$428,15,FALSE)))</f>
        <v>NE</v>
      </c>
      <c r="S11" s="425" t="str">
        <f>IF(VLOOKUP($M11&amp;RIGHT(S$7,1),BDD!$A$1:$S$428,15,FALSE)=4,"NE",IF(VLOOKUP($M11&amp;RIGHT(S$7,1),BDD!$A$1:$S$428,15,FALSE)=0,"NE",VLOOKUP($M11&amp;RIGHT(S$7,1),BDD!$A$1:$S$428,15,FALSE)))</f>
        <v>NE</v>
      </c>
      <c r="T11" s="426"/>
      <c r="U11" s="427"/>
      <c r="V11" s="512"/>
      <c r="W11" s="443" t="s">
        <v>16</v>
      </c>
      <c r="X11" s="444"/>
      <c r="Y11" s="515"/>
      <c r="Z11" s="472">
        <f>O43</f>
        <v>0</v>
      </c>
      <c r="AA11" s="473">
        <f>P43</f>
        <v>0</v>
      </c>
      <c r="AB11" s="514"/>
      <c r="AC11" s="40"/>
      <c r="AD11" s="212"/>
      <c r="AF11" s="51"/>
      <c r="AG11" s="52"/>
      <c r="AH11" s="317"/>
      <c r="AI11" s="30"/>
    </row>
    <row r="12" spans="1:35" ht="30" customHeight="1" x14ac:dyDescent="0.3">
      <c r="A12" s="311"/>
      <c r="B12" s="30"/>
      <c r="C12" s="30"/>
      <c r="D12" s="30"/>
      <c r="E12" s="30"/>
      <c r="F12" s="30"/>
      <c r="G12" s="54" t="s">
        <v>20</v>
      </c>
      <c r="H12" s="32"/>
      <c r="I12" s="32"/>
      <c r="K12" s="32"/>
      <c r="L12" s="518"/>
      <c r="M12" s="419" t="str">
        <f>IF(LEFT(RIGHT($B$1,2),1)=" ",RIGHT($B$1,1),RIGHT($B$1,2))&amp;5</f>
        <v>75</v>
      </c>
      <c r="N12" s="422" t="str">
        <f>RIGHT(M12,1)&amp;" : "&amp;VLOOKUP($M12&amp;"1",BDD!$A$2:$N$567,6,FALSE)</f>
        <v>5 : Suivi et recadrage des projets lancés</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23" t="str">
        <f>IF(VLOOKUP($M12&amp;RIGHT(R$7,1),BDD!$A$1:$S$428,15,FALSE)=4,"NE",IF(VLOOKUP($M12&amp;RIGHT(R$7,1),BDD!$A$1:$S$428,15,FALSE)=0,"NE",VLOOKUP($M12&amp;RIGHT(R$7,1),BDD!$A$1:$S$428,15,FALSE)))</f>
        <v>NE</v>
      </c>
      <c r="S12" s="475"/>
      <c r="T12" s="475"/>
      <c r="U12" s="430"/>
      <c r="V12" s="512"/>
      <c r="W12" s="445" t="s">
        <v>16</v>
      </c>
      <c r="X12" s="446"/>
      <c r="Y12" s="515"/>
      <c r="Z12" s="468">
        <f>O50</f>
        <v>0</v>
      </c>
      <c r="AA12" s="469">
        <f>P50</f>
        <v>0</v>
      </c>
      <c r="AB12" s="514"/>
      <c r="AC12" s="40"/>
      <c r="AD12" s="213"/>
      <c r="AF12" s="55"/>
      <c r="AG12" s="30"/>
      <c r="AH12" s="311"/>
      <c r="AI12" s="30"/>
    </row>
    <row r="13" spans="1:35" ht="28.2" thickBot="1" x14ac:dyDescent="0.35">
      <c r="A13" s="311"/>
      <c r="B13" s="30"/>
      <c r="C13" s="30"/>
      <c r="D13" s="30"/>
      <c r="E13" s="30" t="str">
        <f>RIGHT($B$1,1)&amp;"11"</f>
        <v>711</v>
      </c>
      <c r="F13" s="30"/>
      <c r="G13" s="197" t="str">
        <f>IF(VLOOKUP(E13,BDD!$A$2:$N$567,14,FALSE)=0,"",VLOOKUP(E13,BDD!$A$2:$N$567,14,FALSE))</f>
        <v>Lancement en retard ou dans de mauvaises conditions d’un projet incontournable pour l'organisation (stratégique ou réglementaire).</v>
      </c>
      <c r="H13" s="34"/>
      <c r="I13" s="32"/>
      <c r="K13" s="52"/>
      <c r="L13" s="517"/>
      <c r="M13" s="419" t="str">
        <f>IF(LEFT(RIGHT($B$1,2),1)=" ",RIGHT($B$1,1),RIGHT($B$1,2))&amp;6</f>
        <v>76</v>
      </c>
      <c r="N13" s="424" t="str">
        <f>RIGHT(M13,1)&amp;" : "&amp;VLOOKUP($M13&amp;"1",BDD!$A$2:$N$567,6,FALSE)</f>
        <v>6 : Bilan de projet métiers</v>
      </c>
      <c r="O13" s="425" t="str">
        <f>IF(VLOOKUP($M13&amp;RIGHT(O$7,1),BDD!$A$1:$S$428,15,FALSE)=4,"NE",IF(VLOOKUP($M13&amp;RIGHT(O$7,1),BDD!$A$1:$S$428,15,FALSE)=0,"NE",VLOOKUP($M13&amp;RIGHT(O$7,1),BDD!$A$1:$S$428,15,FALSE)))</f>
        <v>NE</v>
      </c>
      <c r="P13" s="425" t="str">
        <f>IF(VLOOKUP($M13&amp;RIGHT(P$7,1),BDD!$A$1:$S$428,15,FALSE)=4,"NE",IF(VLOOKUP($M13&amp;RIGHT(P$7,1),BDD!$A$1:$S$428,15,FALSE)=0,"NE",VLOOKUP($M13&amp;RIGHT(P$7,1),BDD!$A$1:$S$428,15,FALSE)))</f>
        <v>NE</v>
      </c>
      <c r="Q13" s="425" t="str">
        <f>IF(VLOOKUP($M13&amp;RIGHT(Q$7,1),BDD!$A$1:$S$428,15,FALSE)=4,"NE",IF(VLOOKUP($M13&amp;RIGHT(Q$7,1),BDD!$A$1:$S$428,15,FALSE)=0,"NE",VLOOKUP($M13&amp;RIGHT(Q$7,1),BDD!$A$1:$S$428,15,FALSE)))</f>
        <v>NE</v>
      </c>
      <c r="R13" s="425" t="str">
        <f>IF(VLOOKUP($M13&amp;RIGHT(R$7,1),BDD!$A$1:$S$428,15,FALSE)=4,"NE",IF(VLOOKUP($M13&amp;RIGHT(R$7,1),BDD!$A$1:$S$428,15,FALSE)=0,"NE",VLOOKUP($M13&amp;RIGHT(R$7,1),BDD!$A$1:$S$428,15,FALSE)))</f>
        <v>NE</v>
      </c>
      <c r="S13" s="425" t="str">
        <f>IF(VLOOKUP($M13&amp;RIGHT(S$7,1),BDD!$A$1:$S$428,15,FALSE)=4,"NE",IF(VLOOKUP($M13&amp;RIGHT(S$7,1),BDD!$A$1:$S$428,15,FALSE)=0,"NE",VLOOKUP($M13&amp;RIGHT(S$7,1),BDD!$A$1:$S$428,15,FALSE)))</f>
        <v>NE</v>
      </c>
      <c r="T13" s="426"/>
      <c r="U13" s="427"/>
      <c r="V13" s="512"/>
      <c r="W13" s="447" t="s">
        <v>16</v>
      </c>
      <c r="X13" s="448"/>
      <c r="Y13" s="515"/>
      <c r="Z13" s="472">
        <f>O56</f>
        <v>0</v>
      </c>
      <c r="AA13" s="473">
        <f>P56</f>
        <v>0</v>
      </c>
      <c r="AB13" s="514"/>
      <c r="AC13" s="40"/>
      <c r="AD13" s="30"/>
      <c r="AE13" s="55"/>
      <c r="AF13" s="56"/>
      <c r="AG13" s="40"/>
      <c r="AH13" s="318"/>
      <c r="AI13" s="30"/>
    </row>
    <row r="14" spans="1:35" ht="30" customHeight="1" x14ac:dyDescent="0.3">
      <c r="A14" s="311"/>
      <c r="B14" s="30"/>
      <c r="C14" s="30"/>
      <c r="D14" s="30"/>
      <c r="E14" s="30" t="str">
        <f>RIGHT($B$1,1)&amp;"12"</f>
        <v>712</v>
      </c>
      <c r="F14" s="30"/>
      <c r="G14" s="197" t="str">
        <f>IF(VLOOKUP(E14,BDD!$A$2:$N$567,14,FALSE)=0,"",VLOOKUP(E14,BDD!$A$2:$N$567,14,FALSE))</f>
        <v>Gaspillage des ressources de l’organisation sur des projets peu contributifs, ou mal cadrés, voire concurrents.</v>
      </c>
      <c r="H14" s="57"/>
      <c r="I14" s="32"/>
      <c r="K14" s="34"/>
      <c r="L14" s="519"/>
      <c r="M14" s="520"/>
      <c r="N14" s="521"/>
      <c r="O14" s="521"/>
      <c r="P14" s="521"/>
      <c r="Q14" s="521"/>
      <c r="R14" s="521"/>
      <c r="S14" s="521"/>
      <c r="T14" s="521"/>
      <c r="U14" s="521"/>
      <c r="V14" s="521"/>
      <c r="W14" s="537"/>
      <c r="X14" s="522"/>
      <c r="Y14" s="522"/>
      <c r="Z14" s="522"/>
      <c r="AA14" s="522"/>
      <c r="AB14" s="523"/>
      <c r="AC14" s="55"/>
      <c r="AD14" s="56"/>
      <c r="AE14" s="56"/>
      <c r="AF14" s="30"/>
      <c r="AG14" s="30"/>
      <c r="AH14" s="311"/>
      <c r="AI14" s="30"/>
    </row>
    <row r="15" spans="1:35" ht="30" customHeight="1" thickBot="1" x14ac:dyDescent="0.35">
      <c r="A15" s="311"/>
      <c r="B15" s="30"/>
      <c r="C15" s="30"/>
      <c r="D15" s="30"/>
      <c r="E15" s="30" t="str">
        <f>RIGHT($B$1,1)&amp;"13"</f>
        <v>713</v>
      </c>
      <c r="F15" s="30"/>
      <c r="G15" s="197" t="str">
        <f>IF(VLOOKUP(E15,BDD!$A$2:$N$567,14,FALSE)=0,"",VLOOKUP(E15,BDD!$A$2:$N$567,14,FALSE))</f>
        <v>Accroissement du coût du SI par manque de maîtrise des projets.</v>
      </c>
      <c r="H15" s="58"/>
      <c r="I15" s="32"/>
      <c r="K15" s="57"/>
      <c r="L15" s="524"/>
      <c r="M15" s="520"/>
      <c r="N15" s="525" t="str">
        <f>"Evaluation globale du vecteur "&amp;RIGHT(B1,2)</f>
        <v>Evaluation globale du vecteur  7</v>
      </c>
      <c r="O15" s="526"/>
      <c r="P15" s="526"/>
      <c r="Q15" s="526"/>
      <c r="R15" s="526"/>
      <c r="S15" s="526"/>
      <c r="T15" s="526"/>
      <c r="U15" s="526"/>
      <c r="V15" s="526"/>
      <c r="W15" s="527"/>
      <c r="X15" s="522"/>
      <c r="Y15" s="515"/>
      <c r="Z15" s="528" t="s">
        <v>642</v>
      </c>
      <c r="AA15" s="529" t="s">
        <v>643</v>
      </c>
      <c r="AB15" s="523"/>
      <c r="AC15" s="30"/>
      <c r="AD15" s="30"/>
      <c r="AE15" s="30"/>
      <c r="AF15" s="30"/>
      <c r="AG15" s="30"/>
      <c r="AH15" s="311"/>
      <c r="AI15" s="30"/>
    </row>
    <row r="16" spans="1:35" ht="30" customHeight="1" thickBot="1" x14ac:dyDescent="0.35">
      <c r="A16" s="311"/>
      <c r="B16" s="30"/>
      <c r="C16" s="30"/>
      <c r="D16" s="30"/>
      <c r="E16" s="30" t="str">
        <f>RIGHT($B$1,1)&amp;"14"</f>
        <v>714</v>
      </c>
      <c r="F16" s="30"/>
      <c r="G16" s="197" t="str">
        <f>IF(VLOOKUP(E16,BDD!$A$2:$N$567,14,FALSE)=0,"",VLOOKUP(E16,BDD!$A$2:$N$567,14,FALSE))</f>
        <v/>
      </c>
      <c r="H16" s="58"/>
      <c r="I16" s="32"/>
      <c r="K16" s="58"/>
      <c r="L16" s="518"/>
      <c r="M16" s="520"/>
      <c r="N16" s="451"/>
      <c r="O16" s="526"/>
      <c r="P16" s="526"/>
      <c r="Q16" s="526"/>
      <c r="R16" s="526"/>
      <c r="S16" s="526"/>
      <c r="T16" s="526"/>
      <c r="U16" s="526"/>
      <c r="V16" s="526"/>
      <c r="W16" s="449" t="s">
        <v>16</v>
      </c>
      <c r="X16" s="450"/>
      <c r="Y16" s="522"/>
      <c r="Z16" s="530">
        <f>O22</f>
        <v>0</v>
      </c>
      <c r="AA16" s="531">
        <f>SUM($W$26:$W$64)</f>
        <v>0</v>
      </c>
      <c r="AB16" s="523"/>
      <c r="AC16" s="30"/>
      <c r="AD16" s="30"/>
      <c r="AE16" s="30"/>
      <c r="AF16" s="30"/>
      <c r="AG16" s="30"/>
      <c r="AH16" s="311"/>
      <c r="AI16" s="30"/>
    </row>
    <row r="17" spans="1:35" ht="15" thickBot="1" x14ac:dyDescent="0.35">
      <c r="A17" s="311"/>
      <c r="B17" s="30"/>
      <c r="C17" s="30"/>
      <c r="D17" s="30"/>
      <c r="E17" s="30" t="str">
        <f>RIGHT($B$1,1)&amp;"15"</f>
        <v>715</v>
      </c>
      <c r="F17" s="30"/>
      <c r="G17" s="197" t="str">
        <f>IF(VLOOKUP(E17,BDD!$A$2:$N$567,14,FALSE)=0,"",VLOOKUP(E17,BDD!$A$2:$N$567,14,FALSE))</f>
        <v/>
      </c>
      <c r="H17" s="58"/>
      <c r="I17" s="32"/>
      <c r="K17" s="32"/>
      <c r="L17" s="532"/>
      <c r="M17" s="533"/>
      <c r="N17" s="534"/>
      <c r="O17" s="534"/>
      <c r="P17" s="534"/>
      <c r="Q17" s="534"/>
      <c r="R17" s="534"/>
      <c r="S17" s="534"/>
      <c r="T17" s="534"/>
      <c r="U17" s="534"/>
      <c r="V17" s="534"/>
      <c r="W17" s="535"/>
      <c r="X17" s="534"/>
      <c r="Y17" s="534"/>
      <c r="Z17" s="534"/>
      <c r="AA17" s="534"/>
      <c r="AB17" s="536"/>
      <c r="AC17" s="30"/>
      <c r="AD17" s="30"/>
      <c r="AE17" s="30"/>
      <c r="AF17" s="30"/>
      <c r="AG17" s="30"/>
      <c r="AH17" s="311"/>
      <c r="AI17" s="30"/>
    </row>
    <row r="18" spans="1:35" ht="27" customHeight="1" x14ac:dyDescent="0.3">
      <c r="A18" s="311"/>
      <c r="B18" s="30"/>
      <c r="C18" s="30"/>
      <c r="D18" s="30"/>
      <c r="E18" s="30" t="str">
        <f>RIGHT($B$1,1)&amp;"16"</f>
        <v>716</v>
      </c>
      <c r="F18" s="30"/>
      <c r="G18" s="197" t="str">
        <f>IF(VLOOKUP(E18,BDD!$A$2:$N$567,14,FALSE)=0,"",VLOOKUP(E18,BDD!$A$2:$N$567,14,FALSE))</f>
        <v/>
      </c>
      <c r="H18" s="58"/>
      <c r="I18" s="58"/>
      <c r="K18" s="58"/>
      <c r="L18" s="571"/>
      <c r="M18" s="572"/>
      <c r="N18" s="569"/>
      <c r="O18" s="569"/>
      <c r="P18" s="569"/>
      <c r="Q18" s="569"/>
      <c r="R18" s="569"/>
      <c r="S18" s="569"/>
      <c r="T18" s="569"/>
      <c r="U18" s="569"/>
      <c r="V18" s="569"/>
      <c r="W18" s="569"/>
      <c r="X18" s="569"/>
      <c r="Y18" s="569"/>
      <c r="Z18" s="569"/>
      <c r="AA18" s="569"/>
      <c r="AB18" s="569"/>
      <c r="AC18" s="30"/>
      <c r="AD18" s="30"/>
      <c r="AE18" s="30"/>
      <c r="AF18" s="30"/>
      <c r="AG18" s="30"/>
      <c r="AH18" s="311"/>
      <c r="AI18" s="30"/>
    </row>
    <row r="19" spans="1:35" ht="27" hidden="1" customHeight="1" x14ac:dyDescent="0.3">
      <c r="A19" s="311"/>
      <c r="B19" s="30"/>
      <c r="C19" s="30"/>
      <c r="D19" s="30"/>
      <c r="E19" s="30"/>
      <c r="F19" s="30"/>
      <c r="G19" s="197"/>
      <c r="H19" s="58"/>
      <c r="I19" s="58"/>
      <c r="K19" s="58"/>
      <c r="L19" s="58"/>
      <c r="M19" s="32"/>
      <c r="N19" s="30"/>
      <c r="O19" s="30"/>
      <c r="P19" s="30"/>
      <c r="Q19" s="30"/>
      <c r="R19" s="30"/>
      <c r="S19" s="30"/>
      <c r="T19" s="30"/>
      <c r="U19" s="30"/>
      <c r="V19" s="30"/>
      <c r="W19" s="30"/>
      <c r="X19" s="30"/>
      <c r="Y19" s="30"/>
      <c r="Z19" s="30"/>
      <c r="AA19" s="30"/>
      <c r="AB19" s="30"/>
      <c r="AC19" s="30"/>
      <c r="AD19" s="30"/>
      <c r="AE19" s="30"/>
      <c r="AF19" s="30"/>
      <c r="AG19" s="30"/>
      <c r="AH19" s="311"/>
      <c r="AI19" s="30"/>
    </row>
    <row r="20" spans="1:35" ht="30" customHeight="1" x14ac:dyDescent="0.3">
      <c r="A20" s="311"/>
      <c r="B20" s="30"/>
      <c r="C20" s="30"/>
      <c r="D20" s="30"/>
      <c r="E20" s="30"/>
      <c r="F20" s="30"/>
      <c r="G20" s="197"/>
      <c r="H20" s="58"/>
      <c r="I20" s="32"/>
      <c r="K20" s="58"/>
      <c r="L20" s="58"/>
      <c r="M20" s="32"/>
      <c r="N20" s="215" t="s">
        <v>855</v>
      </c>
      <c r="O20" s="641">
        <f>COUNTIF(N27:N100,"Non renseigné")</f>
        <v>26</v>
      </c>
      <c r="P20" s="642"/>
      <c r="Q20" s="642"/>
      <c r="R20" s="643"/>
      <c r="S20" s="30"/>
      <c r="T20" s="30"/>
      <c r="U20" s="30"/>
      <c r="V20" s="30"/>
      <c r="W20" s="30"/>
      <c r="X20" s="30"/>
      <c r="Y20" s="30"/>
      <c r="Z20" s="30"/>
      <c r="AA20" s="30"/>
      <c r="AB20" s="30"/>
      <c r="AC20" s="30"/>
      <c r="AD20" s="30"/>
      <c r="AE20" s="30"/>
      <c r="AF20" s="30"/>
      <c r="AG20" s="30"/>
      <c r="AH20" s="311"/>
      <c r="AI20" s="30"/>
    </row>
    <row r="21" spans="1:35" ht="30" customHeight="1" x14ac:dyDescent="0.3">
      <c r="A21" s="311"/>
      <c r="B21" s="30"/>
      <c r="C21" s="30"/>
      <c r="D21" s="30"/>
      <c r="E21" s="30" t="str">
        <f>RIGHT($B$1,1)&amp;"17"</f>
        <v>717</v>
      </c>
      <c r="F21" s="30"/>
      <c r="G21" s="197" t="str">
        <f>IF(VLOOKUP(E21,BDD!$A$2:$N$567,14,FALSE)=0,"",VLOOKUP(E21,BDD!$A$2:$N$567,14,FALSE))</f>
        <v/>
      </c>
      <c r="H21" s="58"/>
      <c r="I21" s="58"/>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311"/>
      <c r="AI21" s="30"/>
    </row>
    <row r="22" spans="1:35" ht="50.4" customHeight="1" x14ac:dyDescent="0.3">
      <c r="A22" s="311"/>
      <c r="B22" s="30"/>
      <c r="C22" s="30"/>
      <c r="D22" s="30"/>
      <c r="E22" s="30"/>
      <c r="F22" s="30"/>
      <c r="G22" s="197"/>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311"/>
      <c r="AI22" s="30"/>
    </row>
    <row r="23" spans="1:35" ht="30" customHeight="1" x14ac:dyDescent="0.3">
      <c r="A23" s="311"/>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311"/>
      <c r="AI23" s="30"/>
    </row>
    <row r="24" spans="1:35" ht="39.6" customHeight="1" x14ac:dyDescent="0.3">
      <c r="A24" s="311"/>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311"/>
      <c r="AI24" s="30"/>
    </row>
    <row r="25" spans="1:35" ht="30" customHeight="1" x14ac:dyDescent="0.3">
      <c r="A25" s="311"/>
      <c r="B25" s="30"/>
      <c r="C25" s="30" t="str">
        <f>IF(LEFT(RIGHT($B$1,2),1)=" ",RIGHT($B$1,1),RIGHT($B$1,2))</f>
        <v>7</v>
      </c>
      <c r="D25" s="32">
        <f>IF(LEFT(F25,5)="Bonne",B23+1,D24)</f>
        <v>1</v>
      </c>
      <c r="E25" s="32"/>
      <c r="F25" s="191" t="s">
        <v>499</v>
      </c>
      <c r="G25" s="192" t="str">
        <f>VLOOKUP(E27,BDD!$A$2:$N$567,6,FALSE)</f>
        <v>Référentiel de projets</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311"/>
      <c r="AI25" s="30"/>
    </row>
    <row r="26" spans="1:35" ht="30" customHeight="1" x14ac:dyDescent="0.3">
      <c r="A26" s="311"/>
      <c r="B26" s="30"/>
      <c r="C26" s="30" t="str">
        <f t="shared" ref="C26:C62" si="0">IF(LEFT(RIGHT($B$1,2),1)=" ",RIGHT($B$1,1),RIGHT($B$1,2))</f>
        <v>7</v>
      </c>
      <c r="D26" s="32">
        <f>IF(LEFT(F26,5)="Bonne",D24+1,D25)</f>
        <v>1</v>
      </c>
      <c r="F26" s="211" t="s">
        <v>550</v>
      </c>
      <c r="G26" s="193" t="str">
        <f>VLOOKUP(E28,BDD!$A$2:$N$567,7,FALSE)</f>
        <v>Tous les projets sont répertoriés dans un référentiel unique pouvant être structuré en programmes afin de faciliter leur gestion  globale.</v>
      </c>
      <c r="H26" s="139"/>
      <c r="I26" s="139"/>
      <c r="J26" s="139"/>
      <c r="K26" s="139"/>
      <c r="L26" s="140"/>
      <c r="M26" s="141"/>
      <c r="N26" s="14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311"/>
      <c r="AI26" s="30"/>
    </row>
    <row r="27" spans="1:35" ht="30" customHeight="1" x14ac:dyDescent="0.3">
      <c r="A27" s="311"/>
      <c r="B27" s="30"/>
      <c r="C27" s="30" t="str">
        <f t="shared" si="0"/>
        <v>7</v>
      </c>
      <c r="D27" s="32">
        <f>IF(LEFT(F27,5)="Bonne",D25+1,D26)</f>
        <v>1</v>
      </c>
      <c r="E27" s="32" t="str">
        <f>C27&amp;D27&amp;RIGHT(F27,1)</f>
        <v>711</v>
      </c>
      <c r="F27" s="143" t="s">
        <v>27</v>
      </c>
      <c r="G27" s="144" t="str">
        <f>VLOOKUP(E27,BDD!$A$2:$N$567,MATCH(G$24,BDD!$A$1:$P$1,0),FALSE)</f>
        <v>Il existe un référentiel unique concernant l’ensemble des projets.</v>
      </c>
      <c r="H27" s="149" t="str">
        <f>IF(VLOOKUP($E27,BDD!$A$2:$N$567,MATCH($H$23,BDD!$A$1:$P$1,0),FALSE)=H$24,V7_Portefeuille!H$24,"")</f>
        <v>N1</v>
      </c>
      <c r="I27" s="150" t="str">
        <f>IF(VLOOKUP($E27,BDD!$A$2:$N$567,MATCH($H$23,BDD!$A$1:$P$1,0),FALSE)=I$24,V7_Portefeuille!I$24,"")</f>
        <v/>
      </c>
      <c r="J27" s="150" t="str">
        <f>IF(VLOOKUP($E27,BDD!$A$2:$N$567,MATCH($H$23,BDD!$A$1:$P$1,0),FALSE)=J$24,V7_Portefeuille!J$24,"")</f>
        <v/>
      </c>
      <c r="K27" s="150" t="str">
        <f>IF(VLOOKUP($E27,BDD!$A$2:$N$567,MATCH($H$23,BDD!$A$1:$P$1,0),FALSE)=K$24,V7_Portefeuille!K$24,"")</f>
        <v/>
      </c>
      <c r="L27" s="151" t="str">
        <f>IF(VLOOKUP($E27,BDD!$A$2:$N$567,MATCH($H$23,BDD!$A$1:$P$1,0),FALSE)=L$24,V7_Portefeuille!L$24,"")</f>
        <v/>
      </c>
      <c r="M27" s="63">
        <f t="shared" ref="M27:M30"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311"/>
      <c r="AI27" s="30"/>
    </row>
    <row r="28" spans="1:35" ht="30" customHeight="1" x14ac:dyDescent="0.3">
      <c r="A28" s="311"/>
      <c r="B28" s="30"/>
      <c r="C28" s="30" t="str">
        <f t="shared" si="0"/>
        <v>7</v>
      </c>
      <c r="D28" s="32">
        <f t="shared" ref="D28:D62" si="2">IF(LEFT(F28,5)="Bonne",D26+1,D27)</f>
        <v>1</v>
      </c>
      <c r="E28" s="32" t="str">
        <f t="shared" ref="E28:E62" si="3">C28&amp;D28&amp;RIGHT(F28,1)</f>
        <v>712</v>
      </c>
      <c r="F28" s="145" t="s">
        <v>28</v>
      </c>
      <c r="G28" s="146" t="str">
        <f>VLOOKUP(E28,BDD!$A$2:$N$567,MATCH(G$24,BDD!$A$1:$P$1,0),FALSE)</f>
        <v>Afin de faciliter les prises de décision, le référentiel est structuré pour classifier les projets selon leur typologie.</v>
      </c>
      <c r="H28" s="149" t="str">
        <f>IF(VLOOKUP($E28,BDD!$A$2:$N$567,MATCH($H$23,BDD!$A$1:$P$1,0),FALSE)=H$24,V7_Portefeuille!H$24,"")</f>
        <v/>
      </c>
      <c r="I28" s="150" t="str">
        <f>IF(VLOOKUP($E28,BDD!$A$2:$N$567,MATCH($H$23,BDD!$A$1:$P$1,0),FALSE)=I$24,V7_Portefeuille!I$24,"")</f>
        <v>N2</v>
      </c>
      <c r="J28" s="150" t="str">
        <f>IF(VLOOKUP($E28,BDD!$A$2:$N$567,MATCH($H$23,BDD!$A$1:$P$1,0),FALSE)=J$24,V7_Portefeuille!J$24,"")</f>
        <v/>
      </c>
      <c r="K28" s="150" t="str">
        <f>IF(VLOOKUP($E28,BDD!$A$2:$N$567,MATCH($H$23,BDD!$A$1:$P$1,0),FALSE)=K$24,V7_Portefeuille!K$24,"")</f>
        <v/>
      </c>
      <c r="L28" s="151" t="str">
        <f>IF(VLOOKUP($E28,BDD!$A$2:$N$567,MATCH($H$23,BDD!$A$1:$P$1,0),FALSE)=L$24,V7_Portefeuille!L$24,"")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311"/>
      <c r="AI28" s="30"/>
    </row>
    <row r="29" spans="1:35" ht="41.4" x14ac:dyDescent="0.3">
      <c r="A29" s="311"/>
      <c r="B29" s="30"/>
      <c r="C29" s="30" t="str">
        <f t="shared" si="0"/>
        <v>7</v>
      </c>
      <c r="D29" s="32">
        <f t="shared" si="2"/>
        <v>1</v>
      </c>
      <c r="E29" s="32" t="str">
        <f t="shared" si="3"/>
        <v>713</v>
      </c>
      <c r="F29" s="143" t="s">
        <v>30</v>
      </c>
      <c r="G29" s="144" t="str">
        <f>VLOOKUP(E29,BDD!$A$2:$N$567,MATCH(G$24,BDD!$A$1:$P$1,0),FALSE)</f>
        <v>Le référentiel est mis à jour à chacune des étapes suivantes : déclaration d’intention ou d’opportunité, cadrage fonctionnel métier, avant-projet, prototypage (si besoin), business case, scoring, décision de lancement.</v>
      </c>
      <c r="H29" s="149" t="str">
        <f>IF(VLOOKUP($E29,BDD!$A$2:$N$567,MATCH($H$23,BDD!$A$1:$P$1,0),FALSE)=H$24,V7_Portefeuille!H$24,"")</f>
        <v/>
      </c>
      <c r="I29" s="150" t="str">
        <f>IF(VLOOKUP($E29,BDD!$A$2:$N$567,MATCH($H$23,BDD!$A$1:$P$1,0),FALSE)=I$24,V7_Portefeuille!I$24,"")</f>
        <v>N2</v>
      </c>
      <c r="J29" s="150" t="str">
        <f>IF(VLOOKUP($E29,BDD!$A$2:$N$567,MATCH($H$23,BDD!$A$1:$P$1,0),FALSE)=J$24,V7_Portefeuille!J$24,"")</f>
        <v/>
      </c>
      <c r="K29" s="150" t="str">
        <f>IF(VLOOKUP($E29,BDD!$A$2:$N$567,MATCH($H$23,BDD!$A$1:$P$1,0),FALSE)=K$24,V7_Portefeuille!K$24,"")</f>
        <v/>
      </c>
      <c r="L29" s="151" t="str">
        <f>IF(VLOOKUP($E29,BDD!$A$2:$N$567,MATCH($H$23,BDD!$A$1:$P$1,0),FALSE)=L$24,V7_Portefeuille!L$24,"")</f>
        <v/>
      </c>
      <c r="M29" s="63">
        <f t="shared" si="1"/>
        <v>0</v>
      </c>
      <c r="N29" s="144" t="str">
        <f>VLOOKUP(VLOOKUP(E29,BDD!$A$2:$P$428,15,FALSE),Suppl!$D$64:$E$68,2,FALSE)</f>
        <v>Non renseigné</v>
      </c>
      <c r="O29" s="629"/>
      <c r="P29" s="629"/>
      <c r="Q29" s="629"/>
      <c r="R29" s="629"/>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311"/>
      <c r="AI29" s="30"/>
    </row>
    <row r="30" spans="1:35" ht="30" customHeight="1" x14ac:dyDescent="0.3">
      <c r="A30" s="311"/>
      <c r="B30" s="30"/>
      <c r="C30" s="30" t="str">
        <f t="shared" si="0"/>
        <v>7</v>
      </c>
      <c r="D30" s="32">
        <f t="shared" si="2"/>
        <v>1</v>
      </c>
      <c r="E30" s="32" t="str">
        <f t="shared" si="3"/>
        <v>714</v>
      </c>
      <c r="F30" s="145" t="s">
        <v>32</v>
      </c>
      <c r="G30" s="146" t="str">
        <f>VLOOKUP(E30,BDD!$A$2:$N$567,MATCH(G$24,BDD!$A$1:$P$1,0),FALSE)</f>
        <v>Les responsabilités de gestion du portefeuille de projet sont clairement affectées dans l'organisation.</v>
      </c>
      <c r="H30" s="149" t="str">
        <f>IF(VLOOKUP($E30,BDD!$A$2:$N$567,MATCH($H$23,BDD!$A$1:$P$1,0),FALSE)=H$24,V7_Portefeuille!H$24,"")</f>
        <v/>
      </c>
      <c r="I30" s="150" t="str">
        <f>IF(VLOOKUP($E30,BDD!$A$2:$N$567,MATCH($H$23,BDD!$A$1:$P$1,0),FALSE)=I$24,V7_Portefeuille!I$24,"")</f>
        <v/>
      </c>
      <c r="J30" s="150" t="str">
        <f>IF(VLOOKUP($E30,BDD!$A$2:$N$567,MATCH($H$23,BDD!$A$1:$P$1,0),FALSE)=J$24,V7_Portefeuille!J$24,"")</f>
        <v>N3</v>
      </c>
      <c r="K30" s="150" t="str">
        <f>IF(VLOOKUP($E30,BDD!$A$2:$N$567,MATCH($H$23,BDD!$A$1:$P$1,0),FALSE)=K$24,V7_Portefeuille!K$24,"")</f>
        <v/>
      </c>
      <c r="L30" s="151" t="str">
        <f>IF(VLOOKUP($E30,BDD!$A$2:$N$567,MATCH($H$23,BDD!$A$1:$P$1,0),FALSE)=L$24,V7_Portefeuille!L$24,"")</f>
        <v/>
      </c>
      <c r="M30" s="63">
        <f t="shared" si="1"/>
        <v>0</v>
      </c>
      <c r="N30" s="146" t="str">
        <f>VLOOKUP(VLOOKUP(E30,BDD!$A$2:$P$428,15,FALSE),Suppl!$D$64:$E$68,2,FALSE)</f>
        <v>Non renseigné</v>
      </c>
      <c r="O30" s="629"/>
      <c r="P30" s="629"/>
      <c r="Q30" s="629"/>
      <c r="R30" s="629"/>
      <c r="S30" s="627">
        <f>IF(N30=Suppl!$E$65,0,IF(N30=Suppl!$E$66,1/2/(COUNTIFS($D:$D,D30,$N:$N,"Exigences"&amp;"*",G:G,"&lt;&gt;0")+COUNTIFS($D:$D,D30,$N:$N,"Non"&amp;"*",G:G,"&lt;&gt;0")),IF(N30=Suppl!$E$67,1/(COUNTIFS($D:$D,D30,$N:$N,"Exigences"&amp;"*",G:G,"&lt;&gt;0")+COUNTIFS($D:$D,D30,$N:$N,"Non"&amp;"*",G:G,"&lt;&gt;0")),0)))</f>
        <v>0</v>
      </c>
      <c r="T30" s="627"/>
      <c r="U30" s="627"/>
      <c r="V30" s="628"/>
      <c r="W30" s="356">
        <f>IFERROR(IF(N30=Suppl!$E$65,0,IF(N30=Suppl!$E$66,1/2/(COUNTIFS($N:$N,"Exigences"&amp;"*")+COUNTIFS($N:$N,"Non"&amp;"*")),IF(N30=Suppl!$E$67,1/(COUNTIFS($N:$N,"Exigences"&amp;"*")+COUNTIFS($N:$N,"Non"&amp;"*")),0))),0)</f>
        <v>0</v>
      </c>
      <c r="X30" s="30" t="s">
        <v>164</v>
      </c>
      <c r="Y30" s="30"/>
      <c r="Z30" s="30"/>
      <c r="AA30" s="30"/>
      <c r="AB30" s="30"/>
      <c r="AC30" s="30"/>
      <c r="AD30" s="30"/>
      <c r="AE30" s="30"/>
      <c r="AF30" s="30"/>
      <c r="AG30" s="30"/>
      <c r="AH30" s="311"/>
      <c r="AI30" s="30"/>
    </row>
    <row r="31" spans="1:35" ht="30" customHeight="1" x14ac:dyDescent="0.3">
      <c r="A31" s="311"/>
      <c r="B31" s="30"/>
      <c r="C31" s="30" t="str">
        <f t="shared" si="0"/>
        <v>7</v>
      </c>
      <c r="D31" s="32">
        <f t="shared" si="2"/>
        <v>2</v>
      </c>
      <c r="E31" s="32" t="str">
        <f t="shared" si="3"/>
        <v>722</v>
      </c>
      <c r="F31" s="191" t="s">
        <v>500</v>
      </c>
      <c r="G31" s="192" t="str">
        <f>VLOOKUP(E33,BDD!$A$2:$N$567,6,FALSE)</f>
        <v>Business Case</v>
      </c>
      <c r="H31" s="190" t="str">
        <f>VLOOKUP(E33,BDD!$A$2:$N$567,6,FALSE)</f>
        <v>Business Case</v>
      </c>
      <c r="I31" s="135"/>
      <c r="J31" s="135"/>
      <c r="K31" s="135"/>
      <c r="L31" s="136"/>
      <c r="M31" s="137"/>
      <c r="N31" s="138"/>
      <c r="O31" s="630">
        <v>0</v>
      </c>
      <c r="P31" s="630"/>
      <c r="Q31" s="630"/>
      <c r="R31" s="630"/>
      <c r="S31" s="632">
        <f>SUMIFS(S:S,$D:$D,D31,$N:$N,"Exigences"&amp;"*")</f>
        <v>0</v>
      </c>
      <c r="T31" s="632"/>
      <c r="U31" s="632"/>
      <c r="V31" s="633"/>
      <c r="W31" s="356">
        <f>IFERROR(IF(N31=Suppl!$E$65,0,IF(N31=Suppl!$E$66,1/2/(COUNTIFS($N:$N,"Exigences"&amp;"*")+COUNTIFS($N:$N,"Non"&amp;"*")),IF(N31=Suppl!$E$67,1/(COUNTIFS($N:$N,"Exigences"&amp;"*")+COUNTIFS($N:$N,"Non"&amp;"*")),0))),0)</f>
        <v>0</v>
      </c>
      <c r="X31" s="30"/>
      <c r="Y31" s="30"/>
      <c r="Z31" s="30"/>
      <c r="AA31" s="30"/>
      <c r="AB31" s="30"/>
      <c r="AC31" s="30"/>
      <c r="AD31" s="30"/>
      <c r="AE31" s="30"/>
      <c r="AF31" s="30"/>
      <c r="AG31" s="30"/>
      <c r="AH31" s="311"/>
      <c r="AI31" s="30"/>
    </row>
    <row r="32" spans="1:35" ht="30" customHeight="1" x14ac:dyDescent="0.3">
      <c r="A32" s="311"/>
      <c r="B32" s="30"/>
      <c r="C32" s="30" t="str">
        <f t="shared" si="0"/>
        <v>7</v>
      </c>
      <c r="D32" s="32">
        <f t="shared" si="2"/>
        <v>2</v>
      </c>
      <c r="E32" s="32" t="str">
        <f t="shared" si="3"/>
        <v>721</v>
      </c>
      <c r="F32" s="211" t="s">
        <v>550</v>
      </c>
      <c r="G32" s="193" t="str">
        <f>VLOOKUP(E34,BDD!$A$2:$N$567,7,FALSE)</f>
        <v>Les métiers élaborent un business case avec l’aide de la DSI, pour chaque projet ayant un volet numérique significatif.</v>
      </c>
      <c r="H32" s="139"/>
      <c r="I32" s="139"/>
      <c r="J32" s="139"/>
      <c r="K32" s="139"/>
      <c r="L32" s="140"/>
      <c r="M32" s="141"/>
      <c r="N32" s="142"/>
      <c r="O32" s="631"/>
      <c r="P32" s="631"/>
      <c r="Q32" s="631"/>
      <c r="R32" s="631"/>
      <c r="S32" s="634"/>
      <c r="T32" s="634"/>
      <c r="U32" s="634"/>
      <c r="V32" s="635"/>
      <c r="W32" s="356">
        <f>IFERROR(IF(N32=Suppl!$E$65,0,IF(N32=Suppl!$E$66,1/2/(COUNTIFS($N:$N,"Exigences"&amp;"*")+COUNTIFS($N:$N,"Non"&amp;"*")),IF(N32=Suppl!$E$67,1/(COUNTIFS($N:$N,"Exigences"&amp;"*")+COUNTIFS($N:$N,"Non"&amp;"*")),0))),0)</f>
        <v>0</v>
      </c>
      <c r="X32" s="30"/>
      <c r="Y32" s="30"/>
      <c r="Z32" s="30"/>
      <c r="AA32" s="30"/>
      <c r="AB32" s="30"/>
      <c r="AC32" s="30"/>
      <c r="AD32" s="30"/>
      <c r="AE32" s="30"/>
      <c r="AF32" s="30"/>
      <c r="AG32" s="30"/>
      <c r="AH32" s="311"/>
      <c r="AI32" s="30"/>
    </row>
    <row r="33" spans="1:35" ht="30" customHeight="1" x14ac:dyDescent="0.3">
      <c r="A33" s="311"/>
      <c r="B33" s="30"/>
      <c r="C33" s="30" t="str">
        <f t="shared" si="0"/>
        <v>7</v>
      </c>
      <c r="D33" s="32">
        <f t="shared" si="2"/>
        <v>2</v>
      </c>
      <c r="E33" s="32" t="str">
        <f t="shared" si="3"/>
        <v>721</v>
      </c>
      <c r="F33" s="143" t="s">
        <v>27</v>
      </c>
      <c r="G33" s="144" t="str">
        <f>VLOOKUP(E33,BDD!$A$2:$N$567,MATCH(G$24,BDD!$A$1:$P$1,0),FALSE)</f>
        <v xml:space="preserve">Le business case présente les bénéfices quantitatifs et qualitatifs attendus par l'organisation en termes d’amélioration des processus et de création de valeur. </v>
      </c>
      <c r="H33" s="149" t="str">
        <f>IF(VLOOKUP($E33,BDD!$A$2:$N$567,MATCH($H$23,BDD!$A$1:$P$1,0),FALSE)=H$24,V7_Portefeuille!H$24,"")</f>
        <v>N1</v>
      </c>
      <c r="I33" s="150" t="str">
        <f>IF(VLOOKUP($E33,BDD!$A$2:$N$567,MATCH($H$23,BDD!$A$1:$P$1,0),FALSE)=I$24,V7_Portefeuille!I$24,"")</f>
        <v/>
      </c>
      <c r="J33" s="150" t="str">
        <f>IF(VLOOKUP($E33,BDD!$A$2:$N$567,MATCH($H$23,BDD!$A$1:$P$1,0),FALSE)=J$24,V7_Portefeuille!J$24,"")</f>
        <v/>
      </c>
      <c r="K33" s="150" t="str">
        <f>IF(VLOOKUP($E33,BDD!$A$2:$N$567,MATCH($H$23,BDD!$A$1:$P$1,0),FALSE)=K$24,V7_Portefeuille!K$24,"")</f>
        <v/>
      </c>
      <c r="L33" s="151" t="str">
        <f>IF(VLOOKUP($E33,BDD!$A$2:$N$567,MATCH($H$23,BDD!$A$1:$P$1,0),FALSE)=L$24,V7_Portefeuille!L$24,"")</f>
        <v/>
      </c>
      <c r="M33" s="63">
        <f>IF(N33="Exigences partiellement respectées",1,IF(N33="Exigences respectées",2,0))</f>
        <v>0</v>
      </c>
      <c r="N33" s="144" t="str">
        <f>VLOOKUP(VLOOKUP(E33,BDD!$A$2:$P$428,15,FALSE),Suppl!$D$64:$E$68,2,FALSE)</f>
        <v>Non renseigné</v>
      </c>
      <c r="O33" s="626"/>
      <c r="P33" s="626"/>
      <c r="Q33" s="626"/>
      <c r="R33" s="626"/>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311"/>
      <c r="AI33" s="30"/>
    </row>
    <row r="34" spans="1:35" ht="30" customHeight="1" x14ac:dyDescent="0.3">
      <c r="A34" s="311"/>
      <c r="B34" s="30"/>
      <c r="C34" s="30" t="str">
        <f t="shared" si="0"/>
        <v>7</v>
      </c>
      <c r="D34" s="32">
        <f t="shared" si="2"/>
        <v>2</v>
      </c>
      <c r="E34" s="32" t="str">
        <f t="shared" si="3"/>
        <v>722</v>
      </c>
      <c r="F34" s="145" t="s">
        <v>28</v>
      </c>
      <c r="G34" s="146" t="str">
        <f>VLOOKUP(E34,BDD!$A$2:$N$567,MATCH(G$24,BDD!$A$1:$P$1,0),FALSE)</f>
        <v>Le business case évalue la rentabilité des projets en prenant en compte les gains espérés et les coûts prévisionnels globaux.</v>
      </c>
      <c r="H34" s="149" t="str">
        <f>IF(VLOOKUP($E34,BDD!$A$2:$N$567,MATCH($H$23,BDD!$A$1:$P$1,0),FALSE)=H$24,V7_Portefeuille!H$24,"")</f>
        <v/>
      </c>
      <c r="I34" s="150" t="str">
        <f>IF(VLOOKUP($E34,BDD!$A$2:$N$567,MATCH($H$23,BDD!$A$1:$P$1,0),FALSE)=I$24,V7_Portefeuille!I$24,"")</f>
        <v>N2</v>
      </c>
      <c r="J34" s="150" t="str">
        <f>IF(VLOOKUP($E34,BDD!$A$2:$N$567,MATCH($H$23,BDD!$A$1:$P$1,0),FALSE)=J$24,V7_Portefeuille!J$24,"")</f>
        <v/>
      </c>
      <c r="K34" s="150" t="str">
        <f>IF(VLOOKUP($E34,BDD!$A$2:$N$567,MATCH($H$23,BDD!$A$1:$P$1,0),FALSE)=K$24,V7_Portefeuille!K$24,"")</f>
        <v/>
      </c>
      <c r="L34" s="151" t="str">
        <f>IF(VLOOKUP($E34,BDD!$A$2:$N$567,MATCH($H$23,BDD!$A$1:$P$1,0),FALSE)=L$24,V7_Portefeuille!L$24,"")</f>
        <v/>
      </c>
      <c r="M34" s="63">
        <f t="shared" ref="M34:M38" si="4">IF(N34="Exigences partiellement respectées",1,IF(N34="Exigences respectées",2,0))</f>
        <v>0</v>
      </c>
      <c r="N34" s="146" t="str">
        <f>VLOOKUP(VLOOKUP(E34,BDD!$A$2:$P$428,15,FALSE),Suppl!$D$64:$E$68,2,FALSE)</f>
        <v>Non renseigné</v>
      </c>
      <c r="O34" s="629"/>
      <c r="P34" s="629"/>
      <c r="Q34" s="629"/>
      <c r="R34" s="629"/>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311"/>
      <c r="AI34" s="30"/>
    </row>
    <row r="35" spans="1:35" ht="30" customHeight="1" x14ac:dyDescent="0.3">
      <c r="A35" s="311"/>
      <c r="B35" s="30"/>
      <c r="C35" s="30" t="str">
        <f t="shared" si="0"/>
        <v>7</v>
      </c>
      <c r="D35" s="32">
        <f t="shared" si="2"/>
        <v>2</v>
      </c>
      <c r="E35" s="32" t="str">
        <f t="shared" si="3"/>
        <v>723</v>
      </c>
      <c r="F35" s="143" t="s">
        <v>30</v>
      </c>
      <c r="G35" s="144" t="str">
        <f>VLOOKUP(E35,BDD!$A$2:$N$567,MATCH(G$24,BDD!$A$1:$P$1,0),FALSE)</f>
        <v>Le business case inclut une analyse des risques (non-atteinte des bénéfices escomptés, dérapage des coûts et des délais, risques à ne pas faire, etc.).</v>
      </c>
      <c r="H35" s="149" t="str">
        <f>IF(VLOOKUP($E35,BDD!$A$2:$N$567,MATCH($H$23,BDD!$A$1:$P$1,0),FALSE)=H$24,V7_Portefeuille!H$24,"")</f>
        <v/>
      </c>
      <c r="I35" s="150" t="str">
        <f>IF(VLOOKUP($E35,BDD!$A$2:$N$567,MATCH($H$23,BDD!$A$1:$P$1,0),FALSE)=I$24,V7_Portefeuille!I$24,"")</f>
        <v/>
      </c>
      <c r="J35" s="150" t="str">
        <f>IF(VLOOKUP($E35,BDD!$A$2:$N$567,MATCH($H$23,BDD!$A$1:$P$1,0),FALSE)=J$24,V7_Portefeuille!J$24,"")</f>
        <v>N3</v>
      </c>
      <c r="K35" s="150" t="str">
        <f>IF(VLOOKUP($E35,BDD!$A$2:$N$567,MATCH($H$23,BDD!$A$1:$P$1,0),FALSE)=K$24,V7_Portefeuille!K$24,"")</f>
        <v/>
      </c>
      <c r="L35" s="151" t="str">
        <f>IF(VLOOKUP($E35,BDD!$A$2:$N$567,MATCH($H$23,BDD!$A$1:$P$1,0),FALSE)=L$24,V7_Portefeuille!L$24,"")</f>
        <v/>
      </c>
      <c r="M35" s="63">
        <f t="shared" si="4"/>
        <v>0</v>
      </c>
      <c r="N35" s="144" t="str">
        <f>VLOOKUP(VLOOKUP(E35,BDD!$A$2:$P$428,15,FALSE),Suppl!$D$64:$E$68,2,FALSE)</f>
        <v>Non renseigné</v>
      </c>
      <c r="O35" s="629"/>
      <c r="P35" s="629"/>
      <c r="Q35" s="629"/>
      <c r="R35" s="629"/>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311"/>
      <c r="AI35" s="30"/>
    </row>
    <row r="36" spans="1:35" ht="30" customHeight="1" x14ac:dyDescent="0.3">
      <c r="A36" s="311"/>
      <c r="B36" s="30"/>
      <c r="C36" s="30" t="str">
        <f t="shared" si="0"/>
        <v>7</v>
      </c>
      <c r="D36" s="32">
        <f t="shared" si="2"/>
        <v>2</v>
      </c>
      <c r="E36" s="32" t="str">
        <f t="shared" si="3"/>
        <v>724</v>
      </c>
      <c r="F36" s="145" t="s">
        <v>32</v>
      </c>
      <c r="G36" s="146" t="str">
        <f>VLOOKUP(E36,BDD!$A$2:$N$567,MATCH(G$24,BDD!$A$1:$P$1,0),FALSE)</f>
        <v>Le leadership de l’élaboration des business cases est assuré par les métiers en collaboration avec la DSI.</v>
      </c>
      <c r="H36" s="149" t="str">
        <f>IF(VLOOKUP($E36,BDD!$A$2:$N$567,MATCH($H$23,BDD!$A$1:$P$1,0),FALSE)=H$24,V7_Portefeuille!H$24,"")</f>
        <v/>
      </c>
      <c r="I36" s="150" t="str">
        <f>IF(VLOOKUP($E36,BDD!$A$2:$N$567,MATCH($H$23,BDD!$A$1:$P$1,0),FALSE)=I$24,V7_Portefeuille!I$24,"")</f>
        <v>N2</v>
      </c>
      <c r="J36" s="150" t="str">
        <f>IF(VLOOKUP($E36,BDD!$A$2:$N$567,MATCH($H$23,BDD!$A$1:$P$1,0),FALSE)=J$24,V7_Portefeuille!J$24,"")</f>
        <v/>
      </c>
      <c r="K36" s="150" t="str">
        <f>IF(VLOOKUP($E36,BDD!$A$2:$N$567,MATCH($H$23,BDD!$A$1:$P$1,0),FALSE)=K$24,V7_Portefeuille!K$24,"")</f>
        <v/>
      </c>
      <c r="L36" s="151" t="str">
        <f>IF(VLOOKUP($E36,BDD!$A$2:$N$567,MATCH($H$23,BDD!$A$1:$P$1,0),FALSE)=L$24,V7_Portefeuille!L$24,"")</f>
        <v/>
      </c>
      <c r="M36" s="63">
        <f t="shared" si="4"/>
        <v>0</v>
      </c>
      <c r="N36" s="146" t="str">
        <f>VLOOKUP(VLOOKUP(E36,BDD!$A$2:$P$428,15,FALSE),Suppl!$D$64:$E$68,2,FALSE)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311"/>
      <c r="AI36" s="30"/>
    </row>
    <row r="37" spans="1:35" ht="30" customHeight="1" x14ac:dyDescent="0.3">
      <c r="A37" s="311"/>
      <c r="B37" s="30"/>
      <c r="C37" s="30" t="str">
        <f t="shared" si="0"/>
        <v>7</v>
      </c>
      <c r="D37" s="32">
        <f t="shared" si="2"/>
        <v>2</v>
      </c>
      <c r="E37" s="32" t="str">
        <f t="shared" si="3"/>
        <v>725</v>
      </c>
      <c r="F37" s="143" t="s">
        <v>33</v>
      </c>
      <c r="G37" s="144" t="str">
        <f>VLOOKUP(E37,BDD!$A$2:$N$567,MATCH(G$24,BDD!$A$1:$P$1,0),FALSE)</f>
        <v>Les métiers, à l'origine des projets, y compris la DSI, sont responsables à la fois de l’atteinte des bénéfices attendus et de la gestion optimale des risques.</v>
      </c>
      <c r="H37" s="149" t="str">
        <f>IF(VLOOKUP($E37,BDD!$A$2:$N$567,MATCH($H$23,BDD!$A$1:$P$1,0),FALSE)=H$24,V7_Portefeuille!H$24,"")</f>
        <v/>
      </c>
      <c r="I37" s="150" t="str">
        <f>IF(VLOOKUP($E37,BDD!$A$2:$N$567,MATCH($H$23,BDD!$A$1:$P$1,0),FALSE)=I$24,V7_Portefeuille!I$24,"")</f>
        <v/>
      </c>
      <c r="J37" s="150" t="str">
        <f>IF(VLOOKUP($E37,BDD!$A$2:$N$567,MATCH($H$23,BDD!$A$1:$P$1,0),FALSE)=J$24,V7_Portefeuille!J$24,"")</f>
        <v/>
      </c>
      <c r="K37" s="150" t="str">
        <f>IF(VLOOKUP($E37,BDD!$A$2:$N$567,MATCH($H$23,BDD!$A$1:$P$1,0),FALSE)=K$24,V7_Portefeuille!K$24,"")</f>
        <v>N4</v>
      </c>
      <c r="L37" s="151" t="str">
        <f>IF(VLOOKUP($E37,BDD!$A$2:$N$567,MATCH($H$23,BDD!$A$1:$P$1,0),FALSE)=L$24,V7_Portefeuille!L$24,"")</f>
        <v/>
      </c>
      <c r="M37" s="63">
        <f t="shared" si="4"/>
        <v>0</v>
      </c>
      <c r="N37" s="144" t="str">
        <f>VLOOKUP(VLOOKUP(E37,BDD!$A$2:$P$428,15,FALSE),Suppl!$D$64:$E$68,2,FALSE)</f>
        <v>Non renseigné</v>
      </c>
      <c r="O37" s="629"/>
      <c r="P37" s="629"/>
      <c r="Q37" s="629"/>
      <c r="R37" s="629"/>
      <c r="S37" s="627">
        <f>IF(N37=Suppl!$E$65,0,IF(N37=Suppl!$E$66,1/2/(COUNTIFS($D:$D,D37,$N:$N,"Exigences"&amp;"*",G:G,"&lt;&gt;0")+COUNTIFS($D:$D,D37,$N:$N,"Non"&amp;"*",G:G,"&lt;&gt;0")),IF(N37=Suppl!$E$67,1/(COUNTIFS($D:$D,D37,$N:$N,"Exigences"&amp;"*",G:G,"&lt;&gt;0")+COUNTIFS($D:$D,D37,$N:$N,"Non"&amp;"*",G:G,"&lt;&gt;0")),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311"/>
      <c r="AI37" s="30"/>
    </row>
    <row r="38" spans="1:35" ht="30" customHeight="1" x14ac:dyDescent="0.3">
      <c r="A38" s="311"/>
      <c r="B38" s="30"/>
      <c r="C38" s="30" t="str">
        <f t="shared" si="0"/>
        <v>7</v>
      </c>
      <c r="D38" s="32">
        <f t="shared" si="2"/>
        <v>2</v>
      </c>
      <c r="E38" s="32" t="str">
        <f t="shared" si="3"/>
        <v>726</v>
      </c>
      <c r="F38" s="147" t="s">
        <v>34</v>
      </c>
      <c r="G38" s="148" t="str">
        <f>VLOOKUP(E38,BDD!$A$2:$N$567,MATCH(G$24,BDD!$A$1:$P$1,0),FALSE)</f>
        <v>La DSI vérifie la cohérence du business case avec la feuille de route du numérique.</v>
      </c>
      <c r="H38" s="149" t="str">
        <f>IF(VLOOKUP($E38,BDD!$A$2:$N$567,MATCH($H$23,BDD!$A$1:$P$1,0),FALSE)=H$24,V7_Portefeuille!H$24,"")</f>
        <v/>
      </c>
      <c r="I38" s="150" t="str">
        <f>IF(VLOOKUP($E38,BDD!$A$2:$N$567,MATCH($H$23,BDD!$A$1:$P$1,0),FALSE)=I$24,V7_Portefeuille!I$24,"")</f>
        <v/>
      </c>
      <c r="J38" s="150" t="str">
        <f>IF(VLOOKUP($E38,BDD!$A$2:$N$567,MATCH($H$23,BDD!$A$1:$P$1,0),FALSE)=J$24,V7_Portefeuille!J$24,"")</f>
        <v>N3</v>
      </c>
      <c r="K38" s="150" t="str">
        <f>IF(VLOOKUP($E38,BDD!$A$2:$N$567,MATCH($H$23,BDD!$A$1:$P$1,0),FALSE)=K$24,V7_Portefeuille!K$24,"")</f>
        <v/>
      </c>
      <c r="L38" s="151" t="str">
        <f>IF(VLOOKUP($E38,BDD!$A$2:$N$567,MATCH($H$23,BDD!$A$1:$P$1,0),FALSE)=L$24,V7_Portefeuille!L$24,"")</f>
        <v/>
      </c>
      <c r="M38" s="63">
        <f t="shared" si="4"/>
        <v>0</v>
      </c>
      <c r="N38" s="148" t="str">
        <f>VLOOKUP(VLOOKUP(E38,BDD!$A$2:$P$428,15,FALSE),Suppl!$D$64:$E$68,2,FALSE)</f>
        <v>Non renseigné</v>
      </c>
      <c r="O38" s="629"/>
      <c r="P38" s="629"/>
      <c r="Q38" s="629"/>
      <c r="R38" s="629"/>
      <c r="S38" s="627">
        <f>IF(N38=Suppl!$E$65,0,IF(N38=Suppl!$E$66,1/2/(COUNTIFS($D:$D,D38,$N:$N,"Exigences"&amp;"*",G:G,"&lt;&gt;0")+COUNTIFS($D:$D,D38,$N:$N,"Non"&amp;"*",G:G,"&lt;&gt;0")),IF(N38=Suppl!$E$67,1/(COUNTIFS($D:$D,D38,$N:$N,"Exigences"&amp;"*",G:G,"&lt;&gt;0")+COUNTIFS($D:$D,D38,$N:$N,"Non"&amp;"*",G:G,"&lt;&gt;0")),0)))</f>
        <v>0</v>
      </c>
      <c r="T38" s="627"/>
      <c r="U38" s="627"/>
      <c r="V38" s="628"/>
      <c r="W38" s="356">
        <f>IFERROR(IF(N38=Suppl!$E$65,0,IF(N38=Suppl!$E$66,1/2/(COUNTIFS($N:$N,"Exigences"&amp;"*")+COUNTIFS($N:$N,"Non"&amp;"*")),IF(N38=Suppl!$E$67,1/(COUNTIFS($N:$N,"Exigences"&amp;"*")+COUNTIFS($N:$N,"Non"&amp;"*")),0))),0)</f>
        <v>0</v>
      </c>
      <c r="X38" s="30"/>
      <c r="Y38" s="30"/>
      <c r="Z38" s="30"/>
      <c r="AA38" s="30"/>
      <c r="AB38" s="30"/>
      <c r="AC38" s="30"/>
      <c r="AD38" s="30"/>
      <c r="AE38" s="30"/>
      <c r="AF38" s="30"/>
      <c r="AG38" s="30"/>
      <c r="AH38" s="311"/>
      <c r="AI38" s="30"/>
    </row>
    <row r="39" spans="1:35" ht="30" customHeight="1" x14ac:dyDescent="0.3">
      <c r="A39" s="311"/>
      <c r="B39" s="30"/>
      <c r="C39" s="30" t="str">
        <f t="shared" si="0"/>
        <v>7</v>
      </c>
      <c r="D39" s="32">
        <f t="shared" si="2"/>
        <v>3</v>
      </c>
      <c r="E39" s="32" t="str">
        <f t="shared" si="3"/>
        <v>733</v>
      </c>
      <c r="F39" s="191" t="s">
        <v>501</v>
      </c>
      <c r="G39" s="192" t="str">
        <f>VLOOKUP(E41,BDD!$A$2:$N$567,6,FALSE)</f>
        <v>Innovation</v>
      </c>
      <c r="H39" s="190"/>
      <c r="I39" s="135"/>
      <c r="J39" s="135"/>
      <c r="K39" s="135"/>
      <c r="L39" s="136"/>
      <c r="M39" s="137"/>
      <c r="N39" s="138"/>
      <c r="O39" s="630">
        <v>0</v>
      </c>
      <c r="P39" s="630"/>
      <c r="Q39" s="630"/>
      <c r="R39" s="630"/>
      <c r="S39" s="632">
        <f>SUMIFS(S:S,$D:$D,D39,$N:$N,"Exigences"&amp;"*")</f>
        <v>0</v>
      </c>
      <c r="T39" s="632"/>
      <c r="U39" s="632"/>
      <c r="V39" s="633"/>
      <c r="W39" s="356">
        <f>IFERROR(IF(N39=Suppl!$E$65,0,IF(N39=Suppl!$E$66,1/2/(COUNTIFS($N:$N,"Exigences"&amp;"*")+COUNTIFS($N:$N,"Non"&amp;"*")),IF(N39=Suppl!$E$67,1/(COUNTIFS($N:$N,"Exigences"&amp;"*")+COUNTIFS($N:$N,"Non"&amp;"*")),0))),0)</f>
        <v>0</v>
      </c>
      <c r="X39" s="30"/>
      <c r="Y39" s="30"/>
      <c r="Z39" s="30"/>
      <c r="AA39" s="30"/>
      <c r="AB39" s="30"/>
      <c r="AC39" s="30"/>
      <c r="AD39" s="30"/>
      <c r="AE39" s="30"/>
      <c r="AF39" s="30"/>
      <c r="AG39" s="30"/>
      <c r="AH39" s="311"/>
      <c r="AI39" s="30"/>
    </row>
    <row r="40" spans="1:35" ht="30" customHeight="1" x14ac:dyDescent="0.3">
      <c r="A40" s="311"/>
      <c r="B40" s="30"/>
      <c r="C40" s="30" t="str">
        <f t="shared" si="0"/>
        <v>7</v>
      </c>
      <c r="D40" s="32">
        <f t="shared" si="2"/>
        <v>3</v>
      </c>
      <c r="E40" s="32" t="str">
        <f t="shared" si="3"/>
        <v>731</v>
      </c>
      <c r="F40" s="211" t="s">
        <v>550</v>
      </c>
      <c r="G40" s="193" t="str">
        <f>VLOOKUP(E42,BDD!$A$2:$N$567,7,FALSE)</f>
        <v>Le portefeuille de projets intègre les projets d’industrialisation des initiatives d’innovation (PoC, MVP, Labs et autres travaux de R&amp;D).</v>
      </c>
      <c r="H40" s="139"/>
      <c r="I40" s="139"/>
      <c r="J40" s="139"/>
      <c r="K40" s="139"/>
      <c r="L40" s="140"/>
      <c r="M40" s="141"/>
      <c r="N40" s="142"/>
      <c r="O40" s="631"/>
      <c r="P40" s="631"/>
      <c r="Q40" s="631"/>
      <c r="R40" s="631"/>
      <c r="S40" s="634"/>
      <c r="T40" s="634"/>
      <c r="U40" s="634"/>
      <c r="V40" s="635"/>
      <c r="W40" s="356">
        <f>IFERROR(IF(N40=Suppl!$E$65,0,IF(N40=Suppl!$E$66,1/2/(COUNTIFS($N:$N,"Exigences"&amp;"*")+COUNTIFS($N:$N,"Non"&amp;"*")),IF(N40=Suppl!$E$67,1/(COUNTIFS($N:$N,"Exigences"&amp;"*")+COUNTIFS($N:$N,"Non"&amp;"*")),0))),0)</f>
        <v>0</v>
      </c>
      <c r="X40" s="30"/>
      <c r="Y40" s="30"/>
      <c r="Z40" s="30"/>
      <c r="AA40" s="30"/>
      <c r="AB40" s="30"/>
      <c r="AC40" s="30"/>
      <c r="AD40" s="30"/>
      <c r="AE40" s="30"/>
      <c r="AF40" s="30"/>
      <c r="AG40" s="30"/>
      <c r="AH40" s="311"/>
      <c r="AI40" s="30"/>
    </row>
    <row r="41" spans="1:35" ht="30" customHeight="1" x14ac:dyDescent="0.3">
      <c r="A41" s="311"/>
      <c r="B41" s="30"/>
      <c r="C41" s="30" t="str">
        <f t="shared" si="0"/>
        <v>7</v>
      </c>
      <c r="D41" s="32">
        <f t="shared" si="2"/>
        <v>3</v>
      </c>
      <c r="E41" s="32" t="str">
        <f t="shared" si="3"/>
        <v>731</v>
      </c>
      <c r="F41" s="143" t="s">
        <v>27</v>
      </c>
      <c r="G41" s="144" t="str">
        <f>VLOOKUP(E41,BDD!$A$2:$N$567,MATCH(G$24,BDD!$A$1:$P$1,0),FALSE)</f>
        <v>La DSI recense les initiatives qui ont vocation à être industrialisées auprès des acteurs de l’innovation.</v>
      </c>
      <c r="H41" s="149" t="str">
        <f>IF(VLOOKUP($E41,BDD!$A$2:$N$567,MATCH($H$23,BDD!$A$1:$P$1,0),FALSE)=H$24,V7_Portefeuille!H$24,"")</f>
        <v/>
      </c>
      <c r="I41" s="150" t="str">
        <f>IF(VLOOKUP($E41,BDD!$A$2:$N$567,MATCH($H$23,BDD!$A$1:$P$1,0),FALSE)=I$24,V7_Portefeuille!I$24,"")</f>
        <v/>
      </c>
      <c r="J41" s="150" t="str">
        <f>IF(VLOOKUP($E41,BDD!$A$2:$N$567,MATCH($H$23,BDD!$A$1:$P$1,0),FALSE)=J$24,V7_Portefeuille!J$24,"")</f>
        <v>N3</v>
      </c>
      <c r="K41" s="150" t="str">
        <f>IF(VLOOKUP($E41,BDD!$A$2:$N$567,MATCH($H$23,BDD!$A$1:$P$1,0),FALSE)=K$24,V7_Portefeuille!K$24,"")</f>
        <v/>
      </c>
      <c r="L41" s="151" t="str">
        <f>IF(VLOOKUP($E41,BDD!$A$2:$N$567,MATCH($H$23,BDD!$A$1:$P$1,0),FALSE)=L$24,V7_Portefeuille!L$24,"")</f>
        <v/>
      </c>
      <c r="M41" s="63">
        <f t="shared" ref="M41:M42" si="5">IF(N41="Exigences partiellement respectées",1,IF(N41="Exigences respectées",2,0))</f>
        <v>0</v>
      </c>
      <c r="N41" s="144" t="str">
        <f>VLOOKUP(VLOOKUP(E41,BDD!$A$2:$P$428,15,FALSE),Suppl!$D$64:$E$68,2,FALSE)</f>
        <v>Non renseigné</v>
      </c>
      <c r="O41" s="626"/>
      <c r="P41" s="626"/>
      <c r="Q41" s="626"/>
      <c r="R41" s="626"/>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311"/>
      <c r="AI41" s="30"/>
    </row>
    <row r="42" spans="1:35" ht="40.799999999999997" customHeight="1" x14ac:dyDescent="0.3">
      <c r="A42" s="311"/>
      <c r="B42" s="30"/>
      <c r="C42" s="30" t="str">
        <f t="shared" si="0"/>
        <v>7</v>
      </c>
      <c r="D42" s="32">
        <f t="shared" si="2"/>
        <v>3</v>
      </c>
      <c r="E42" s="32" t="str">
        <f t="shared" si="3"/>
        <v>732</v>
      </c>
      <c r="F42" s="145" t="s">
        <v>28</v>
      </c>
      <c r="G42" s="146" t="str">
        <f>VLOOKUP(E42,BDD!$A$2:$N$567,MATCH(G$24,BDD!$A$1:$P$1,0),FALSE)</f>
        <v>La gouvernance du portefeuille est adaptée pour gérer ces initiatives d’innovation en fonction de leurs spécificités (notamment les enjeux de time-to-market).</v>
      </c>
      <c r="H42" s="149" t="str">
        <f>IF(VLOOKUP($E42,BDD!$A$2:$N$567,MATCH($H$23,BDD!$A$1:$P$1,0),FALSE)=H$24,V7_Portefeuille!H$24,"")</f>
        <v/>
      </c>
      <c r="I42" s="150" t="str">
        <f>IF(VLOOKUP($E42,BDD!$A$2:$N$567,MATCH($H$23,BDD!$A$1:$P$1,0),FALSE)=I$24,V7_Portefeuille!I$24,"")</f>
        <v/>
      </c>
      <c r="J42" s="150" t="str">
        <f>IF(VLOOKUP($E42,BDD!$A$2:$N$567,MATCH($H$23,BDD!$A$1:$P$1,0),FALSE)=J$24,V7_Portefeuille!J$24,"")</f>
        <v>N3</v>
      </c>
      <c r="K42" s="150" t="str">
        <f>IF(VLOOKUP($E42,BDD!$A$2:$N$567,MATCH($H$23,BDD!$A$1:$P$1,0),FALSE)=K$24,V7_Portefeuille!K$24,"")</f>
        <v/>
      </c>
      <c r="L42" s="151" t="str">
        <f>IF(VLOOKUP($E42,BDD!$A$2:$N$567,MATCH($H$23,BDD!$A$1:$P$1,0),FALSE)=L$24,V7_Portefeuille!L$24,"")</f>
        <v/>
      </c>
      <c r="M42" s="63">
        <f t="shared" si="5"/>
        <v>0</v>
      </c>
      <c r="N42" s="146" t="str">
        <f>VLOOKUP(VLOOKUP(E42,BDD!$A$2:$P$428,15,FALSE),Suppl!$D$64:$E$68,2,FALSE)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311"/>
      <c r="AI42" s="30"/>
    </row>
    <row r="43" spans="1:35" ht="30" customHeight="1" x14ac:dyDescent="0.3">
      <c r="A43" s="311"/>
      <c r="B43" s="30"/>
      <c r="C43" s="30" t="str">
        <f t="shared" si="0"/>
        <v>7</v>
      </c>
      <c r="D43" s="32">
        <f t="shared" si="2"/>
        <v>4</v>
      </c>
      <c r="E43" s="32" t="str">
        <f t="shared" si="3"/>
        <v>744</v>
      </c>
      <c r="F43" s="191" t="s">
        <v>502</v>
      </c>
      <c r="G43" s="192" t="str">
        <f>VLOOKUP(E45,BDD!$A$2:$N$567,6,FALSE)</f>
        <v>Innovation</v>
      </c>
      <c r="H43" s="190"/>
      <c r="I43" s="135"/>
      <c r="J43" s="135"/>
      <c r="K43" s="135"/>
      <c r="L43" s="136"/>
      <c r="M43" s="137"/>
      <c r="N43" s="138"/>
      <c r="O43" s="630">
        <v>0</v>
      </c>
      <c r="P43" s="630"/>
      <c r="Q43" s="630"/>
      <c r="R43" s="630"/>
      <c r="S43" s="632">
        <f>SUMIFS(S:S,$D:$D,D43,$N:$N,"Exigences"&amp;"*")</f>
        <v>0</v>
      </c>
      <c r="T43" s="632"/>
      <c r="U43" s="632"/>
      <c r="V43" s="633"/>
      <c r="W43" s="356">
        <f>IFERROR(IF(N43=Suppl!$E$65,0,IF(N43=Suppl!$E$66,1/2/(COUNTIFS($N:$N,"Exigences"&amp;"*")+COUNTIFS($N:$N,"Non"&amp;"*")),IF(N43=Suppl!$E$67,1/(COUNTIFS($N:$N,"Exigences"&amp;"*")+COUNTIFS($N:$N,"Non"&amp;"*")),0))),0)</f>
        <v>0</v>
      </c>
      <c r="X43" s="30"/>
      <c r="Y43" s="30"/>
      <c r="Z43" s="30"/>
      <c r="AA43" s="30"/>
      <c r="AB43" s="30"/>
      <c r="AC43" s="30"/>
      <c r="AD43" s="30"/>
      <c r="AE43" s="30"/>
      <c r="AF43" s="30"/>
      <c r="AG43" s="30"/>
      <c r="AH43" s="311"/>
      <c r="AI43" s="30"/>
    </row>
    <row r="44" spans="1:35" ht="30" customHeight="1" x14ac:dyDescent="0.3">
      <c r="A44" s="311"/>
      <c r="B44" s="30"/>
      <c r="C44" s="30" t="str">
        <f t="shared" si="0"/>
        <v>7</v>
      </c>
      <c r="D44" s="32">
        <f t="shared" si="2"/>
        <v>4</v>
      </c>
      <c r="E44" s="32" t="str">
        <f t="shared" si="3"/>
        <v>741</v>
      </c>
      <c r="F44" s="211" t="s">
        <v>550</v>
      </c>
      <c r="G44" s="620" t="str">
        <f>VLOOKUP(E46,BDD!$A$2:$N$567,7,FALSE)</f>
        <v>Un processus de gestion des priorités de lancement (inter-projets) basé sur les business case est mis en place et implique les directions métiers au niveau du Comité de direction pour les projets clés.</v>
      </c>
      <c r="H44" s="621"/>
      <c r="I44" s="621"/>
      <c r="J44" s="621"/>
      <c r="K44" s="621"/>
      <c r="L44" s="621"/>
      <c r="M44" s="621"/>
      <c r="N44" s="622"/>
      <c r="O44" s="631"/>
      <c r="P44" s="631"/>
      <c r="Q44" s="631"/>
      <c r="R44" s="631"/>
      <c r="S44" s="634"/>
      <c r="T44" s="634"/>
      <c r="U44" s="634"/>
      <c r="V44" s="635"/>
      <c r="W44" s="356">
        <f>IFERROR(IF(N44=Suppl!$E$65,0,IF(N44=Suppl!$E$66,1/2/(COUNTIFS($N:$N,"Exigences"&amp;"*")+COUNTIFS($N:$N,"Non"&amp;"*")),IF(N44=Suppl!$E$67,1/(COUNTIFS($N:$N,"Exigences"&amp;"*")+COUNTIFS($N:$N,"Non"&amp;"*")),0))),0)</f>
        <v>0</v>
      </c>
      <c r="X44" s="30"/>
      <c r="Y44" s="30"/>
      <c r="Z44" s="30"/>
      <c r="AA44" s="30"/>
      <c r="AB44" s="30"/>
      <c r="AC44" s="30"/>
      <c r="AD44" s="30"/>
      <c r="AE44" s="30"/>
      <c r="AF44" s="30"/>
      <c r="AG44" s="30"/>
      <c r="AH44" s="311"/>
      <c r="AI44" s="30"/>
    </row>
    <row r="45" spans="1:35" ht="41.4" x14ac:dyDescent="0.3">
      <c r="A45" s="311"/>
      <c r="B45" s="30"/>
      <c r="C45" s="30" t="str">
        <f t="shared" si="0"/>
        <v>7</v>
      </c>
      <c r="D45" s="32">
        <f t="shared" si="2"/>
        <v>4</v>
      </c>
      <c r="E45" s="32" t="str">
        <f t="shared" si="3"/>
        <v>741</v>
      </c>
      <c r="F45" s="143" t="s">
        <v>27</v>
      </c>
      <c r="G45" s="144" t="str">
        <f>VLOOKUP(E45,BDD!$A$2:$N$567,MATCH(G$24,BDD!$A$1:$P$1,0),FALSE)</f>
        <v>Pour prioriser leur lancement, les projets du portefeuille sont évalués en fonction des bénéfices escomptés pour l’entreprise, des risques inhérents, et du cadre budgétaire de l’organisation.</v>
      </c>
      <c r="H45" s="149" t="str">
        <f>IF(VLOOKUP($E45,BDD!$A$2:$N$567,MATCH($H$23,BDD!$A$1:$P$1,0),FALSE)=H$24,V7_Portefeuille!H$24,"")</f>
        <v/>
      </c>
      <c r="I45" s="150" t="str">
        <f>IF(VLOOKUP($E45,BDD!$A$2:$N$567,MATCH($H$23,BDD!$A$1:$P$1,0),FALSE)=I$24,V7_Portefeuille!I$24,"")</f>
        <v>N2</v>
      </c>
      <c r="J45" s="150" t="str">
        <f>IF(VLOOKUP($E45,BDD!$A$2:$N$567,MATCH($H$23,BDD!$A$1:$P$1,0),FALSE)=J$24,V7_Portefeuille!J$24,"")</f>
        <v/>
      </c>
      <c r="K45" s="150" t="str">
        <f>IF(VLOOKUP($E45,BDD!$A$2:$N$567,MATCH($H$23,BDD!$A$1:$P$1,0),FALSE)=K$24,V7_Portefeuille!K$24,"")</f>
        <v/>
      </c>
      <c r="L45" s="151" t="str">
        <f>IF(VLOOKUP($E45,BDD!$A$2:$N$567,MATCH($H$23,BDD!$A$1:$P$1,0),FALSE)=L$24,V7_Portefeuille!L$24,"")</f>
        <v/>
      </c>
      <c r="M45" s="63">
        <f t="shared" ref="M45:M49" si="6">IF(N45="Exigences partiellement respectées",1,IF(N45="Exigences respectées",2,0))</f>
        <v>0</v>
      </c>
      <c r="N45" s="144" t="str">
        <f>VLOOKUP(VLOOKUP(E45,BDD!$A$2:$P$428,15,FALSE),Suppl!$D$64:$E$68,2,FALSE)</f>
        <v>Non renseigné</v>
      </c>
      <c r="O45" s="626"/>
      <c r="P45" s="626"/>
      <c r="Q45" s="626"/>
      <c r="R45" s="626"/>
      <c r="S45" s="627">
        <f>IF(N45=Suppl!$E$65,0,IF(N45=Suppl!$E$66,1/2/(COUNTIFS($D:$D,D45,$N:$N,"Exigences"&amp;"*",G:G,"&lt;&gt;0")+COUNTIFS($D:$D,D45,$N:$N,"Non"&amp;"*",G:G,"&lt;&gt;0")),IF(N45=Suppl!$E$67,1/(COUNTIFS($D:$D,D45,$N:$N,"Exigences"&amp;"*",G:G,"&lt;&gt;0")+COUNTIFS($D:$D,D45,$N:$N,"Non"&amp;"*",G:G,"&lt;&gt;0")),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311"/>
      <c r="AI45" s="30"/>
    </row>
    <row r="46" spans="1:35" ht="30" customHeight="1" x14ac:dyDescent="0.3">
      <c r="A46" s="311"/>
      <c r="B46" s="30"/>
      <c r="C46" s="30" t="str">
        <f t="shared" si="0"/>
        <v>7</v>
      </c>
      <c r="D46" s="32">
        <f t="shared" si="2"/>
        <v>4</v>
      </c>
      <c r="E46" s="32" t="str">
        <f t="shared" si="3"/>
        <v>742</v>
      </c>
      <c r="F46" s="145" t="s">
        <v>28</v>
      </c>
      <c r="G46" s="146" t="str">
        <f>VLOOKUP(E46,BDD!$A$2:$N$567,MATCH(G$24,BDD!$A$1:$P$1,0),FALSE)</f>
        <v>La gouvernance numérique de l'organisation prévoit les modalités et les instances de lancement de projet.</v>
      </c>
      <c r="H46" s="149" t="str">
        <f>IF(VLOOKUP($E46,BDD!$A$2:$N$567,MATCH($H$23,BDD!$A$1:$P$1,0),FALSE)=H$24,V7_Portefeuille!H$24,"")</f>
        <v>N1</v>
      </c>
      <c r="I46" s="150" t="str">
        <f>IF(VLOOKUP($E46,BDD!$A$2:$N$567,MATCH($H$23,BDD!$A$1:$P$1,0),FALSE)=I$24,V7_Portefeuille!I$24,"")</f>
        <v/>
      </c>
      <c r="J46" s="150" t="str">
        <f>IF(VLOOKUP($E46,BDD!$A$2:$N$567,MATCH($H$23,BDD!$A$1:$P$1,0),FALSE)=J$24,V7_Portefeuille!J$24,"")</f>
        <v/>
      </c>
      <c r="K46" s="150" t="str">
        <f>IF(VLOOKUP($E46,BDD!$A$2:$N$567,MATCH($H$23,BDD!$A$1:$P$1,0),FALSE)=K$24,V7_Portefeuille!K$24,"")</f>
        <v/>
      </c>
      <c r="L46" s="151" t="str">
        <f>IF(VLOOKUP($E46,BDD!$A$2:$N$567,MATCH($H$23,BDD!$A$1:$P$1,0),FALSE)=L$24,V7_Portefeuille!L$24,"")</f>
        <v/>
      </c>
      <c r="M46" s="63">
        <f t="shared" si="6"/>
        <v>0</v>
      </c>
      <c r="N46" s="146" t="str">
        <f>VLOOKUP(VLOOKUP(E46,BDD!$A$2:$P$428,15,FALSE),Suppl!$D$64:$E$68,2,FALSE)</f>
        <v>Non renseigné</v>
      </c>
      <c r="O46" s="629"/>
      <c r="P46" s="629"/>
      <c r="Q46" s="629"/>
      <c r="R46" s="629"/>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311"/>
      <c r="AI46" s="30"/>
    </row>
    <row r="47" spans="1:35" ht="41.4" x14ac:dyDescent="0.3">
      <c r="A47" s="311"/>
      <c r="B47" s="30"/>
      <c r="C47" s="30" t="str">
        <f t="shared" si="0"/>
        <v>7</v>
      </c>
      <c r="D47" s="32">
        <f t="shared" si="2"/>
        <v>4</v>
      </c>
      <c r="E47" s="32" t="str">
        <f t="shared" si="3"/>
        <v>743</v>
      </c>
      <c r="F47" s="143" t="s">
        <v>30</v>
      </c>
      <c r="G47" s="144" t="str">
        <f>VLOOKUP(E47,BDD!$A$2:$N$567,MATCH(G$24,BDD!$A$1:$P$1,0),FALSE)</f>
        <v>Les décisions de lancement des projets sont prises lors de sessions ad-hoc réunissant l’instance décisionnaire (par exemple, le comité exécutif) ainsi que les représentants des métiers, de la DSI, des finances, et des RH.</v>
      </c>
      <c r="H47" s="149" t="str">
        <f>IF(VLOOKUP($E47,BDD!$A$2:$N$567,MATCH($H$23,BDD!$A$1:$P$1,0),FALSE)=H$24,V7_Portefeuille!H$24,"")</f>
        <v/>
      </c>
      <c r="I47" s="150" t="str">
        <f>IF(VLOOKUP($E47,BDD!$A$2:$N$567,MATCH($H$23,BDD!$A$1:$P$1,0),FALSE)=I$24,V7_Portefeuille!I$24,"")</f>
        <v/>
      </c>
      <c r="J47" s="150" t="str">
        <f>IF(VLOOKUP($E47,BDD!$A$2:$N$567,MATCH($H$23,BDD!$A$1:$P$1,0),FALSE)=J$24,V7_Portefeuille!J$24,"")</f>
        <v>N3</v>
      </c>
      <c r="K47" s="150" t="str">
        <f>IF(VLOOKUP($E47,BDD!$A$2:$N$567,MATCH($H$23,BDD!$A$1:$P$1,0),FALSE)=K$24,V7_Portefeuille!K$24,"")</f>
        <v/>
      </c>
      <c r="L47" s="151" t="str">
        <f>IF(VLOOKUP($E47,BDD!$A$2:$N$567,MATCH($H$23,BDD!$A$1:$P$1,0),FALSE)=L$24,V7_Portefeuille!L$24,"")</f>
        <v/>
      </c>
      <c r="M47" s="63">
        <f t="shared" si="6"/>
        <v>0</v>
      </c>
      <c r="N47" s="144"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311"/>
      <c r="AI47" s="30"/>
    </row>
    <row r="48" spans="1:35" ht="30" customHeight="1" x14ac:dyDescent="0.3">
      <c r="A48" s="311"/>
      <c r="B48" s="30"/>
      <c r="C48" s="30" t="str">
        <f t="shared" si="0"/>
        <v>7</v>
      </c>
      <c r="D48" s="32">
        <f t="shared" si="2"/>
        <v>4</v>
      </c>
      <c r="E48" s="32" t="str">
        <f t="shared" si="3"/>
        <v>744</v>
      </c>
      <c r="F48" s="145" t="s">
        <v>32</v>
      </c>
      <c r="G48" s="146" t="str">
        <f>VLOOKUP(E48,BDD!$A$2:$N$567,MATCH(G$24,BDD!$A$1:$P$1,0),FALSE)</f>
        <v>Les décisions de lancement des projets s’adaptent en fonction des enjeux stratégiques de l’entreprise et de son environnement concurrentiel (time-to-market).</v>
      </c>
      <c r="H48" s="149" t="str">
        <f>IF(VLOOKUP($E48,BDD!$A$2:$N$567,MATCH($H$23,BDD!$A$1:$P$1,0),FALSE)=H$24,V7_Portefeuille!H$24,"")</f>
        <v/>
      </c>
      <c r="I48" s="150" t="str">
        <f>IF(VLOOKUP($E48,BDD!$A$2:$N$567,MATCH($H$23,BDD!$A$1:$P$1,0),FALSE)=I$24,V7_Portefeuille!I$24,"")</f>
        <v>N2</v>
      </c>
      <c r="J48" s="150" t="str">
        <f>IF(VLOOKUP($E48,BDD!$A$2:$N$567,MATCH($H$23,BDD!$A$1:$P$1,0),FALSE)=J$24,V7_Portefeuille!J$24,"")</f>
        <v/>
      </c>
      <c r="K48" s="150" t="str">
        <f>IF(VLOOKUP($E48,BDD!$A$2:$N$567,MATCH($H$23,BDD!$A$1:$P$1,0),FALSE)=K$24,V7_Portefeuille!K$24,"")</f>
        <v/>
      </c>
      <c r="L48" s="151" t="str">
        <f>IF(VLOOKUP($E48,BDD!$A$2:$N$567,MATCH($H$23,BDD!$A$1:$P$1,0),FALSE)=L$24,V7_Portefeuille!L$24,"")</f>
        <v/>
      </c>
      <c r="M48" s="63">
        <f t="shared" si="6"/>
        <v>0</v>
      </c>
      <c r="N48" s="146" t="str">
        <f>VLOOKUP(VLOOKUP(E48,BDD!$A$2:$P$428,15,FALSE),Suppl!$D$64:$E$68,2,FALSE)</f>
        <v>Non renseigné</v>
      </c>
      <c r="O48" s="629"/>
      <c r="P48" s="629"/>
      <c r="Q48" s="629"/>
      <c r="R48" s="629"/>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311"/>
      <c r="AI48" s="30"/>
    </row>
    <row r="49" spans="1:35" ht="30" customHeight="1" x14ac:dyDescent="0.3">
      <c r="A49" s="311"/>
      <c r="B49" s="30"/>
      <c r="C49" s="30" t="str">
        <f t="shared" si="0"/>
        <v>7</v>
      </c>
      <c r="D49" s="32">
        <f t="shared" si="2"/>
        <v>4</v>
      </c>
      <c r="E49" s="32" t="str">
        <f t="shared" si="3"/>
        <v>745</v>
      </c>
      <c r="F49" s="143" t="s">
        <v>33</v>
      </c>
      <c r="G49" s="144" t="str">
        <f>VLOOKUP(E49,BDD!$A$2:$N$567,MATCH(G$24,BDD!$A$1:$P$1,0),FALSE)</f>
        <v>Les décisions de lancement de projet sont alimentées par les bilans de projets passés et l'expérience ainsi capitalisée.</v>
      </c>
      <c r="H49" s="149" t="str">
        <f>IF(VLOOKUP($E49,BDD!$A$2:$N$567,MATCH($H$23,BDD!$A$1:$P$1,0),FALSE)=H$24,V7_Portefeuille!H$24,"")</f>
        <v/>
      </c>
      <c r="I49" s="150" t="str">
        <f>IF(VLOOKUP($E49,BDD!$A$2:$N$567,MATCH($H$23,BDD!$A$1:$P$1,0),FALSE)=I$24,V7_Portefeuille!I$24,"")</f>
        <v/>
      </c>
      <c r="J49" s="150" t="str">
        <f>IF(VLOOKUP($E49,BDD!$A$2:$N$567,MATCH($H$23,BDD!$A$1:$P$1,0),FALSE)=J$24,V7_Portefeuille!J$24,"")</f>
        <v/>
      </c>
      <c r="K49" s="150" t="str">
        <f>IF(VLOOKUP($E49,BDD!$A$2:$N$567,MATCH($H$23,BDD!$A$1:$P$1,0),FALSE)=K$24,V7_Portefeuille!K$24,"")</f>
        <v/>
      </c>
      <c r="L49" s="151" t="str">
        <f>IF(VLOOKUP($E49,BDD!$A$2:$N$567,MATCH($H$23,BDD!$A$1:$P$1,0),FALSE)=L$24,V7_Portefeuille!L$24,"")</f>
        <v>N5</v>
      </c>
      <c r="M49" s="63">
        <f t="shared" si="6"/>
        <v>0</v>
      </c>
      <c r="N49" s="144" t="str">
        <f>VLOOKUP(VLOOKUP(E49,BDD!$A$2:$P$428,15,FALSE),Suppl!$D$64:$E$68,2,FALSE)</f>
        <v>Non renseigné</v>
      </c>
      <c r="O49" s="629"/>
      <c r="P49" s="629"/>
      <c r="Q49" s="629"/>
      <c r="R49" s="629"/>
      <c r="S49" s="627">
        <f>IF(N49=Suppl!$E$65,0,IF(N49=Suppl!$E$66,1/2/(COUNTIFS($D:$D,D49,$N:$N,"Exigences"&amp;"*",G:G,"&lt;&gt;0")+COUNTIFS($D:$D,D49,$N:$N,"Non"&amp;"*",G:G,"&lt;&gt;0")),IF(N49=Suppl!$E$67,1/(COUNTIFS($D:$D,D49,$N:$N,"Exigences"&amp;"*",G:G,"&lt;&gt;0")+COUNTIFS($D:$D,D49,$N:$N,"Non"&amp;"*",G:G,"&lt;&gt;0")),0)))</f>
        <v>0</v>
      </c>
      <c r="T49" s="627"/>
      <c r="U49" s="627"/>
      <c r="V49" s="628"/>
      <c r="W49" s="356">
        <f>IFERROR(IF(N49=Suppl!$E$65,0,IF(N49=Suppl!$E$66,1/2/(COUNTIFS($N:$N,"Exigences"&amp;"*")+COUNTIFS($N:$N,"Non"&amp;"*")),IF(N49=Suppl!$E$67,1/(COUNTIFS($N:$N,"Exigences"&amp;"*")+COUNTIFS($N:$N,"Non"&amp;"*")),0))),0)</f>
        <v>0</v>
      </c>
      <c r="X49" s="30"/>
      <c r="Y49" s="30"/>
      <c r="Z49" s="30"/>
      <c r="AA49" s="30"/>
      <c r="AB49" s="30"/>
      <c r="AC49" s="30"/>
      <c r="AD49" s="30"/>
      <c r="AE49" s="30"/>
      <c r="AF49" s="30"/>
      <c r="AG49" s="30"/>
      <c r="AH49" s="311"/>
      <c r="AI49" s="30"/>
    </row>
    <row r="50" spans="1:35" ht="30" customHeight="1" x14ac:dyDescent="0.3">
      <c r="A50" s="311"/>
      <c r="B50" s="30"/>
      <c r="C50" s="30" t="str">
        <f t="shared" si="0"/>
        <v>7</v>
      </c>
      <c r="D50" s="32">
        <f t="shared" si="2"/>
        <v>5</v>
      </c>
      <c r="E50" s="32" t="str">
        <f t="shared" si="3"/>
        <v>755</v>
      </c>
      <c r="F50" s="191" t="s">
        <v>503</v>
      </c>
      <c r="G50" s="192" t="str">
        <f>VLOOKUP(E52,BDD!$A$2:$N$567,6,FALSE)</f>
        <v>Suivi et recadrage des projets lancés</v>
      </c>
      <c r="H50" s="190"/>
      <c r="I50" s="135"/>
      <c r="J50" s="135"/>
      <c r="K50" s="135"/>
      <c r="L50" s="136"/>
      <c r="M50" s="137"/>
      <c r="N50" s="138"/>
      <c r="O50" s="630">
        <v>0</v>
      </c>
      <c r="P50" s="630"/>
      <c r="Q50" s="630"/>
      <c r="R50" s="630"/>
      <c r="S50" s="632">
        <f>SUMIFS(S:S,$D:$D,D50,$N:$N,"Exigences"&amp;"*")</f>
        <v>0</v>
      </c>
      <c r="T50" s="632"/>
      <c r="U50" s="632"/>
      <c r="V50" s="633"/>
      <c r="W50" s="356">
        <f>IFERROR(IF(N50=Suppl!$E$65,0,IF(N50=Suppl!$E$66,1/2/(COUNTIFS($N:$N,"Exigences"&amp;"*")+COUNTIFS($N:$N,"Non"&amp;"*")),IF(N50=Suppl!$E$67,1/(COUNTIFS($N:$N,"Exigences"&amp;"*")+COUNTIFS($N:$N,"Non"&amp;"*")),0))),0)</f>
        <v>0</v>
      </c>
      <c r="X50" s="30"/>
      <c r="Y50" s="30"/>
      <c r="Z50" s="30"/>
      <c r="AA50" s="30"/>
      <c r="AB50" s="30"/>
      <c r="AC50" s="30"/>
      <c r="AD50" s="30"/>
      <c r="AE50" s="30"/>
      <c r="AF50" s="30"/>
      <c r="AG50" s="30"/>
      <c r="AH50" s="311"/>
      <c r="AI50" s="30"/>
    </row>
    <row r="51" spans="1:35" ht="30" customHeight="1" x14ac:dyDescent="0.3">
      <c r="A51" s="311"/>
      <c r="B51" s="30"/>
      <c r="C51" s="30" t="str">
        <f t="shared" si="0"/>
        <v>7</v>
      </c>
      <c r="D51" s="32">
        <f t="shared" si="2"/>
        <v>5</v>
      </c>
      <c r="E51" s="32" t="str">
        <f t="shared" si="3"/>
        <v>751</v>
      </c>
      <c r="F51" s="211" t="s">
        <v>550</v>
      </c>
      <c r="G51" s="620" t="str">
        <f>VLOOKUP(E53,BDD!$A$2:$N$567,7,FALSE)</f>
        <v>Un processus de management de projets, impliquant les directions métiers, permet de suivre, recadrer, revoir la priorité ou arrêter les projets en cours, sur la base d’un reporting fiable et exhaustif, le cas échéant en actualisant les business cases.</v>
      </c>
      <c r="H51" s="621"/>
      <c r="I51" s="621"/>
      <c r="J51" s="621"/>
      <c r="K51" s="621"/>
      <c r="L51" s="621"/>
      <c r="M51" s="621"/>
      <c r="N51" s="622"/>
      <c r="O51" s="631"/>
      <c r="P51" s="631"/>
      <c r="Q51" s="631"/>
      <c r="R51" s="631"/>
      <c r="S51" s="634"/>
      <c r="T51" s="634"/>
      <c r="U51" s="634"/>
      <c r="V51" s="635"/>
      <c r="W51" s="356">
        <f>IFERROR(IF(N51=Suppl!$E$65,0,IF(N51=Suppl!$E$66,1/2/(COUNTIFS($N:$N,"Exigences"&amp;"*")+COUNTIFS($N:$N,"Non"&amp;"*")),IF(N51=Suppl!$E$67,1/(COUNTIFS($N:$N,"Exigences"&amp;"*")+COUNTIFS($N:$N,"Non"&amp;"*")),0))),0)</f>
        <v>0</v>
      </c>
      <c r="X51" s="30"/>
      <c r="Y51" s="30"/>
      <c r="Z51" s="30"/>
      <c r="AA51" s="30"/>
      <c r="AB51" s="30"/>
      <c r="AC51" s="30"/>
      <c r="AD51" s="30"/>
      <c r="AE51" s="30"/>
      <c r="AF51" s="30"/>
      <c r="AG51" s="30"/>
      <c r="AH51" s="311"/>
      <c r="AI51" s="30"/>
    </row>
    <row r="52" spans="1:35" ht="55.2" x14ac:dyDescent="0.3">
      <c r="A52" s="311"/>
      <c r="B52" s="30"/>
      <c r="C52" s="30" t="str">
        <f t="shared" si="0"/>
        <v>7</v>
      </c>
      <c r="D52" s="32">
        <f t="shared" si="2"/>
        <v>5</v>
      </c>
      <c r="E52" s="32" t="str">
        <f t="shared" si="3"/>
        <v>751</v>
      </c>
      <c r="F52" s="143" t="s">
        <v>27</v>
      </c>
      <c r="G52" s="144" t="str">
        <f>VLOOKUP(E52,BDD!$A$2:$N$567,MATCH(G$24,BDD!$A$1:$P$1,0),FALSE)</f>
        <v>L'instance de pilotage du portefeuille (PMO) organise la collecte et la consolidation des informations des projets pour établir un tableau de bord macroscopique de suivi d'avancement. Ce tableau de bord est examiné régulièrement par les organes de pilotage et la direction générale.</v>
      </c>
      <c r="H52" s="149" t="str">
        <f>IF(VLOOKUP($E52,BDD!$A$2:$N$567,MATCH($H$23,BDD!$A$1:$P$1,0),FALSE)=H$24,V7_Portefeuille!H$24,"")</f>
        <v/>
      </c>
      <c r="I52" s="150" t="str">
        <f>IF(VLOOKUP($E52,BDD!$A$2:$N$567,MATCH($H$23,BDD!$A$1:$P$1,0),FALSE)=I$24,V7_Portefeuille!I$24,"")</f>
        <v/>
      </c>
      <c r="J52" s="150" t="str">
        <f>IF(VLOOKUP($E52,BDD!$A$2:$N$567,MATCH($H$23,BDD!$A$1:$P$1,0),FALSE)=J$24,V7_Portefeuille!J$24,"")</f>
        <v>N3</v>
      </c>
      <c r="K52" s="150" t="str">
        <f>IF(VLOOKUP($E52,BDD!$A$2:$N$567,MATCH($H$23,BDD!$A$1:$P$1,0),FALSE)=K$24,V7_Portefeuille!K$24,"")</f>
        <v/>
      </c>
      <c r="L52" s="151" t="str">
        <f>IF(VLOOKUP($E52,BDD!$A$2:$N$567,MATCH($H$23,BDD!$A$1:$P$1,0),FALSE)=L$24,V7_Portefeuille!L$24,"")</f>
        <v/>
      </c>
      <c r="M52" s="63">
        <f t="shared" ref="M52:M55" si="7">IF(N52="Exigences partiellement respectées",1,IF(N52="Exigences respectées",2,0))</f>
        <v>0</v>
      </c>
      <c r="N52" s="144" t="str">
        <f>VLOOKUP(VLOOKUP(E52,BDD!$A$2:$P$428,15,FALSE),Suppl!$D$64:$E$68,2,FALSE)</f>
        <v>Non renseigné</v>
      </c>
      <c r="O52" s="626"/>
      <c r="P52" s="626"/>
      <c r="Q52" s="626"/>
      <c r="R52" s="626"/>
      <c r="S52" s="655"/>
      <c r="T52" s="655"/>
      <c r="U52" s="655"/>
      <c r="V52" s="656"/>
      <c r="W52" s="356">
        <f>IFERROR(IF(N52=Suppl!$E$65,0,IF(N52=Suppl!$E$66,1/2/(COUNTIFS($N:$N,"Exigences"&amp;"*")+COUNTIFS($N:$N,"Non"&amp;"*")),IF(N52=Suppl!$E$67,1/(COUNTIFS($N:$N,"Exigences"&amp;"*")+COUNTIFS($N:$N,"Non"&amp;"*")),0))),0)</f>
        <v>0</v>
      </c>
      <c r="X52" s="30"/>
      <c r="Y52" s="30"/>
      <c r="Z52" s="30"/>
      <c r="AA52" s="30"/>
      <c r="AB52" s="30"/>
      <c r="AC52" s="30"/>
      <c r="AD52" s="30"/>
      <c r="AE52" s="30"/>
      <c r="AF52" s="30"/>
      <c r="AG52" s="30"/>
      <c r="AH52" s="311"/>
      <c r="AI52" s="30"/>
    </row>
    <row r="53" spans="1:35" ht="55.2" x14ac:dyDescent="0.3">
      <c r="A53" s="311"/>
      <c r="B53" s="30"/>
      <c r="C53" s="30" t="str">
        <f t="shared" si="0"/>
        <v>7</v>
      </c>
      <c r="D53" s="32">
        <f t="shared" si="2"/>
        <v>5</v>
      </c>
      <c r="E53" s="32" t="str">
        <f t="shared" si="3"/>
        <v>752</v>
      </c>
      <c r="F53" s="145" t="s">
        <v>28</v>
      </c>
      <c r="G53" s="146" t="str">
        <f>VLOOKUP(E53,BDD!$A$2:$N$567,MATCH(G$24,BDD!$A$1:$P$1,0),FALSE)</f>
        <v>Sur la base de ce tableau de bord de suivi, les organes de pilotage et la direction générale prennent des décisions d’allocation de ressources, de re-priorisation et, au besoin, d’actualisation des business cases en fonction des objectifs stratégiques de l'organisation et de la priorisation des moyens.</v>
      </c>
      <c r="H53" s="149" t="str">
        <f>IF(VLOOKUP($E53,BDD!$A$2:$N$567,MATCH($H$23,BDD!$A$1:$P$1,0),FALSE)=H$24,V7_Portefeuille!H$24,"")</f>
        <v/>
      </c>
      <c r="I53" s="150" t="str">
        <f>IF(VLOOKUP($E53,BDD!$A$2:$N$567,MATCH($H$23,BDD!$A$1:$P$1,0),FALSE)=I$24,V7_Portefeuille!I$24,"")</f>
        <v/>
      </c>
      <c r="J53" s="150" t="str">
        <f>IF(VLOOKUP($E53,BDD!$A$2:$N$567,MATCH($H$23,BDD!$A$1:$P$1,0),FALSE)=J$24,V7_Portefeuille!J$24,"")</f>
        <v/>
      </c>
      <c r="K53" s="150" t="str">
        <f>IF(VLOOKUP($E53,BDD!$A$2:$N$567,MATCH($H$23,BDD!$A$1:$P$1,0),FALSE)=K$24,V7_Portefeuille!K$24,"")</f>
        <v>N4</v>
      </c>
      <c r="L53" s="151" t="str">
        <f>IF(VLOOKUP($E53,BDD!$A$2:$N$567,MATCH($H$23,BDD!$A$1:$P$1,0),FALSE)=L$24,V7_Portefeuille!L$24,"")</f>
        <v/>
      </c>
      <c r="M53" s="63">
        <f t="shared" si="7"/>
        <v>0</v>
      </c>
      <c r="N53" s="146" t="str">
        <f>VLOOKUP(VLOOKUP(E53,BDD!$A$2:$P$428,15,FALSE),Suppl!$D$64:$E$68,2,FALSE)</f>
        <v>Non renseigné</v>
      </c>
      <c r="O53" s="629"/>
      <c r="P53" s="629"/>
      <c r="Q53" s="629"/>
      <c r="R53" s="629"/>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311"/>
      <c r="AI53" s="30"/>
    </row>
    <row r="54" spans="1:35" ht="30" customHeight="1" x14ac:dyDescent="0.3">
      <c r="A54" s="311"/>
      <c r="B54" s="30"/>
      <c r="C54" s="30" t="str">
        <f t="shared" si="0"/>
        <v>7</v>
      </c>
      <c r="D54" s="32">
        <f t="shared" si="2"/>
        <v>5</v>
      </c>
      <c r="E54" s="32" t="str">
        <f t="shared" si="3"/>
        <v>753</v>
      </c>
      <c r="F54" s="143" t="s">
        <v>30</v>
      </c>
      <c r="G54" s="144" t="str">
        <f>VLOOKUP(E54,BDD!$A$2:$N$567,MATCH(G$24,BDD!$A$1:$P$1,0),FALSE)</f>
        <v>L'instance en charge du portefeuille suit les risques et dispose de l’autorité nécessaire pour lancer des audits sur les projets à risque.</v>
      </c>
      <c r="H54" s="149" t="str">
        <f>IF(VLOOKUP($E54,BDD!$A$2:$N$567,MATCH($H$23,BDD!$A$1:$P$1,0),FALSE)=H$24,V7_Portefeuille!H$24,"")</f>
        <v/>
      </c>
      <c r="I54" s="150" t="str">
        <f>IF(VLOOKUP($E54,BDD!$A$2:$N$567,MATCH($H$23,BDD!$A$1:$P$1,0),FALSE)=I$24,V7_Portefeuille!I$24,"")</f>
        <v/>
      </c>
      <c r="J54" s="150" t="str">
        <f>IF(VLOOKUP($E54,BDD!$A$2:$N$567,MATCH($H$23,BDD!$A$1:$P$1,0),FALSE)=J$24,V7_Portefeuille!J$24,"")</f>
        <v>N3</v>
      </c>
      <c r="K54" s="150" t="str">
        <f>IF(VLOOKUP($E54,BDD!$A$2:$N$567,MATCH($H$23,BDD!$A$1:$P$1,0),FALSE)=K$24,V7_Portefeuille!K$24,"")</f>
        <v/>
      </c>
      <c r="L54" s="151" t="str">
        <f>IF(VLOOKUP($E54,BDD!$A$2:$N$567,MATCH($H$23,BDD!$A$1:$P$1,0),FALSE)=L$24,V7_Portefeuille!L$24,"")</f>
        <v/>
      </c>
      <c r="M54" s="63">
        <f t="shared" si="7"/>
        <v>0</v>
      </c>
      <c r="N54" s="144" t="str">
        <f>VLOOKUP(VLOOKUP(E54,BDD!$A$2:$P$428,15,FALSE),Suppl!$D$64:$E$68,2,FALSE)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311"/>
      <c r="AI54" s="30"/>
    </row>
    <row r="55" spans="1:35" ht="41.4" x14ac:dyDescent="0.3">
      <c r="A55" s="311"/>
      <c r="B55" s="30"/>
      <c r="C55" s="30" t="str">
        <f t="shared" si="0"/>
        <v>7</v>
      </c>
      <c r="D55" s="32">
        <f t="shared" si="2"/>
        <v>5</v>
      </c>
      <c r="E55" s="32" t="str">
        <f t="shared" si="3"/>
        <v>754</v>
      </c>
      <c r="F55" s="145" t="s">
        <v>32</v>
      </c>
      <c r="G55" s="146" t="str">
        <f>VLOOKUP(E55,BDD!$A$2:$N$567,MATCH(G$24,BDD!$A$1:$P$1,0),FALSE)</f>
        <v>L'instance en charge du pilotage du portefeuille dispose d'un outil de gestion de portefeuille de projets incluant les objectifs métier, le budget et le suivi opérationnel des projets.</v>
      </c>
      <c r="H55" s="149" t="str">
        <f>IF(VLOOKUP($E55,BDD!$A$2:$N$567,MATCH($H$23,BDD!$A$1:$P$1,0),FALSE)=H$24,V7_Portefeuille!H$24,"")</f>
        <v>N1</v>
      </c>
      <c r="I55" s="150" t="str">
        <f>IF(VLOOKUP($E55,BDD!$A$2:$N$567,MATCH($H$23,BDD!$A$1:$P$1,0),FALSE)=I$24,V7_Portefeuille!I$24,"")</f>
        <v/>
      </c>
      <c r="J55" s="150" t="str">
        <f>IF(VLOOKUP($E55,BDD!$A$2:$N$567,MATCH($H$23,BDD!$A$1:$P$1,0),FALSE)=J$24,V7_Portefeuille!J$24,"")</f>
        <v/>
      </c>
      <c r="K55" s="150" t="str">
        <f>IF(VLOOKUP($E55,BDD!$A$2:$N$567,MATCH($H$23,BDD!$A$1:$P$1,0),FALSE)=K$24,V7_Portefeuille!K$24,"")</f>
        <v/>
      </c>
      <c r="L55" s="151" t="str">
        <f>IF(VLOOKUP($E55,BDD!$A$2:$N$567,MATCH($H$23,BDD!$A$1:$P$1,0),FALSE)=L$24,V7_Portefeuille!L$24,"")</f>
        <v/>
      </c>
      <c r="M55" s="63">
        <f t="shared" si="7"/>
        <v>0</v>
      </c>
      <c r="N55" s="146" t="str">
        <f>VLOOKUP(VLOOKUP(E55,BDD!$A$2:$P$428,15,FALSE),Suppl!$D$64:$E$68,2,FALSE)</f>
        <v>Non renseigné</v>
      </c>
      <c r="O55" s="629"/>
      <c r="P55" s="629"/>
      <c r="Q55" s="629"/>
      <c r="R55" s="629"/>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311"/>
      <c r="AI55" s="30"/>
    </row>
    <row r="56" spans="1:35" ht="30" customHeight="1" x14ac:dyDescent="0.3">
      <c r="A56" s="311"/>
      <c r="B56" s="30"/>
      <c r="C56" s="30" t="str">
        <f t="shared" si="0"/>
        <v>7</v>
      </c>
      <c r="D56" s="32">
        <f t="shared" si="2"/>
        <v>6</v>
      </c>
      <c r="E56" s="32" t="str">
        <f t="shared" si="3"/>
        <v>766</v>
      </c>
      <c r="F56" s="191" t="s">
        <v>556</v>
      </c>
      <c r="G56" s="192" t="str">
        <f>VLOOKUP(E58,BDD!$A$2:$N$567,6,FALSE)</f>
        <v>Bilan de projet métiers</v>
      </c>
      <c r="H56" s="190"/>
      <c r="I56" s="135"/>
      <c r="J56" s="135"/>
      <c r="K56" s="135"/>
      <c r="L56" s="136"/>
      <c r="M56" s="137"/>
      <c r="N56" s="138"/>
      <c r="O56" s="630">
        <v>0</v>
      </c>
      <c r="P56" s="630"/>
      <c r="Q56" s="630"/>
      <c r="R56" s="630"/>
      <c r="S56" s="632">
        <f>SUMIFS(S:S,$D:$D,D56,$N:$N,"Exigences"&amp;"*")</f>
        <v>0</v>
      </c>
      <c r="T56" s="632"/>
      <c r="U56" s="632"/>
      <c r="V56" s="633"/>
      <c r="W56" s="356">
        <f>IFERROR(IF(N56=Suppl!$E$65,0,IF(N56=Suppl!$E$66,1/2/(COUNTIFS($N:$N,"Exigences"&amp;"*")+COUNTIFS($N:$N,"Non"&amp;"*")),IF(N56=Suppl!$E$67,1/(COUNTIFS($N:$N,"Exigences"&amp;"*")+COUNTIFS($N:$N,"Non"&amp;"*")),0))),0)</f>
        <v>0</v>
      </c>
      <c r="X56" s="30"/>
      <c r="Y56" s="30"/>
      <c r="Z56" s="30"/>
      <c r="AA56" s="30"/>
      <c r="AB56" s="30"/>
      <c r="AC56" s="30"/>
      <c r="AD56" s="30"/>
      <c r="AE56" s="30"/>
      <c r="AF56" s="30"/>
      <c r="AG56" s="30"/>
      <c r="AH56" s="311"/>
      <c r="AI56" s="30"/>
    </row>
    <row r="57" spans="1:35" ht="30" customHeight="1" x14ac:dyDescent="0.3">
      <c r="A57" s="311"/>
      <c r="B57" s="30"/>
      <c r="C57" s="30" t="str">
        <f t="shared" si="0"/>
        <v>7</v>
      </c>
      <c r="D57" s="32">
        <f t="shared" si="2"/>
        <v>6</v>
      </c>
      <c r="E57" s="32" t="str">
        <f t="shared" si="3"/>
        <v>761</v>
      </c>
      <c r="F57" s="211" t="s">
        <v>550</v>
      </c>
      <c r="G57" s="620" t="str">
        <f>VLOOKUP(E59,BDD!$A$2:$N$567,7,FALSE)</f>
        <v>La direction générale fait effectuer des bilans de projet métier, une fois le fonctionnement nominal atteint, afin d’en tirer les enseignements nécessaires et d’optimiser le processus de décision et de pilotage des projets.</v>
      </c>
      <c r="H57" s="621"/>
      <c r="I57" s="621"/>
      <c r="J57" s="621"/>
      <c r="K57" s="621"/>
      <c r="L57" s="621"/>
      <c r="M57" s="621"/>
      <c r="N57" s="622"/>
      <c r="O57" s="631"/>
      <c r="P57" s="631"/>
      <c r="Q57" s="631"/>
      <c r="R57" s="631"/>
      <c r="S57" s="634"/>
      <c r="T57" s="634"/>
      <c r="U57" s="634"/>
      <c r="V57" s="635"/>
      <c r="W57" s="356">
        <f>IFERROR(IF(N57=Suppl!$E$65,0,IF(N57=Suppl!$E$66,1/2/(COUNTIFS($N:$N,"Exigences"&amp;"*")+COUNTIFS($N:$N,"Non"&amp;"*")),IF(N57=Suppl!$E$67,1/(COUNTIFS($N:$N,"Exigences"&amp;"*")+COUNTIFS($N:$N,"Non"&amp;"*")),0))),0)</f>
        <v>0</v>
      </c>
      <c r="X57" s="30"/>
      <c r="Y57" s="30"/>
      <c r="Z57" s="30"/>
      <c r="AA57" s="30"/>
      <c r="AB57" s="30"/>
      <c r="AC57" s="30"/>
      <c r="AD57" s="30"/>
      <c r="AE57" s="30"/>
      <c r="AF57" s="30"/>
      <c r="AG57" s="30"/>
      <c r="AH57" s="311"/>
      <c r="AI57" s="30"/>
    </row>
    <row r="58" spans="1:35" ht="41.4" x14ac:dyDescent="0.3">
      <c r="A58" s="311"/>
      <c r="B58" s="30"/>
      <c r="C58" s="30" t="str">
        <f t="shared" si="0"/>
        <v>7</v>
      </c>
      <c r="D58" s="32">
        <f t="shared" si="2"/>
        <v>6</v>
      </c>
      <c r="E58" s="32" t="str">
        <f t="shared" si="3"/>
        <v>761</v>
      </c>
      <c r="F58" s="143" t="s">
        <v>27</v>
      </c>
      <c r="G58" s="144" t="str">
        <f>VLOOKUP(E58,BDD!$A$2:$N$567,MATCH(G$24,BDD!$A$1:$P$1,0),FALSE)</f>
        <v>Pour les projets fortement contributifs à la création de valeur ou coûteux, les bénéfices métiers atteints sont analysés pour vérifier qu’ils sont en ligne avec les objectifs et exigences du business case initial.</v>
      </c>
      <c r="H58" s="149" t="str">
        <f>IF(VLOOKUP($E58,BDD!$A$2:$N$567,MATCH($H$23,BDD!$A$1:$P$1,0),FALSE)=H$24,V7_Portefeuille!H$24,"")</f>
        <v/>
      </c>
      <c r="I58" s="150" t="str">
        <f>IF(VLOOKUP($E58,BDD!$A$2:$N$567,MATCH($H$23,BDD!$A$1:$P$1,0),FALSE)=I$24,V7_Portefeuille!I$24,"")</f>
        <v/>
      </c>
      <c r="J58" s="150" t="str">
        <f>IF(VLOOKUP($E58,BDD!$A$2:$N$567,MATCH($H$23,BDD!$A$1:$P$1,0),FALSE)=J$24,V7_Portefeuille!J$24,"")</f>
        <v/>
      </c>
      <c r="K58" s="150" t="str">
        <f>IF(VLOOKUP($E58,BDD!$A$2:$N$567,MATCH($H$23,BDD!$A$1:$P$1,0),FALSE)=K$24,V7_Portefeuille!K$24,"")</f>
        <v>N4</v>
      </c>
      <c r="L58" s="151" t="str">
        <f>IF(VLOOKUP($E58,BDD!$A$2:$N$567,MATCH($H$23,BDD!$A$1:$P$1,0),FALSE)=L$24,V7_Portefeuille!L$24,"")</f>
        <v/>
      </c>
      <c r="M58" s="63">
        <f t="shared" ref="M58:M62" si="8">IF(N58="Exigences partiellement respectées",1,IF(N58="Exigences respectées",2,0))</f>
        <v>0</v>
      </c>
      <c r="N58" s="144" t="str">
        <f>VLOOKUP(VLOOKUP(E58,BDD!$A$2:$P$428,15,FALSE),Suppl!$D$64:$E$68,2,FALSE)</f>
        <v>Non renseigné</v>
      </c>
      <c r="O58" s="626"/>
      <c r="P58" s="626"/>
      <c r="Q58" s="626"/>
      <c r="R58" s="626"/>
      <c r="S58" s="653">
        <f>IF(N58=Suppl!$E$65,0,IF(N58=Suppl!$E$66,1/2/(COUNTIFS($D:$D,D58,$N:$N,"Exigences"&amp;"*",G:G,"&lt;&gt;0")+COUNTIFS($D:$D,D58,$N:$N,"Non"&amp;"*",G:G,"&lt;&gt;0")),IF(N58=Suppl!$E$67,1/(COUNTIFS($D:$D,D58,$N:$N,"Exigences"&amp;"*",G:G,"&lt;&gt;0")+COUNTIFS($D:$D,D58,$N:$N,"Non"&amp;"*",G:G,"&lt;&gt;0")),0)))</f>
        <v>0</v>
      </c>
      <c r="T58" s="653"/>
      <c r="U58" s="653"/>
      <c r="V58" s="654"/>
      <c r="W58" s="356">
        <f>IFERROR(IF(N58=Suppl!$E$65,0,IF(N58=Suppl!$E$66,1/2/(COUNTIFS($N:$N,"Exigences"&amp;"*")+COUNTIFS($N:$N,"Non"&amp;"*")),IF(N58=Suppl!$E$67,1/(COUNTIFS($N:$N,"Exigences"&amp;"*")+COUNTIFS($N:$N,"Non"&amp;"*")),0))),0)</f>
        <v>0</v>
      </c>
      <c r="X58" s="30"/>
      <c r="Y58" s="30"/>
      <c r="Z58" s="30"/>
      <c r="AA58" s="30"/>
      <c r="AB58" s="30"/>
      <c r="AC58" s="30"/>
      <c r="AD58" s="30"/>
      <c r="AE58" s="30"/>
      <c r="AF58" s="30"/>
      <c r="AG58" s="30"/>
      <c r="AH58" s="311"/>
      <c r="AI58" s="30"/>
    </row>
    <row r="59" spans="1:35" ht="30" customHeight="1" x14ac:dyDescent="0.3">
      <c r="A59" s="311"/>
      <c r="B59" s="30"/>
      <c r="C59" s="30" t="str">
        <f t="shared" si="0"/>
        <v>7</v>
      </c>
      <c r="D59" s="32">
        <f t="shared" si="2"/>
        <v>6</v>
      </c>
      <c r="E59" s="32" t="str">
        <f t="shared" si="3"/>
        <v>762</v>
      </c>
      <c r="F59" s="145" t="s">
        <v>28</v>
      </c>
      <c r="G59" s="146" t="str">
        <f>VLOOKUP(E59,BDD!$A$2:$N$567,MATCH(G$24,BDD!$A$1:$P$1,0),FALSE)</f>
        <v>Les analyses sont réalisées avec toutes les parties prenantes du métier et de la direction du projet SI (équipe projet, utilisateurs finaux, clients, etc.).</v>
      </c>
      <c r="H59" s="149" t="str">
        <f>IF(VLOOKUP($E59,BDD!$A$2:$N$567,MATCH($H$23,BDD!$A$1:$P$1,0),FALSE)=H$24,V7_Portefeuille!H$24,"")</f>
        <v/>
      </c>
      <c r="I59" s="150" t="str">
        <f>IF(VLOOKUP($E59,BDD!$A$2:$N$567,MATCH($H$23,BDD!$A$1:$P$1,0),FALSE)=I$24,V7_Portefeuille!I$24,"")</f>
        <v/>
      </c>
      <c r="J59" s="150" t="str">
        <f>IF(VLOOKUP($E59,BDD!$A$2:$N$567,MATCH($H$23,BDD!$A$1:$P$1,0),FALSE)=J$24,V7_Portefeuille!J$24,"")</f>
        <v/>
      </c>
      <c r="K59" s="150" t="str">
        <f>IF(VLOOKUP($E59,BDD!$A$2:$N$567,MATCH($H$23,BDD!$A$1:$P$1,0),FALSE)=K$24,V7_Portefeuille!K$24,"")</f>
        <v/>
      </c>
      <c r="L59" s="151" t="str">
        <f>IF(VLOOKUP($E59,BDD!$A$2:$N$567,MATCH($H$23,BDD!$A$1:$P$1,0),FALSE)=L$24,V7_Portefeuille!L$24,"")</f>
        <v>N5</v>
      </c>
      <c r="M59" s="63">
        <f t="shared" si="8"/>
        <v>0</v>
      </c>
      <c r="N59" s="146" t="str">
        <f>VLOOKUP(VLOOKUP(E59,BDD!$A$2:$P$428,15,FALSE),Suppl!$D$64:$E$68,2,FALSE)</f>
        <v>Non renseigné</v>
      </c>
      <c r="O59" s="629"/>
      <c r="P59" s="629"/>
      <c r="Q59" s="629"/>
      <c r="R59" s="629"/>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311"/>
      <c r="AI59" s="30"/>
    </row>
    <row r="60" spans="1:35" ht="30" customHeight="1" x14ac:dyDescent="0.3">
      <c r="A60" s="311"/>
      <c r="B60" s="30"/>
      <c r="C60" s="30" t="str">
        <f t="shared" si="0"/>
        <v>7</v>
      </c>
      <c r="D60" s="32">
        <f t="shared" si="2"/>
        <v>6</v>
      </c>
      <c r="E60" s="32" t="str">
        <f t="shared" si="3"/>
        <v>763</v>
      </c>
      <c r="F60" s="143" t="s">
        <v>30</v>
      </c>
      <c r="G60" s="144" t="str">
        <f>VLOOKUP(E60,BDD!$A$2:$N$567,MATCH(G$24,BDD!$A$1:$P$1,0),FALSE)</f>
        <v>Les analyses et retours d’expérience concernant le déroulement du projet sont formalisés et partagés.</v>
      </c>
      <c r="H60" s="149" t="str">
        <f>IF(VLOOKUP($E60,BDD!$A$2:$N$567,MATCH($H$23,BDD!$A$1:$P$1,0),FALSE)=H$24,V7_Portefeuille!H$24,"")</f>
        <v/>
      </c>
      <c r="I60" s="150" t="str">
        <f>IF(VLOOKUP($E60,BDD!$A$2:$N$567,MATCH($H$23,BDD!$A$1:$P$1,0),FALSE)=I$24,V7_Portefeuille!I$24,"")</f>
        <v/>
      </c>
      <c r="J60" s="150" t="str">
        <f>IF(VLOOKUP($E60,BDD!$A$2:$N$567,MATCH($H$23,BDD!$A$1:$P$1,0),FALSE)=J$24,V7_Portefeuille!J$24,"")</f>
        <v/>
      </c>
      <c r="K60" s="150" t="str">
        <f>IF(VLOOKUP($E60,BDD!$A$2:$N$567,MATCH($H$23,BDD!$A$1:$P$1,0),FALSE)=K$24,V7_Portefeuille!K$24,"")</f>
        <v>N4</v>
      </c>
      <c r="L60" s="151" t="str">
        <f>IF(VLOOKUP($E60,BDD!$A$2:$N$567,MATCH($H$23,BDD!$A$1:$P$1,0),FALSE)=L$24,V7_Portefeuille!L$24,"")</f>
        <v/>
      </c>
      <c r="M60" s="63">
        <f t="shared" si="8"/>
        <v>0</v>
      </c>
      <c r="N60" s="144" t="str">
        <f>VLOOKUP(VLOOKUP(E60,BDD!$A$2:$P$428,15,FALSE),Suppl!$D$64:$E$68,2,FALSE)</f>
        <v>Non renseigné</v>
      </c>
      <c r="O60" s="629"/>
      <c r="P60" s="629"/>
      <c r="Q60" s="629"/>
      <c r="R60" s="629"/>
      <c r="S60" s="627">
        <f>IF(N60=Suppl!$E$65,0,IF(N60=Suppl!$E$66,1/2/(COUNTIFS($D:$D,D60,$N:$N,"Exigences"&amp;"*",G:G,"&lt;&gt;0")+COUNTIFS($D:$D,D60,$N:$N,"Non"&amp;"*",G:G,"&lt;&gt;0")),IF(N60=Suppl!$E$67,1/(COUNTIFS($D:$D,D60,$N:$N,"Exigences"&amp;"*",G:G,"&lt;&gt;0")+COUNTIFS($D:$D,D60,$N:$N,"Non"&amp;"*",G:G,"&lt;&gt;0")),0)))</f>
        <v>0</v>
      </c>
      <c r="T60" s="627"/>
      <c r="U60" s="627"/>
      <c r="V60" s="628"/>
      <c r="W60" s="356">
        <f>IFERROR(IF(N60=Suppl!$E$65,0,IF(N60=Suppl!$E$66,1/2/(COUNTIFS($N:$N,"Exigences"&amp;"*")+COUNTIFS($N:$N,"Non"&amp;"*")),IF(N60=Suppl!$E$67,1/(COUNTIFS($N:$N,"Exigences"&amp;"*")+COUNTIFS($N:$N,"Non"&amp;"*")),0))),0)</f>
        <v>0</v>
      </c>
      <c r="X60" s="30"/>
      <c r="Y60" s="30"/>
      <c r="Z60" s="30"/>
      <c r="AA60" s="30"/>
      <c r="AB60" s="30"/>
      <c r="AC60" s="30"/>
      <c r="AD60" s="30"/>
      <c r="AE60" s="30"/>
      <c r="AF60" s="30"/>
      <c r="AG60" s="30"/>
      <c r="AH60" s="311"/>
      <c r="AI60" s="30"/>
    </row>
    <row r="61" spans="1:35" ht="41.4" x14ac:dyDescent="0.3">
      <c r="A61" s="311"/>
      <c r="B61" s="30"/>
      <c r="C61" s="30" t="str">
        <f t="shared" si="0"/>
        <v>7</v>
      </c>
      <c r="D61" s="32">
        <f t="shared" si="2"/>
        <v>6</v>
      </c>
      <c r="E61" s="32" t="str">
        <f t="shared" si="3"/>
        <v>764</v>
      </c>
      <c r="F61" s="145" t="s">
        <v>32</v>
      </c>
      <c r="G61" s="146" t="str">
        <f>VLOOKUP(E61,BDD!$A$2:$N$567,MATCH(G$24,BDD!$A$1:$P$1,0),FALSE)</f>
        <v>Un processus formalisé, assorti de responsabilités clairement définies, encadre l’établissement et la mise en œuvre des plans d’action issus des bilans de projet, afin de sécuriser la concrétisation des bénéfices attendus.</v>
      </c>
      <c r="H61" s="149" t="str">
        <f>IF(VLOOKUP($E61,BDD!$A$2:$N$567,MATCH($H$23,BDD!$A$1:$P$1,0),FALSE)=H$24,V7_Portefeuille!H$24,"")</f>
        <v/>
      </c>
      <c r="I61" s="150" t="str">
        <f>IF(VLOOKUP($E61,BDD!$A$2:$N$567,MATCH($H$23,BDD!$A$1:$P$1,0),FALSE)=I$24,V7_Portefeuille!I$24,"")</f>
        <v/>
      </c>
      <c r="J61" s="150" t="str">
        <f>IF(VLOOKUP($E61,BDD!$A$2:$N$567,MATCH($H$23,BDD!$A$1:$P$1,0),FALSE)=J$24,V7_Portefeuille!J$24,"")</f>
        <v/>
      </c>
      <c r="K61" s="150" t="str">
        <f>IF(VLOOKUP($E61,BDD!$A$2:$N$567,MATCH($H$23,BDD!$A$1:$P$1,0),FALSE)=K$24,V7_Portefeuille!K$24,"")</f>
        <v>N4</v>
      </c>
      <c r="L61" s="151" t="str">
        <f>IF(VLOOKUP($E61,BDD!$A$2:$N$567,MATCH($H$23,BDD!$A$1:$P$1,0),FALSE)=L$24,V7_Portefeuille!L$24,"")</f>
        <v/>
      </c>
      <c r="M61" s="63">
        <f t="shared" si="8"/>
        <v>0</v>
      </c>
      <c r="N61" s="146" t="str">
        <f>VLOOKUP(VLOOKUP(E61,BDD!$A$2:$P$428,15,FALSE),Suppl!$D$64:$E$68,2,FALSE)</f>
        <v>Non renseigné</v>
      </c>
      <c r="O61" s="629"/>
      <c r="P61" s="629"/>
      <c r="Q61" s="629"/>
      <c r="R61" s="629"/>
      <c r="S61" s="627">
        <f>IF(N61=Suppl!$E$65,0,IF(N61=Suppl!$E$66,1/2/(COUNTIFS($D:$D,D61,$N:$N,"Exigences"&amp;"*",G:G,"&lt;&gt;0")+COUNTIFS($D:$D,D61,$N:$N,"Non"&amp;"*",G:G,"&lt;&gt;0")),IF(N61=Suppl!$E$67,1/(COUNTIFS($D:$D,D61,$N:$N,"Exigences"&amp;"*",G:G,"&lt;&gt;0")+COUNTIFS($D:$D,D61,$N:$N,"Non"&amp;"*",G:G,"&lt;&gt;0")),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311"/>
      <c r="AI61" s="30"/>
    </row>
    <row r="62" spans="1:35" ht="30" customHeight="1" x14ac:dyDescent="0.3">
      <c r="A62" s="311"/>
      <c r="B62" s="30"/>
      <c r="C62" s="30" t="str">
        <f t="shared" si="0"/>
        <v>7</v>
      </c>
      <c r="D62" s="32">
        <f t="shared" si="2"/>
        <v>6</v>
      </c>
      <c r="E62" s="32" t="str">
        <f t="shared" si="3"/>
        <v>765</v>
      </c>
      <c r="F62" s="143" t="s">
        <v>33</v>
      </c>
      <c r="G62" s="144" t="str">
        <f>VLOOKUP(E62,BDD!$A$2:$N$567,MATCH(G$24,BDD!$A$1:$P$1,0),FALSE)</f>
        <v>Un bilan annuel de l'ensemble des projets du portefeuille est réalisé, il permet de capitaliser et de mettre en œuvre une amélioration continue.</v>
      </c>
      <c r="H62" s="149" t="str">
        <f>IF(VLOOKUP($E62,BDD!$A$2:$N$567,MATCH($H$23,BDD!$A$1:$P$1,0),FALSE)=H$24,V7_Portefeuille!H$24,"")</f>
        <v/>
      </c>
      <c r="I62" s="150" t="str">
        <f>IF(VLOOKUP($E62,BDD!$A$2:$N$567,MATCH($H$23,BDD!$A$1:$P$1,0),FALSE)=I$24,V7_Portefeuille!I$24,"")</f>
        <v/>
      </c>
      <c r="J62" s="150" t="str">
        <f>IF(VLOOKUP($E62,BDD!$A$2:$N$567,MATCH($H$23,BDD!$A$1:$P$1,0),FALSE)=J$24,V7_Portefeuille!J$24,"")</f>
        <v/>
      </c>
      <c r="K62" s="150" t="str">
        <f>IF(VLOOKUP($E62,BDD!$A$2:$N$567,MATCH($H$23,BDD!$A$1:$P$1,0),FALSE)=K$24,V7_Portefeuille!K$24,"")</f>
        <v/>
      </c>
      <c r="L62" s="151" t="str">
        <f>IF(VLOOKUP($E62,BDD!$A$2:$N$567,MATCH($H$23,BDD!$A$1:$P$1,0),FALSE)=L$24,V7_Portefeuille!L$24,"")</f>
        <v>N5</v>
      </c>
      <c r="M62" s="63">
        <f t="shared" si="8"/>
        <v>0</v>
      </c>
      <c r="N62" s="144" t="str">
        <f>VLOOKUP(VLOOKUP(E62,BDD!$A$2:$P$428,15,FALSE),Suppl!$D$64:$E$68,2,FALSE)</f>
        <v>Non renseigné</v>
      </c>
      <c r="O62" s="647"/>
      <c r="P62" s="636"/>
      <c r="Q62" s="636"/>
      <c r="R62" s="636"/>
      <c r="S62" s="624">
        <f>IF(N62=Suppl!$E$65,0,IF(N62=Suppl!$E$66,1/2/(COUNTIFS($D:$D,D62,$N:$N,"Exigences"&amp;"*",G:G,"&lt;&gt;0")+COUNTIFS($D:$D,D62,$N:$N,"Non"&amp;"*",G:G,"&lt;&gt;0")),IF(N62=Suppl!$E$67,1/(COUNTIFS($D:$D,D62,$N:$N,"Exigences"&amp;"*",G:G,"&lt;&gt;0")+COUNTIFS($D:$D,D62,$N:$N,"Non"&amp;"*",G:G,"&lt;&gt;0")),0)))</f>
        <v>0</v>
      </c>
      <c r="T62" s="624"/>
      <c r="U62" s="624"/>
      <c r="V62" s="625"/>
      <c r="W62" s="356">
        <f>IFERROR(IF(N62=Suppl!$E$65,0,IF(N62=Suppl!$E$66,1/2/(COUNTIFS($N:$N,"Exigences"&amp;"*")+COUNTIFS($N:$N,"Non"&amp;"*")),IF(N62=Suppl!$E$67,1/(COUNTIFS($N:$N,"Exigences"&amp;"*")+COUNTIFS($N:$N,"Non"&amp;"*")),0))),0)</f>
        <v>0</v>
      </c>
      <c r="X62" s="30"/>
      <c r="Y62" s="30"/>
      <c r="Z62" s="30"/>
      <c r="AA62" s="30"/>
      <c r="AB62" s="30"/>
      <c r="AC62" s="30"/>
      <c r="AD62" s="30"/>
      <c r="AE62" s="30"/>
      <c r="AF62" s="30"/>
      <c r="AG62" s="30"/>
      <c r="AH62" s="311"/>
      <c r="AI62" s="30"/>
    </row>
    <row r="63" spans="1:35" ht="30" customHeight="1" x14ac:dyDescent="0.3">
      <c r="A63" s="311"/>
      <c r="B63" s="30"/>
      <c r="C63" s="30"/>
      <c r="D63" s="32"/>
      <c r="E63" s="32"/>
      <c r="F63" s="30"/>
      <c r="G63" s="32"/>
      <c r="H63" s="32"/>
      <c r="I63" s="32"/>
      <c r="J63" s="32"/>
      <c r="K63" s="32"/>
      <c r="L63" s="32"/>
      <c r="M63" s="32"/>
      <c r="N63" s="30"/>
      <c r="O63" s="30"/>
      <c r="P63" s="30"/>
      <c r="Q63" s="30"/>
      <c r="R63" s="30"/>
      <c r="S63" s="30"/>
      <c r="T63" s="30"/>
      <c r="U63" s="30"/>
      <c r="V63" s="30"/>
      <c r="W63" s="33"/>
      <c r="X63" s="30"/>
      <c r="Y63" s="30"/>
      <c r="Z63" s="30"/>
      <c r="AA63" s="30"/>
      <c r="AB63" s="30"/>
      <c r="AC63" s="30"/>
      <c r="AD63" s="30"/>
      <c r="AE63" s="30"/>
      <c r="AF63" s="30"/>
      <c r="AG63" s="30"/>
      <c r="AH63" s="311"/>
      <c r="AI63" s="30"/>
    </row>
    <row r="64" spans="1:35" ht="30" customHeight="1" x14ac:dyDescent="0.3">
      <c r="A64" s="311" t="s">
        <v>164</v>
      </c>
      <c r="B64" s="311"/>
      <c r="C64" s="311"/>
      <c r="D64" s="311"/>
      <c r="E64" s="311"/>
      <c r="F64" s="311"/>
      <c r="G64" s="316"/>
      <c r="H64" s="316"/>
      <c r="I64" s="316"/>
      <c r="J64" s="316"/>
      <c r="K64" s="316"/>
      <c r="L64" s="316"/>
      <c r="M64" s="316"/>
      <c r="N64" s="311"/>
      <c r="O64" s="311"/>
      <c r="P64" s="311"/>
      <c r="Q64" s="311"/>
      <c r="R64" s="311"/>
      <c r="S64" s="311"/>
      <c r="T64" s="311"/>
      <c r="U64" s="311"/>
      <c r="V64" s="311"/>
      <c r="W64" s="319"/>
      <c r="X64" s="311"/>
      <c r="Y64" s="311"/>
      <c r="Z64" s="311"/>
      <c r="AA64" s="311"/>
      <c r="AB64" s="311"/>
      <c r="AC64" s="311"/>
      <c r="AD64" s="311"/>
      <c r="AE64" s="311"/>
      <c r="AF64" s="311"/>
      <c r="AG64" s="311"/>
      <c r="AH64" s="311" t="s">
        <v>164</v>
      </c>
      <c r="AI64" s="30"/>
    </row>
  </sheetData>
  <sheetProtection algorithmName="SHA-512" hashValue="hmRKqoPtb4FEtPbFhCIc+66WlOcNvxaCHzh5s1T5oG06LZHSF7klrMso0PC/dIxIbsTZxlYHn/GhcADuPcbt6Q==" saltValue="AaDkTlLzIgL9HinL24VBXQ=="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73">
    <mergeCell ref="AD7:AD10"/>
    <mergeCell ref="O21:R21"/>
    <mergeCell ref="O22:R22"/>
    <mergeCell ref="O24:R24"/>
    <mergeCell ref="S24:V24"/>
    <mergeCell ref="O20:R20"/>
    <mergeCell ref="O25:R26"/>
    <mergeCell ref="S25:V26"/>
    <mergeCell ref="O30:R30"/>
    <mergeCell ref="S30:V30"/>
    <mergeCell ref="O27:R27"/>
    <mergeCell ref="S27:V27"/>
    <mergeCell ref="O28:R28"/>
    <mergeCell ref="S28:V28"/>
    <mergeCell ref="O29:R29"/>
    <mergeCell ref="S29:V29"/>
    <mergeCell ref="O31:R32"/>
    <mergeCell ref="S31:V32"/>
    <mergeCell ref="O33:R33"/>
    <mergeCell ref="S33:V33"/>
    <mergeCell ref="O39:R40"/>
    <mergeCell ref="S39:V40"/>
    <mergeCell ref="O34:R34"/>
    <mergeCell ref="S34:V34"/>
    <mergeCell ref="O35:R35"/>
    <mergeCell ref="S35:V35"/>
    <mergeCell ref="O36:R36"/>
    <mergeCell ref="S36:V36"/>
    <mergeCell ref="O41:R41"/>
    <mergeCell ref="S41:V41"/>
    <mergeCell ref="O42:R42"/>
    <mergeCell ref="S42:V42"/>
    <mergeCell ref="O37:R37"/>
    <mergeCell ref="S37:V37"/>
    <mergeCell ref="O38:R38"/>
    <mergeCell ref="S38:V38"/>
    <mergeCell ref="S55:V55"/>
    <mergeCell ref="O43:R44"/>
    <mergeCell ref="S43:V44"/>
    <mergeCell ref="O48:R48"/>
    <mergeCell ref="S48:V48"/>
    <mergeCell ref="O49:R49"/>
    <mergeCell ref="S49:V49"/>
    <mergeCell ref="O45:R45"/>
    <mergeCell ref="S45:V45"/>
    <mergeCell ref="O46:R46"/>
    <mergeCell ref="S46:V46"/>
    <mergeCell ref="O47:R47"/>
    <mergeCell ref="S47:V47"/>
    <mergeCell ref="O62:R62"/>
    <mergeCell ref="S62:V62"/>
    <mergeCell ref="O58:R58"/>
    <mergeCell ref="S58:V58"/>
    <mergeCell ref="O59:R59"/>
    <mergeCell ref="S59:V59"/>
    <mergeCell ref="O60:R60"/>
    <mergeCell ref="S60:V60"/>
    <mergeCell ref="G44:N44"/>
    <mergeCell ref="G51:N51"/>
    <mergeCell ref="G57:N57"/>
    <mergeCell ref="O61:R61"/>
    <mergeCell ref="S61:V61"/>
    <mergeCell ref="O50:R51"/>
    <mergeCell ref="S50:V51"/>
    <mergeCell ref="O52:R52"/>
    <mergeCell ref="S52:V52"/>
    <mergeCell ref="O56:R57"/>
    <mergeCell ref="S56:V57"/>
    <mergeCell ref="O53:R53"/>
    <mergeCell ref="S53:V53"/>
    <mergeCell ref="O54:R54"/>
    <mergeCell ref="S54:V54"/>
    <mergeCell ref="O55:R55"/>
  </mergeCells>
  <conditionalFormatting sqref="G5:G11 G13:G19 G22">
    <cfRule type="expression" dxfId="88" priority="15">
      <formula>$G5&lt;&gt;""</formula>
    </cfRule>
  </conditionalFormatting>
  <conditionalFormatting sqref="H27:L43 H45:L50 H52:L56 H58:L62">
    <cfRule type="expression" dxfId="87" priority="16">
      <formula>AND($N27="Non évalué",H27&lt;&gt;"")</formula>
    </cfRule>
    <cfRule type="expression" dxfId="86" priority="17">
      <formula>AND($N27="Exigences non respectées",H27&lt;&gt;"")</formula>
    </cfRule>
    <cfRule type="expression" dxfId="85" priority="18">
      <formula>AND($N27="Exigences partiellement respectées",H27&lt;&gt;"")</formula>
    </cfRule>
    <cfRule type="expression" dxfId="84" priority="19">
      <formula>AND($N27="Exigences respectées",H27&lt;&gt;"")</formula>
    </cfRule>
  </conditionalFormatting>
  <conditionalFormatting sqref="O8:U12">
    <cfRule type="cellIs" dxfId="83" priority="6" operator="equal">
      <formula>3</formula>
    </cfRule>
    <cfRule type="cellIs" dxfId="82" priority="7" operator="equal">
      <formula>2</formula>
    </cfRule>
    <cfRule type="cellIs" dxfId="81" priority="8" operator="equal">
      <formula>1</formula>
    </cfRule>
  </conditionalFormatting>
  <conditionalFormatting sqref="O13:U13">
    <cfRule type="cellIs" dxfId="80" priority="3" operator="equal">
      <formula>3</formula>
    </cfRule>
    <cfRule type="cellIs" dxfId="79" priority="4" operator="equal">
      <formula>2</formula>
    </cfRule>
    <cfRule type="cellIs" dxfId="78" priority="5" operator="equal">
      <formula>1</formula>
    </cfRule>
  </conditionalFormatting>
  <conditionalFormatting sqref="G20:G21">
    <cfRule type="expression" dxfId="77" priority="2">
      <formula>$G20&lt;&gt;""</formula>
    </cfRule>
  </conditionalFormatting>
  <conditionalFormatting sqref="O20:R20">
    <cfRule type="cellIs" dxfId="76"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BDBAD39-29A2-45CD-BE93-0FEB17861A54}">
          <x14:formula1>
            <xm:f>Suppl!$E$65:$E$69</xm:f>
          </x14:formula1>
          <xm:sqref>W16 W8:W13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7B695-A40B-4EE7-AFF3-6B44B6162767}">
  <sheetPr codeName="Feuil39">
    <tabColor rgb="FF2858AE"/>
  </sheetPr>
  <dimension ref="A1:P118"/>
  <sheetViews>
    <sheetView showGridLines="0" showRowColHeaders="0" zoomScale="67" zoomScaleNormal="111" workbookViewId="0">
      <selection activeCell="J8" sqref="J8"/>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98"/>
      <c r="B1" s="299" t="s">
        <v>565</v>
      </c>
      <c r="C1" s="300"/>
      <c r="D1" s="300"/>
      <c r="E1" s="300"/>
      <c r="F1" s="300"/>
      <c r="G1" s="298"/>
      <c r="H1" s="301"/>
      <c r="I1" s="301"/>
      <c r="J1" s="302" t="str">
        <f>VLOOKUP($E$12,BDD!$A$2:$N$567,3,FALSE)</f>
        <v>Projets</v>
      </c>
      <c r="K1" s="301"/>
      <c r="L1" s="298"/>
      <c r="M1" s="298"/>
      <c r="N1" s="298"/>
      <c r="O1" s="298"/>
      <c r="P1" s="298"/>
    </row>
    <row r="2" spans="1:16" ht="45" customHeight="1" x14ac:dyDescent="0.3">
      <c r="A2" s="298"/>
      <c r="B2" s="298"/>
      <c r="C2" s="298"/>
      <c r="D2" s="298"/>
      <c r="E2" s="298"/>
      <c r="F2" s="298"/>
      <c r="G2" s="298"/>
      <c r="H2" s="298"/>
      <c r="I2" s="298"/>
      <c r="J2" s="303" t="str">
        <f>VLOOKUP($E$12,BDD!$A$2:$N$567,4,FALSE)</f>
        <v>Maîtriser la réalisation des projets et des solutions. </v>
      </c>
      <c r="K2" s="298"/>
      <c r="L2" s="298"/>
      <c r="M2" s="298"/>
      <c r="N2" s="298"/>
      <c r="O2" s="298"/>
      <c r="P2" s="298"/>
    </row>
    <row r="3" spans="1:16" ht="18" x14ac:dyDescent="0.35">
      <c r="A3" s="298"/>
      <c r="B3" s="68"/>
      <c r="C3" s="68"/>
      <c r="D3" s="68"/>
      <c r="E3" s="68"/>
      <c r="F3" s="68"/>
      <c r="G3" s="69" t="str">
        <f>IF(Suppl!B64=2,"Le vecteur n'est pas utilisé","")</f>
        <v/>
      </c>
      <c r="H3" s="69"/>
      <c r="I3" s="69"/>
      <c r="J3" s="69"/>
      <c r="K3" s="69"/>
      <c r="L3" s="70"/>
      <c r="M3" s="68"/>
      <c r="N3" s="68"/>
      <c r="O3" s="68"/>
      <c r="P3" s="298"/>
    </row>
    <row r="4" spans="1:16" x14ac:dyDescent="0.3">
      <c r="A4" s="298"/>
      <c r="B4" s="68"/>
      <c r="C4" s="68"/>
      <c r="D4" s="68"/>
      <c r="E4" s="68"/>
      <c r="F4" s="68"/>
      <c r="G4" s="68"/>
      <c r="H4" s="68"/>
      <c r="I4" s="68"/>
      <c r="J4" s="68"/>
      <c r="K4" s="68"/>
      <c r="L4" s="68"/>
      <c r="M4" s="68"/>
      <c r="N4" s="68"/>
      <c r="O4" s="68"/>
      <c r="P4" s="298"/>
    </row>
    <row r="5" spans="1:16" ht="25.8" x14ac:dyDescent="0.5">
      <c r="A5" s="304"/>
      <c r="B5" s="74"/>
      <c r="C5" s="68" t="str">
        <f>IF(LEFT(RIGHT($B$1,2),1)=" ",RIGHT($B$1,1),RIGHT($B$1,2))</f>
        <v>8</v>
      </c>
      <c r="D5" s="68">
        <f>IF(LEFT(F5,14)="Bonne pratique",D4+1,D4)</f>
        <v>1</v>
      </c>
      <c r="E5" s="71"/>
      <c r="F5" s="208" t="s">
        <v>499</v>
      </c>
      <c r="G5" s="75"/>
      <c r="H5" s="205"/>
      <c r="I5" s="73"/>
      <c r="J5" s="73" t="str">
        <f>VLOOKUP(E12,BDD!$A$2:$N$567,6,FALSE)</f>
        <v>Objectifs métier du projet</v>
      </c>
      <c r="K5" s="72"/>
      <c r="L5" s="75"/>
      <c r="M5" s="75"/>
      <c r="N5" s="75"/>
      <c r="O5" s="74"/>
      <c r="P5" s="304"/>
    </row>
    <row r="6" spans="1:16" x14ac:dyDescent="0.3">
      <c r="A6" s="298"/>
      <c r="B6" s="68"/>
      <c r="C6" s="68" t="str">
        <f t="shared" ref="C6:C69" si="0">IF(LEFT(RIGHT($B$1,2),1)=" ",RIGHT($B$1,1),RIGHT($B$1,2))</f>
        <v>8</v>
      </c>
      <c r="D6" s="68">
        <f>IF(LEFT(F6,14)="Bonne pratique",D5+1,D5)</f>
        <v>1</v>
      </c>
      <c r="E6" s="68"/>
      <c r="F6" s="68"/>
      <c r="G6" s="68"/>
      <c r="H6" s="68"/>
      <c r="I6" s="68"/>
      <c r="J6" s="68"/>
      <c r="K6" s="68"/>
      <c r="L6" s="68"/>
      <c r="M6" s="68"/>
      <c r="N6" s="68"/>
      <c r="O6" s="68"/>
      <c r="P6" s="298"/>
    </row>
    <row r="7" spans="1:16" ht="23.4" customHeight="1" x14ac:dyDescent="0.35">
      <c r="A7" s="305"/>
      <c r="B7" s="76"/>
      <c r="C7" s="68" t="str">
        <f t="shared" si="0"/>
        <v>8</v>
      </c>
      <c r="D7" s="68">
        <f t="shared" ref="D7:D67" si="1">IF(LEFT(F7,14)="Bonne pratique",D6+1,D6)</f>
        <v>1</v>
      </c>
      <c r="E7" s="76"/>
      <c r="F7" s="76"/>
      <c r="G7" s="76"/>
      <c r="H7" s="76"/>
      <c r="I7" s="77"/>
      <c r="J7" s="207" t="str">
        <f>IFERROR(_xlfn.TEXTBEFORE(VLOOKUP(E12,BDD!$A$2:$N$567,7,FALSE)," ",26),VLOOKUP(E12,BDD!$A$2:$N$567,7,FALSE))</f>
        <v>Les objectifs métier du projet sont explicites et partagés par toutes les parties prenantes.</v>
      </c>
      <c r="K7" s="77"/>
      <c r="L7" s="76"/>
      <c r="M7" s="76"/>
      <c r="N7" s="76"/>
      <c r="O7" s="76"/>
      <c r="P7" s="305"/>
    </row>
    <row r="8" spans="1:16" ht="18" x14ac:dyDescent="0.35">
      <c r="A8" s="298"/>
      <c r="B8" s="68"/>
      <c r="C8" s="68" t="str">
        <f t="shared" si="0"/>
        <v>8</v>
      </c>
      <c r="D8" s="68">
        <f t="shared" si="1"/>
        <v>1</v>
      </c>
      <c r="E8" s="68"/>
      <c r="F8" s="68"/>
      <c r="G8" s="68"/>
      <c r="H8" s="68"/>
      <c r="I8" s="68"/>
      <c r="J8" s="207" t="str">
        <f>IFERROR(_xlfn.TEXTAFTER(VLOOKUP(E12,BDD!$A$2:$N$567,7,FALSE)," ",26),"")</f>
        <v/>
      </c>
      <c r="K8" s="68"/>
      <c r="L8" s="68"/>
      <c r="M8" s="68"/>
      <c r="N8" s="68"/>
      <c r="O8" s="68"/>
      <c r="P8" s="298"/>
    </row>
    <row r="9" spans="1:16" x14ac:dyDescent="0.3">
      <c r="A9" s="298"/>
      <c r="B9" s="68"/>
      <c r="C9" s="68" t="str">
        <f t="shared" si="0"/>
        <v>8</v>
      </c>
      <c r="D9" s="68">
        <f t="shared" si="1"/>
        <v>1</v>
      </c>
      <c r="E9" s="68"/>
      <c r="F9" s="68"/>
      <c r="G9" s="78"/>
      <c r="H9" s="78"/>
      <c r="I9" s="78"/>
      <c r="J9" s="78"/>
      <c r="K9" s="78"/>
      <c r="L9" s="78"/>
      <c r="M9" s="618" t="s">
        <v>92</v>
      </c>
      <c r="N9" s="618"/>
      <c r="O9" s="68"/>
      <c r="P9" s="298"/>
    </row>
    <row r="10" spans="1:16" ht="33" x14ac:dyDescent="0.3">
      <c r="A10" s="298"/>
      <c r="B10" s="68"/>
      <c r="C10" s="68" t="str">
        <f t="shared" si="0"/>
        <v>8</v>
      </c>
      <c r="D10" s="68">
        <f t="shared" si="1"/>
        <v>1</v>
      </c>
      <c r="E10" s="68"/>
      <c r="F10" s="79"/>
      <c r="G10" s="80" t="s">
        <v>561</v>
      </c>
      <c r="H10" s="80" t="s">
        <v>82</v>
      </c>
      <c r="I10" s="126" t="s">
        <v>21</v>
      </c>
      <c r="J10" s="80" t="s">
        <v>84</v>
      </c>
      <c r="K10" s="80" t="s">
        <v>549</v>
      </c>
      <c r="L10" s="78"/>
      <c r="M10" s="81" t="s">
        <v>86</v>
      </c>
      <c r="N10" s="82" t="s">
        <v>87</v>
      </c>
      <c r="O10" s="68"/>
      <c r="P10" s="298"/>
    </row>
    <row r="11" spans="1:16" x14ac:dyDescent="0.3">
      <c r="A11" s="298"/>
      <c r="B11" s="68"/>
      <c r="C11" s="68" t="str">
        <f t="shared" si="0"/>
        <v>8</v>
      </c>
      <c r="D11" s="68">
        <f t="shared" si="1"/>
        <v>1</v>
      </c>
      <c r="E11" s="68"/>
      <c r="F11" s="68"/>
      <c r="G11" s="83"/>
      <c r="H11" s="83"/>
      <c r="I11" s="83"/>
      <c r="J11" s="68"/>
      <c r="K11" s="83"/>
      <c r="L11" s="68"/>
      <c r="M11" s="68"/>
      <c r="N11" s="68"/>
      <c r="O11" s="68"/>
      <c r="P11" s="298"/>
    </row>
    <row r="12" spans="1:16" ht="130.05000000000001" customHeight="1" x14ac:dyDescent="0.3">
      <c r="A12" s="298"/>
      <c r="B12" s="68"/>
      <c r="C12" s="68" t="str">
        <f t="shared" si="0"/>
        <v>8</v>
      </c>
      <c r="D12" s="68">
        <f t="shared" si="1"/>
        <v>1</v>
      </c>
      <c r="E12" s="84" t="str">
        <f>C12&amp;D12&amp;RIGHT(F12,1)</f>
        <v>811</v>
      </c>
      <c r="F12" s="66" t="s">
        <v>27</v>
      </c>
      <c r="G12" s="67" t="str">
        <f>IFERROR(IF(VLOOKUP($E12,BDD!$A$1:$S$567,MATCH(G$10,BDD!$A$1:$P$1,0),FALSE)=0,"",VLOOKUP($E12,BDD!$A$1:$S$567,MATCH(G$10,BDD!$A$1:$P$1,0),FALSE)),"")</f>
        <v>Les enjeux ou objectifs clés des métiers assignés à l’équipe projet sont clairement identifiés. Ils sont explicités par le management aux différentes parties prenantes lors de la phase de lancement puis périodiquement actualisés.</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
      <c r="L12" s="68"/>
      <c r="M12" s="87"/>
      <c r="N12" s="87"/>
      <c r="O12" s="68"/>
      <c r="P12" s="298"/>
    </row>
    <row r="13" spans="1:16" ht="130.05000000000001" customHeight="1" x14ac:dyDescent="0.3">
      <c r="A13" s="298"/>
      <c r="B13" s="68"/>
      <c r="C13" s="68" t="str">
        <f t="shared" si="0"/>
        <v>8</v>
      </c>
      <c r="D13" s="68">
        <f t="shared" si="1"/>
        <v>1</v>
      </c>
      <c r="E13" s="84" t="str">
        <f t="shared" ref="E13:E82" si="2">C13&amp;D13&amp;RIGHT(F13,1)</f>
        <v>812</v>
      </c>
      <c r="F13" s="249" t="s">
        <v>28</v>
      </c>
      <c r="G13" s="96" t="str">
        <f>IFERROR(IF(VLOOKUP($E13,BDD!$A$1:$S$567,MATCH(G$10,BDD!$A$1:$P$1,0),FALSE)=0,"",VLOOKUP($E13,BDD!$A$1:$S$567,MATCH(G$10,BDD!$A$1:$P$1,0),FALSE)),"")</f>
        <v>L’équipe projet est mobilisée sur les objectifs du métier.</v>
      </c>
      <c r="H13" s="210" t="str">
        <f>IF(VLOOKUP(E13,BDD!$A$1:$S$567,15,FALSE)=0,"Critère non évalué","")</f>
        <v>Critère non évalué</v>
      </c>
      <c r="I13" s="64" t="str">
        <f>IFERROR(IF(VLOOKUP($E13,BDD!$A$1:$S$567,MATCH(I$10,BDD!$A$1:$P$1,0),FALSE)=0,"",VLOOKUP($E13,BDD!$A$1:$S$567,MATCH(I$10,BDD!$A$1:$P$1,0),FALSE)),"")</f>
        <v>N2</v>
      </c>
      <c r="J13" s="206"/>
      <c r="K13" s="96" t="str">
        <f>IFERROR(IF(VLOOKUP($E13,BDD!$A$1:$S$567,MATCH(K$10,BDD!$A$1:$P$1,0),FALSE)=0,"",VLOOKUP($E13,BDD!$A$1:$S$567,MATCH(K$10,BDD!$A$1:$P$1,0),FALSE)),"")</f>
        <v/>
      </c>
      <c r="L13" s="68"/>
      <c r="M13" s="90"/>
      <c r="N13" s="90"/>
      <c r="O13" s="68"/>
      <c r="P13" s="298"/>
    </row>
    <row r="14" spans="1:16" ht="130.05000000000001" hidden="1" customHeight="1" x14ac:dyDescent="0.3">
      <c r="A14" s="298"/>
      <c r="B14" s="68"/>
      <c r="C14" s="68" t="str">
        <f t="shared" si="0"/>
        <v>8</v>
      </c>
      <c r="D14" s="68">
        <f t="shared" si="1"/>
        <v>1</v>
      </c>
      <c r="E14" s="84" t="str">
        <f t="shared" si="2"/>
        <v>813</v>
      </c>
      <c r="F14" s="66" t="s">
        <v>30</v>
      </c>
      <c r="G14" s="67" t="str">
        <f>IFERROR(IF(VLOOKUP($E14,BDD!$A$1:$S$567,MATCH(G$10,BDD!$A$1:$P$1,0),FALSE)=0,"",VLOOKUP($E14,BDD!$A$1:$S$567,MATCH(G$10,BDD!$A$1:$P$1,0),FALSE)),"")</f>
        <v/>
      </c>
      <c r="H14" s="85" t="str">
        <f>IF(VLOOKUP(E14,BDD!$A$1:$S$567,15,FALSE)=0,"Critère non évalué","")</f>
        <v>Critère non évalué</v>
      </c>
      <c r="I14" s="66" t="str">
        <f>IFERROR(IF(VLOOKUP($E14,BDD!$A$1:$S$567,MATCH(I$10,BDD!$A$1:$P$1,0),FALSE)=0,"",VLOOKUP($E14,BDD!$A$1:$S$567,MATCH(I$10,BDD!$A$1:$P$1,0),FALSE)),"")</f>
        <v xml:space="preserve"> </v>
      </c>
      <c r="J14" s="86"/>
      <c r="K14" s="67" t="str">
        <f>IFERROR(IF(VLOOKUP($E14,BDD!$A$1:$S$567,MATCH(K$10,BDD!$A$1:$P$1,0),FALSE)=0,"",VLOOKUP($E14,BDD!$A$1:$S$567,MATCH(K$10,BDD!$A$1:$P$1,0),FALSE)),"")</f>
        <v/>
      </c>
      <c r="L14" s="68"/>
      <c r="M14" s="87"/>
      <c r="N14" s="87"/>
      <c r="O14" s="68"/>
      <c r="P14" s="298"/>
    </row>
    <row r="15" spans="1:16" ht="130.05000000000001" hidden="1" customHeight="1" x14ac:dyDescent="0.3">
      <c r="A15" s="298"/>
      <c r="B15" s="68"/>
      <c r="C15" s="68" t="str">
        <f t="shared" si="0"/>
        <v>8</v>
      </c>
      <c r="D15" s="68">
        <f t="shared" si="1"/>
        <v>1</v>
      </c>
      <c r="E15" s="84" t="str">
        <f t="shared" si="2"/>
        <v>814</v>
      </c>
      <c r="F15" s="64" t="s">
        <v>32</v>
      </c>
      <c r="G15" s="65" t="str">
        <f>IFERROR(IF(VLOOKUP($E15,BDD!$A$1:$S$567,MATCH(G$10,BDD!$A$1:$P$1,0),FALSE)=0,"",VLOOKUP($E15,BDD!$A$1:$S$567,MATCH(G$10,BDD!$A$1:$P$1,0),FALSE)),"")</f>
        <v/>
      </c>
      <c r="H15" s="88" t="str">
        <f>IF(VLOOKUP(E15,BDD!$A$1:$S$567,15,FALSE)=0,"Critère non évalué","")</f>
        <v>Critère non évalué</v>
      </c>
      <c r="I15" s="64" t="str">
        <f>IFERROR(IF(VLOOKUP($E15,BDD!$A$1:$S$567,MATCH(I$10,BDD!$A$1:$P$1,0),FALSE)=0,"",VLOOKUP($E15,BDD!$A$1:$S$567,MATCH(I$10,BDD!$A$1:$P$1,0),FALSE)),"")</f>
        <v xml:space="preserve"> </v>
      </c>
      <c r="J15" s="91"/>
      <c r="K15" s="65" t="str">
        <f>IFERROR(IF(VLOOKUP($E15,BDD!$A$1:$S$567,MATCH(K$10,BDD!$A$1:$P$1,0),FALSE)=0,"",VLOOKUP($E15,BDD!$A$1:$S$567,MATCH(K$10,BDD!$A$1:$P$1,0),FALSE)),"")</f>
        <v/>
      </c>
      <c r="L15" s="68"/>
      <c r="M15" s="90"/>
      <c r="N15" s="90"/>
      <c r="O15" s="68"/>
      <c r="P15" s="298"/>
    </row>
    <row r="16" spans="1:16" ht="130.05000000000001" hidden="1" customHeight="1" x14ac:dyDescent="0.3">
      <c r="A16" s="298"/>
      <c r="B16" s="68"/>
      <c r="C16" s="68" t="str">
        <f t="shared" si="0"/>
        <v>8</v>
      </c>
      <c r="D16" s="68">
        <f t="shared" si="1"/>
        <v>1</v>
      </c>
      <c r="E16" s="84" t="str">
        <f t="shared" si="2"/>
        <v>815</v>
      </c>
      <c r="F16" s="66" t="s">
        <v>33</v>
      </c>
      <c r="G16" s="67" t="str">
        <f>IFERROR(IF(VLOOKUP($E16,BDD!$A$1:$S$567,MATCH(G$10,BDD!$A$1:$P$1,0),FALSE)=0,"",VLOOKUP($E16,BDD!$A$1:$S$567,MATCH(G$10,BDD!$A$1:$P$1,0),FALSE)),"")</f>
        <v/>
      </c>
      <c r="H16" s="85" t="str">
        <f>IF(VLOOKUP(E16,BDD!$A$1:$S$567,15,FALSE)=0,"Critère non évalué","")</f>
        <v>Critère non évalué</v>
      </c>
      <c r="I16" s="66" t="str">
        <f>IFERROR(IF(VLOOKUP($E16,BDD!$A$1:$S$567,MATCH(I$10,BDD!$A$1:$P$1,0),FALSE)=0,"",VLOOKUP($E16,BDD!$A$1:$S$567,MATCH(I$10,BDD!$A$1:$P$1,0),FALSE)),"")</f>
        <v xml:space="preserve"> </v>
      </c>
      <c r="J16" s="86"/>
      <c r="K16" s="67" t="str">
        <f>IFERROR(IF(VLOOKUP($E16,BDD!$A$1:$S$567,MATCH(K$10,BDD!$A$1:$P$1,0),FALSE)=0,"",VLOOKUP($E16,BDD!$A$1:$S$567,MATCH(K$10,BDD!$A$1:$P$1,0),FALSE)),"")</f>
        <v/>
      </c>
      <c r="L16" s="68"/>
      <c r="M16" s="82"/>
      <c r="N16" s="82"/>
      <c r="O16" s="68"/>
      <c r="P16" s="298"/>
    </row>
    <row r="17" spans="1:16" ht="130.05000000000001" hidden="1" customHeight="1" x14ac:dyDescent="0.3">
      <c r="A17" s="298"/>
      <c r="B17" s="68"/>
      <c r="C17" s="68" t="str">
        <f t="shared" si="0"/>
        <v>8</v>
      </c>
      <c r="D17" s="68">
        <f t="shared" si="1"/>
        <v>1</v>
      </c>
      <c r="E17" s="84" t="str">
        <f t="shared" si="2"/>
        <v>816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xml:space="preserve"> </v>
      </c>
      <c r="J17" s="89"/>
      <c r="K17" s="65" t="str">
        <f>IFERROR(IF(VLOOKUP($E17,BDD!$A$1:$S$567,MATCH(K$10,BDD!$A$1:$P$1,0),FALSE)=0,"",VLOOKUP($E17,BDD!$A$1:$S$567,MATCH(K$10,BDD!$A$1:$P$1,0),FALSE)),"")</f>
        <v/>
      </c>
      <c r="L17" s="68"/>
      <c r="M17" s="90"/>
      <c r="N17" s="90"/>
      <c r="O17" s="68"/>
      <c r="P17" s="298"/>
    </row>
    <row r="18" spans="1:16" ht="130.05000000000001" hidden="1" customHeight="1" x14ac:dyDescent="0.3">
      <c r="A18" s="298"/>
      <c r="B18" s="68"/>
      <c r="C18" s="68" t="str">
        <f t="shared" si="0"/>
        <v>8</v>
      </c>
      <c r="D18" s="68">
        <f t="shared" si="1"/>
        <v>1</v>
      </c>
      <c r="E18" s="84" t="str">
        <f t="shared" si="2"/>
        <v>817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298"/>
    </row>
    <row r="19" spans="1:16" ht="18" x14ac:dyDescent="0.35">
      <c r="A19" s="298"/>
      <c r="B19" s="68"/>
      <c r="C19" s="68" t="str">
        <f t="shared" si="0"/>
        <v>8</v>
      </c>
      <c r="D19" s="68">
        <f t="shared" si="1"/>
        <v>1</v>
      </c>
      <c r="E19" s="84" t="str">
        <f t="shared" si="2"/>
        <v>81</v>
      </c>
      <c r="F19" s="68"/>
      <c r="G19" s="69" t="str">
        <f>IF(Suppl!B80=2,"Le vecteur n'est pas utilisé","")</f>
        <v/>
      </c>
      <c r="H19" s="69"/>
      <c r="I19" s="69"/>
      <c r="J19" s="69"/>
      <c r="K19" s="69"/>
      <c r="L19" s="70"/>
      <c r="M19" s="68"/>
      <c r="N19" s="68"/>
      <c r="O19" s="68"/>
      <c r="P19" s="298"/>
    </row>
    <row r="20" spans="1:16" x14ac:dyDescent="0.3">
      <c r="A20" s="298"/>
      <c r="B20" s="68"/>
      <c r="C20" s="68" t="str">
        <f t="shared" si="0"/>
        <v>8</v>
      </c>
      <c r="D20" s="68">
        <f>IF(LEFT(F20,14)="Bonne pratique",D19+1,D19)</f>
        <v>1</v>
      </c>
      <c r="E20" s="84" t="str">
        <f t="shared" si="2"/>
        <v>81</v>
      </c>
      <c r="F20" s="68"/>
      <c r="G20" s="68"/>
      <c r="H20" s="68"/>
      <c r="I20" s="68"/>
      <c r="J20" s="68"/>
      <c r="K20" s="68"/>
      <c r="L20" s="68"/>
      <c r="M20" s="68"/>
      <c r="N20" s="68"/>
      <c r="O20" s="68"/>
      <c r="P20" s="298"/>
    </row>
    <row r="21" spans="1:16" ht="25.8" x14ac:dyDescent="0.5">
      <c r="A21" s="304"/>
      <c r="B21" s="74"/>
      <c r="C21" s="68" t="str">
        <f t="shared" si="0"/>
        <v>8</v>
      </c>
      <c r="D21" s="68">
        <f t="shared" si="1"/>
        <v>2</v>
      </c>
      <c r="E21" s="84" t="str">
        <f t="shared" si="2"/>
        <v>822</v>
      </c>
      <c r="F21" s="208" t="s">
        <v>500</v>
      </c>
      <c r="G21" s="75"/>
      <c r="H21" s="205"/>
      <c r="I21" s="73"/>
      <c r="J21" s="73" t="str">
        <f>VLOOKUP(E28,BDD!$A$2:$N$567,6,FALSE)</f>
        <v>Gouvernance du projet</v>
      </c>
      <c r="K21" s="72"/>
      <c r="L21" s="75"/>
      <c r="M21" s="75"/>
      <c r="N21" s="75"/>
      <c r="O21" s="74"/>
      <c r="P21" s="304"/>
    </row>
    <row r="22" spans="1:16" x14ac:dyDescent="0.3">
      <c r="A22" s="298"/>
      <c r="B22" s="68"/>
      <c r="C22" s="68" t="str">
        <f t="shared" si="0"/>
        <v>8</v>
      </c>
      <c r="D22" s="68">
        <f t="shared" si="1"/>
        <v>2</v>
      </c>
      <c r="E22" s="84" t="str">
        <f t="shared" si="2"/>
        <v>82</v>
      </c>
      <c r="F22" s="68"/>
      <c r="G22" s="68"/>
      <c r="H22" s="68"/>
      <c r="I22" s="68"/>
      <c r="J22" s="68"/>
      <c r="K22" s="68"/>
      <c r="L22" s="68"/>
      <c r="M22" s="68"/>
      <c r="N22" s="68"/>
      <c r="O22" s="68"/>
      <c r="P22" s="298"/>
    </row>
    <row r="23" spans="1:16" ht="18" x14ac:dyDescent="0.35">
      <c r="A23" s="305"/>
      <c r="B23" s="76"/>
      <c r="C23" s="68" t="str">
        <f t="shared" si="0"/>
        <v>8</v>
      </c>
      <c r="D23" s="68">
        <f t="shared" si="1"/>
        <v>2</v>
      </c>
      <c r="E23" s="84" t="str">
        <f t="shared" si="2"/>
        <v>82</v>
      </c>
      <c r="F23" s="76"/>
      <c r="G23" s="76"/>
      <c r="H23" s="76"/>
      <c r="I23" s="77"/>
      <c r="J23" s="207" t="str">
        <f>IFERROR(_xlfn.TEXTBEFORE(VLOOKUP(E28,BDD!$A$2:$N$567,7,FALSE)," ",30),VLOOKUP(E28,BDD!$A$2:$N$567,7,FALSE))</f>
        <v>Le mode de gouvernance de projet est clair, partagé et reconnu.</v>
      </c>
      <c r="K23" s="77"/>
      <c r="L23" s="76"/>
      <c r="M23" s="76"/>
      <c r="N23" s="76"/>
      <c r="O23" s="76"/>
      <c r="P23" s="305"/>
    </row>
    <row r="24" spans="1:16" ht="18" x14ac:dyDescent="0.35">
      <c r="A24" s="298"/>
      <c r="B24" s="68"/>
      <c r="C24" s="68" t="str">
        <f t="shared" si="0"/>
        <v>8</v>
      </c>
      <c r="D24" s="68">
        <f t="shared" si="1"/>
        <v>2</v>
      </c>
      <c r="E24" s="84" t="str">
        <f t="shared" si="2"/>
        <v>82</v>
      </c>
      <c r="F24" s="68"/>
      <c r="G24" s="68"/>
      <c r="H24" s="68"/>
      <c r="I24" s="68"/>
      <c r="J24" s="207" t="str">
        <f>IFERROR(_xlfn.TEXTAFTER(VLOOKUP(E28,BDD!$A$2:$N$567,7,FALSE)," ",30),"")</f>
        <v/>
      </c>
      <c r="K24" s="68"/>
      <c r="L24" s="68"/>
      <c r="M24" s="68"/>
      <c r="N24" s="68"/>
      <c r="O24" s="68"/>
      <c r="P24" s="298"/>
    </row>
    <row r="25" spans="1:16" x14ac:dyDescent="0.3">
      <c r="A25" s="298"/>
      <c r="B25" s="68"/>
      <c r="C25" s="68" t="str">
        <f t="shared" si="0"/>
        <v>8</v>
      </c>
      <c r="D25" s="68">
        <f t="shared" si="1"/>
        <v>2</v>
      </c>
      <c r="E25" s="84" t="str">
        <f t="shared" si="2"/>
        <v>82</v>
      </c>
      <c r="F25" s="68"/>
      <c r="G25" s="68"/>
      <c r="H25" s="68"/>
      <c r="I25" s="68"/>
      <c r="J25" s="78"/>
      <c r="K25" s="68"/>
      <c r="L25" s="68"/>
      <c r="M25" s="619" t="s">
        <v>92</v>
      </c>
      <c r="N25" s="619"/>
      <c r="O25" s="68"/>
      <c r="P25" s="298"/>
    </row>
    <row r="26" spans="1:16" ht="33" x14ac:dyDescent="0.3">
      <c r="A26" s="298"/>
      <c r="B26" s="68"/>
      <c r="C26" s="68" t="str">
        <f t="shared" si="0"/>
        <v>8</v>
      </c>
      <c r="D26" s="68">
        <f t="shared" si="1"/>
        <v>2</v>
      </c>
      <c r="E26" s="84" t="str">
        <f t="shared" si="2"/>
        <v>82</v>
      </c>
      <c r="F26" s="93"/>
      <c r="G26" s="80" t="s">
        <v>561</v>
      </c>
      <c r="H26" s="80" t="s">
        <v>82</v>
      </c>
      <c r="I26" s="80" t="s">
        <v>83</v>
      </c>
      <c r="J26" s="80" t="s">
        <v>84</v>
      </c>
      <c r="K26" s="80" t="s">
        <v>85</v>
      </c>
      <c r="L26" s="78"/>
      <c r="M26" s="81" t="s">
        <v>86</v>
      </c>
      <c r="N26" s="82" t="s">
        <v>87</v>
      </c>
      <c r="O26" s="68"/>
      <c r="P26" s="298"/>
    </row>
    <row r="27" spans="1:16" x14ac:dyDescent="0.3">
      <c r="A27" s="298"/>
      <c r="B27" s="68"/>
      <c r="C27" s="68" t="str">
        <f t="shared" si="0"/>
        <v>8</v>
      </c>
      <c r="D27" s="68">
        <f t="shared" si="1"/>
        <v>2</v>
      </c>
      <c r="E27" s="84" t="str">
        <f t="shared" si="2"/>
        <v>82</v>
      </c>
      <c r="F27" s="68"/>
      <c r="G27" s="83"/>
      <c r="H27" s="83"/>
      <c r="I27" s="83"/>
      <c r="J27" s="68"/>
      <c r="K27" s="83"/>
      <c r="L27" s="68"/>
      <c r="M27" s="68"/>
      <c r="N27" s="68"/>
      <c r="O27" s="68"/>
      <c r="P27" s="298"/>
    </row>
    <row r="28" spans="1:16" ht="130.05000000000001" customHeight="1" x14ac:dyDescent="0.3">
      <c r="A28" s="298"/>
      <c r="B28" s="68"/>
      <c r="C28" s="68" t="str">
        <f t="shared" si="0"/>
        <v>8</v>
      </c>
      <c r="D28" s="68">
        <f t="shared" si="1"/>
        <v>2</v>
      </c>
      <c r="E28" s="84" t="str">
        <f t="shared" si="2"/>
        <v>821</v>
      </c>
      <c r="F28" s="66" t="s">
        <v>27</v>
      </c>
      <c r="G28" s="67" t="str">
        <f>IFERROR(IF(VLOOKUP($E28,BDD!$A$1:$S$567,MATCH(G$10,BDD!$A$1:$P$1,0),FALSE)=0,"",VLOOKUP($E28,BDD!$A$1:$S$567,MATCH(G$10,BDD!$A$1:$P$1,0),FALSE)),"")</f>
        <v>L’entité responsable du projet est unique et légitime.</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L‘entité responsable est la direction, le service ou le département utilisateur final de la solution. Il s’agit dans la plupart des cas d’une entité métier (à l’exception des projets techniques). 
• Dans le cas d’un projet transversal, l’entité leader est l’entité la plus concernée ou la plus légitime, voire la plus motrice.</v>
      </c>
      <c r="L28" s="68"/>
      <c r="M28" s="87"/>
      <c r="N28" s="87"/>
      <c r="O28" s="68"/>
      <c r="P28" s="298"/>
    </row>
    <row r="29" spans="1:16" ht="130.05000000000001" customHeight="1" x14ac:dyDescent="0.3">
      <c r="A29" s="298"/>
      <c r="B29" s="68"/>
      <c r="C29" s="68" t="str">
        <f t="shared" si="0"/>
        <v>8</v>
      </c>
      <c r="D29" s="68">
        <f t="shared" si="1"/>
        <v>2</v>
      </c>
      <c r="E29" s="84" t="str">
        <f t="shared" si="2"/>
        <v>822</v>
      </c>
      <c r="F29" s="94" t="s">
        <v>28</v>
      </c>
      <c r="G29" s="65" t="str">
        <f>IFERROR(IF(VLOOKUP($E29,BDD!$A$1:$S$567,MATCH(G$10,BDD!$A$1:$P$1,0),FALSE)=0,"",VLOOKUP($E29,BDD!$A$1:$S$567,MATCH(G$10,BDD!$A$1:$P$1,0),FALSE)),"")</f>
        <v>Le sponsor est désigné et connu de tous. Sa disponibilité réelle lui permet de tenir son rôle.</v>
      </c>
      <c r="H29" s="88" t="str">
        <f>IF(VLOOKUP(E29,BDD!$A$1:$S$567,15,FALSE)=0,"Critère non évalué","")</f>
        <v>Critère non évalué</v>
      </c>
      <c r="I29" s="64" t="str">
        <f>IFERROR(IF(VLOOKUP($E29,BDD!$A$1:$S$567,MATCH(I$10,BDD!$A$1:$P$1,0),FALSE)=0,"",VLOOKUP($E29,BDD!$A$1:$S$567,MATCH(I$10,BDD!$A$1:$P$1,0),FALSE)),"")</f>
        <v>N1</v>
      </c>
      <c r="J29" s="89"/>
      <c r="K29" s="65" t="str">
        <f>IFERROR(IF(VLOOKUP($E29,BDD!$A$1:$S$567,MATCH(K$10,BDD!$A$1:$P$1,0),FALSE)=0,"",VLOOKUP($E29,BDD!$A$1:$S$567,MATCH(K$10,BDD!$A$1:$P$1,0),FALSE)),"")</f>
        <v>• Le sponsor joue un rôle de facilitateur : il arbitre les décisions importantes, veille à l'atteinte des résultats, au respect des objectifs de coût, délai et qualité, garantit l'alignement avec les besoins des métiers et la stratégie, et s’assure d’une communication efficace et transparente.</v>
      </c>
      <c r="L29" s="68"/>
      <c r="M29" s="90"/>
      <c r="N29" s="90"/>
      <c r="O29" s="68"/>
      <c r="P29" s="298"/>
    </row>
    <row r="30" spans="1:16" ht="130.05000000000001" customHeight="1" x14ac:dyDescent="0.3">
      <c r="A30" s="298"/>
      <c r="B30" s="68"/>
      <c r="C30" s="68" t="str">
        <f t="shared" si="0"/>
        <v>8</v>
      </c>
      <c r="D30" s="68">
        <f t="shared" si="1"/>
        <v>2</v>
      </c>
      <c r="E30" s="84" t="str">
        <f t="shared" si="2"/>
        <v>823</v>
      </c>
      <c r="F30" s="66" t="s">
        <v>30</v>
      </c>
      <c r="G30" s="67" t="str">
        <f>IFERROR(IF(VLOOKUP($E30,BDD!$A$1:$S$567,MATCH(G$10,BDD!$A$1:$P$1,0),FALSE)=0,"",VLOOKUP($E30,BDD!$A$1:$S$567,MATCH(G$10,BDD!$A$1:$P$1,0),FALSE)),"")</f>
        <v>Une instance de pilotage, présidée par le sponsor et animée par le responsable de l’équipe projet, ainsi  qu’une instance opérationnelle, présidée par le responsable de l’équipe projet, sont constituées et se réunissent régulièrement.</v>
      </c>
      <c r="H30" s="85" t="str">
        <f>IF(VLOOKUP(E30,BDD!$A$1:$S$567,15,FALSE)=0,"Critère non évalué","")</f>
        <v>Critère non évalué</v>
      </c>
      <c r="I30" s="66" t="str">
        <f>IFERROR(IF(VLOOKUP($E30,BDD!$A$1:$S$567,MATCH(I$10,BDD!$A$1:$P$1,0),FALSE)=0,"",VLOOKUP($E30,BDD!$A$1:$S$567,MATCH(I$10,BDD!$A$1:$P$1,0),FALSE)),"")</f>
        <v>N2</v>
      </c>
      <c r="J30" s="86"/>
      <c r="K30" s="67" t="str">
        <f>IFERROR(IF(VLOOKUP($E30,BDD!$A$1:$S$567,MATCH(K$10,BDD!$A$1:$P$1,0),FALSE)=0,"",VLOOKUP($E30,BDD!$A$1:$S$567,MATCH(K$10,BDD!$A$1:$P$1,0),FALSE)),"")</f>
        <v>• Chacune des deux instances est constituée de participants représentatifs des différentes activités et sujets traités (métiers, DSI, conduite du changement, gestion des risques numériques etc.). Elles se tiennent à une fréquence régulière et adaptée aux sujets traités. Elles permettent de prendre des décisions et d’orienter le projet. Un compte rendu de décisions est systématiquement et rapidement rédigé à l’issue de chaque instance
• L'instance de pilotage projet fournit un reporting à l'instance de pilotage du portefeuille de projets, sous un format standardisé permettant à celle-ci d’exercer son rôle de gestion consolidée du portefeuille.</v>
      </c>
      <c r="L30" s="68"/>
      <c r="M30" s="87"/>
      <c r="N30" s="87"/>
      <c r="O30" s="68"/>
      <c r="P30" s="298"/>
    </row>
    <row r="31" spans="1:16" ht="130.05000000000001" customHeight="1" x14ac:dyDescent="0.3">
      <c r="A31" s="298"/>
      <c r="B31" s="68"/>
      <c r="C31" s="68" t="str">
        <f t="shared" si="0"/>
        <v>8</v>
      </c>
      <c r="D31" s="68">
        <f t="shared" si="1"/>
        <v>2</v>
      </c>
      <c r="E31" s="84" t="str">
        <f t="shared" si="2"/>
        <v>824</v>
      </c>
      <c r="F31" s="64" t="s">
        <v>32</v>
      </c>
      <c r="G31" s="65" t="str">
        <f>IFERROR(IF(VLOOKUP($E31,BDD!$A$1:$S$567,MATCH(G$10,BDD!$A$1:$P$1,0),FALSE)=0,"",VLOOKUP($E31,BDD!$A$1:$S$567,MATCH(G$10,BDD!$A$1:$P$1,0),FALSE)),"")</f>
        <v>Le mode de pilotage du projet est complètement défini. Il intègre les comités complémentaires au comité de pilotage et au comité du projet. Ces comités additionnels sont connus (objectifs, fréquence, tableaux de bord et indicateurs, etc.).</v>
      </c>
      <c r="H31" s="88" t="str">
        <f>IF(VLOOKUP(E31,BDD!$A$1:$S$567,15,FALSE)=0,"Critère non évalué","")</f>
        <v>Critère non évalué</v>
      </c>
      <c r="I31" s="64" t="str">
        <f>IFERROR(IF(VLOOKUP($E31,BDD!$A$1:$S$567,MATCH(I$10,BDD!$A$1:$P$1,0),FALSE)=0,"",VLOOKUP($E31,BDD!$A$1:$S$567,MATCH(I$10,BDD!$A$1:$P$1,0),FALSE)),"")</f>
        <v>N2</v>
      </c>
      <c r="J31" s="91"/>
      <c r="K31" s="65" t="str">
        <f>IFERROR(IF(VLOOKUP($E31,BDD!$A$1:$S$567,MATCH(K$10,BDD!$A$1:$P$1,0),FALSE)=0,"",VLOOKUP($E31,BDD!$A$1:$S$567,MATCH(K$10,BDD!$A$1:$P$1,0),FALSE)),"")</f>
        <v>• Exemples de comités complémentaires : comité métiers, comité d’arbitrage fonctionnel, suivi de lot ou de chantier, comité d’intégration dans le SI, comité de recette des développements réalisés, etc.
• En cas de difficultés rencontrées sur des projets critiques, l’entreprise peut faire appel à des audits indépendants.</v>
      </c>
      <c r="L31" s="68"/>
      <c r="M31" s="90"/>
      <c r="N31" s="90"/>
      <c r="O31" s="68"/>
      <c r="P31" s="298"/>
    </row>
    <row r="32" spans="1:16" ht="130.05000000000001" customHeight="1" x14ac:dyDescent="0.3">
      <c r="A32" s="298"/>
      <c r="B32" s="68"/>
      <c r="C32" s="68" t="str">
        <f t="shared" si="0"/>
        <v>8</v>
      </c>
      <c r="D32" s="68">
        <f t="shared" si="1"/>
        <v>2</v>
      </c>
      <c r="E32" s="84" t="str">
        <f t="shared" si="2"/>
        <v>825</v>
      </c>
      <c r="F32" s="66" t="s">
        <v>33</v>
      </c>
      <c r="G32" s="67" t="str">
        <f>IFERROR(IF(VLOOKUP($E32,BDD!$A$1:$S$567,MATCH(G$10,BDD!$A$1:$P$1,0),FALSE)=0,"",VLOOKUP($E32,BDD!$A$1:$S$567,MATCH(G$10,BDD!$A$1:$P$1,0),FALSE)),"")</f>
        <v xml:space="preserve">L'équipe projet/produit réunit les compétences nécessaires tant métiers que conduite de projet. Elle dispose également des expertises techniques ou elle s’appuie sur un référent responsable chargé des choix techniques. Elle bénéficie de moyens d'action et de décision réels et d’un budget dédié. </v>
      </c>
      <c r="H32" s="85" t="str">
        <f>IF(VLOOKUP(E32,BDD!$A$1:$S$567,15,FALSE)=0,"Critère non évalué","")</f>
        <v>Critère non évalué</v>
      </c>
      <c r="I32" s="66" t="str">
        <f>IFERROR(IF(VLOOKUP($E32,BDD!$A$1:$S$567,MATCH(I$10,BDD!$A$1:$P$1,0),FALSE)=0,"",VLOOKUP($E32,BDD!$A$1:$S$567,MATCH(I$10,BDD!$A$1:$P$1,0),FALSE)),"")</f>
        <v>N2</v>
      </c>
      <c r="J32" s="86"/>
      <c r="K32" s="67" t="str">
        <f>IFERROR(IF(VLOOKUP($E32,BDD!$A$1:$S$567,MATCH(K$10,BDD!$A$1:$P$1,0),FALSE)=0,"",VLOOKUP($E32,BDD!$A$1:$S$567,MATCH(K$10,BDD!$A$1:$P$1,0),FALSE)),"")</f>
        <v xml:space="preserve">• Les acteurs du projet sont choisis en fonction de la méthode de conduite retenue ( « cycle en V » ou « méthode agile »).
• Selon la taille de l’équipe, une seule et même personne peut cumuler plusieurs compétences : techniques, métiers et/ou méthodologiques.  </v>
      </c>
      <c r="L32" s="68"/>
      <c r="M32" s="82"/>
      <c r="N32" s="82"/>
      <c r="O32" s="68"/>
      <c r="P32" s="298"/>
    </row>
    <row r="33" spans="1:16" ht="130.05000000000001" customHeight="1" x14ac:dyDescent="0.3">
      <c r="A33" s="298"/>
      <c r="B33" s="68"/>
      <c r="C33" s="68" t="str">
        <f t="shared" si="0"/>
        <v>8</v>
      </c>
      <c r="D33" s="68">
        <f t="shared" si="1"/>
        <v>2</v>
      </c>
      <c r="E33" s="84" t="str">
        <f t="shared" si="2"/>
        <v>826</v>
      </c>
      <c r="F33" s="64" t="s">
        <v>34</v>
      </c>
      <c r="G33" s="96" t="str">
        <f>IFERROR(IF(VLOOKUP($E33,BDD!$A$1:$S$567,MATCH(G$10,BDD!$A$1:$P$1,0),FALSE)=0,"",VLOOKUP($E33,BDD!$A$1:$S$567,MATCH(G$10,BDD!$A$1:$P$1,0),FALSE)),"")</f>
        <v>Les enjeux et les risques, opérationnels, financiers et humains, du projet sont identifiés et connus de tous. La criticité de ces risques est régulièrement évaluée, suivie et communiquée à toutes les parties prenantes, et un plan d'action est mis en œuvre pour les mitiger.</v>
      </c>
      <c r="H33" s="92" t="str">
        <f>IF(VLOOKUP(E33,BDD!$A$1:$S$567,15,FALSE)=0,"Critère non évalué","")</f>
        <v>Critère non évalué</v>
      </c>
      <c r="I33" s="64" t="str">
        <f>IFERROR(IF(VLOOKUP($E33,BDD!$A$1:$S$567,MATCH(I$10,BDD!$A$1:$P$1,0),FALSE)=0,"",VLOOKUP($E33,BDD!$A$1:$S$567,MATCH(I$10,BDD!$A$1:$P$1,0),FALSE)),"")</f>
        <v>N4</v>
      </c>
      <c r="J33" s="206"/>
      <c r="K33" s="96" t="str">
        <f>IFERROR(IF(VLOOKUP($E33,BDD!$A$1:$S$567,MATCH(K$10,BDD!$A$1:$P$1,0),FALSE)=0,"",VLOOKUP($E33,BDD!$A$1:$S$567,MATCH(K$10,BDD!$A$1:$P$1,0),FALSE)),"")</f>
        <v>• Les coûts du projet sont identifiés et évalués de manière exhaustive en prenant  en compte l’ensemble des dépenses qui lui sont imputables.
• Une cartographie des risques est entretenue, elle est communiquée à échéance régulière afin de pouvoir anticiper, réagir et escalader dans un délai raisonnable.</v>
      </c>
      <c r="L33" s="68"/>
      <c r="M33" s="90"/>
      <c r="N33" s="90"/>
      <c r="O33" s="68"/>
      <c r="P33" s="298"/>
    </row>
    <row r="34" spans="1:16" ht="130.05000000000001" hidden="1" customHeight="1" x14ac:dyDescent="0.3">
      <c r="A34" s="298"/>
      <c r="B34" s="68"/>
      <c r="C34" s="68" t="str">
        <f t="shared" si="0"/>
        <v>8</v>
      </c>
      <c r="D34" s="68">
        <f t="shared" si="1"/>
        <v>2</v>
      </c>
      <c r="E34" s="84" t="str">
        <f t="shared" si="2"/>
        <v>827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xml:space="preserve"> </v>
      </c>
      <c r="J34" s="86"/>
      <c r="K34" s="67" t="str">
        <f>IFERROR(IF(VLOOKUP($E34,BDD!$A$1:$S$567,MATCH(K$10,BDD!$A$1:$P$1,0),FALSE)=0,"",VLOOKUP($E34,BDD!$A$1:$S$567,MATCH(K$10,BDD!$A$1:$P$1,0),FALSE)),"")</f>
        <v/>
      </c>
      <c r="L34" s="68"/>
      <c r="M34" s="82"/>
      <c r="N34" s="82"/>
      <c r="O34" s="68"/>
      <c r="P34" s="298"/>
    </row>
    <row r="35" spans="1:16" ht="18" x14ac:dyDescent="0.35">
      <c r="A35" s="298"/>
      <c r="B35" s="68"/>
      <c r="C35" s="68" t="str">
        <f t="shared" si="0"/>
        <v>8</v>
      </c>
      <c r="D35" s="68">
        <f t="shared" si="1"/>
        <v>2</v>
      </c>
      <c r="E35" s="84" t="str">
        <f t="shared" si="2"/>
        <v>82</v>
      </c>
      <c r="F35" s="68"/>
      <c r="G35" s="69" t="str">
        <f>IF(Suppl!B96=2,"Le vecteur n'est pas utilisé","")</f>
        <v/>
      </c>
      <c r="H35" s="69"/>
      <c r="I35" s="68"/>
      <c r="J35" s="69"/>
      <c r="K35" s="69"/>
      <c r="L35" s="70"/>
      <c r="M35" s="68"/>
      <c r="N35" s="68"/>
      <c r="O35" s="68"/>
      <c r="P35" s="298"/>
    </row>
    <row r="36" spans="1:16" x14ac:dyDescent="0.3">
      <c r="A36" s="298"/>
      <c r="B36" s="68"/>
      <c r="C36" s="68" t="str">
        <f t="shared" si="0"/>
        <v>8</v>
      </c>
      <c r="D36" s="68">
        <f>IF(LEFT(F36,14)="Bonne pratique",D35+1,D35)</f>
        <v>2</v>
      </c>
      <c r="E36" s="84" t="str">
        <f t="shared" si="2"/>
        <v>82</v>
      </c>
      <c r="F36" s="68"/>
      <c r="G36" s="68"/>
      <c r="H36" s="68"/>
      <c r="I36" s="68"/>
      <c r="J36" s="68"/>
      <c r="K36" s="68"/>
      <c r="L36" s="68"/>
      <c r="M36" s="68"/>
      <c r="N36" s="68"/>
      <c r="O36" s="68"/>
      <c r="P36" s="298"/>
    </row>
    <row r="37" spans="1:16" ht="25.8" x14ac:dyDescent="0.5">
      <c r="A37" s="304"/>
      <c r="B37" s="74"/>
      <c r="C37" s="68" t="str">
        <f t="shared" si="0"/>
        <v>8</v>
      </c>
      <c r="D37" s="68">
        <f t="shared" si="1"/>
        <v>3</v>
      </c>
      <c r="E37" s="84" t="str">
        <f t="shared" si="2"/>
        <v>833</v>
      </c>
      <c r="F37" s="208" t="s">
        <v>501</v>
      </c>
      <c r="G37" s="75"/>
      <c r="H37" s="205"/>
      <c r="I37" s="73"/>
      <c r="J37" s="73" t="str">
        <f>VLOOKUP(E44,BDD!$A$2:$N$567,6,FALSE)</f>
        <v>Méthode de projet</v>
      </c>
      <c r="K37" s="72"/>
      <c r="L37" s="75"/>
      <c r="M37" s="75"/>
      <c r="N37" s="75"/>
      <c r="O37" s="74"/>
      <c r="P37" s="304"/>
    </row>
    <row r="38" spans="1:16" x14ac:dyDescent="0.3">
      <c r="A38" s="298"/>
      <c r="B38" s="68"/>
      <c r="C38" s="68" t="str">
        <f t="shared" si="0"/>
        <v>8</v>
      </c>
      <c r="D38" s="68">
        <f t="shared" si="1"/>
        <v>3</v>
      </c>
      <c r="E38" s="84" t="str">
        <f t="shared" si="2"/>
        <v>83</v>
      </c>
      <c r="F38" s="68"/>
      <c r="G38" s="68"/>
      <c r="H38" s="68"/>
      <c r="I38" s="68"/>
      <c r="J38" s="68"/>
      <c r="K38" s="68"/>
      <c r="L38" s="68"/>
      <c r="M38" s="68"/>
      <c r="N38" s="68"/>
      <c r="O38" s="68"/>
      <c r="P38" s="298"/>
    </row>
    <row r="39" spans="1:16" ht="18" x14ac:dyDescent="0.35">
      <c r="A39" s="305"/>
      <c r="B39" s="76"/>
      <c r="C39" s="68" t="str">
        <f t="shared" si="0"/>
        <v>8</v>
      </c>
      <c r="D39" s="68">
        <f t="shared" si="1"/>
        <v>3</v>
      </c>
      <c r="E39" s="84" t="str">
        <f t="shared" si="2"/>
        <v>83</v>
      </c>
      <c r="F39" s="76"/>
      <c r="G39" s="76"/>
      <c r="H39" s="76"/>
      <c r="I39" s="77"/>
      <c r="J39" s="207" t="str">
        <f>IFERROR(_xlfn.TEXTBEFORE(VLOOKUP(E44,BDD!$A$2:$N$567,7,FALSE)," ",30),VLOOKUP(E44,BDD!$A$2:$N$567,7,FALSE))</f>
        <v>L’équipe projet fait le choix d’une méthode de travail cohérente avec les objectifs du projet.</v>
      </c>
      <c r="K39" s="77"/>
      <c r="L39" s="76"/>
      <c r="M39" s="76"/>
      <c r="N39" s="76"/>
      <c r="O39" s="76"/>
      <c r="P39" s="305"/>
    </row>
    <row r="40" spans="1:16" ht="18" x14ac:dyDescent="0.35">
      <c r="A40" s="298"/>
      <c r="B40" s="68"/>
      <c r="C40" s="68" t="str">
        <f t="shared" si="0"/>
        <v>8</v>
      </c>
      <c r="D40" s="68">
        <f t="shared" si="1"/>
        <v>3</v>
      </c>
      <c r="E40" s="84" t="str">
        <f t="shared" si="2"/>
        <v>83</v>
      </c>
      <c r="F40" s="68"/>
      <c r="G40" s="68"/>
      <c r="H40" s="68"/>
      <c r="I40" s="68"/>
      <c r="J40" s="207" t="str">
        <f>IFERROR(_xlfn.TEXTAFTER(VLOOKUP(E44,BDD!$A$2:$N$567,7,FALSE)," ",30),"")</f>
        <v/>
      </c>
      <c r="K40" s="68"/>
      <c r="L40" s="68"/>
      <c r="M40" s="68"/>
      <c r="N40" s="68"/>
      <c r="O40" s="68"/>
      <c r="P40" s="298"/>
    </row>
    <row r="41" spans="1:16" x14ac:dyDescent="0.3">
      <c r="A41" s="298"/>
      <c r="B41" s="68"/>
      <c r="C41" s="68" t="str">
        <f t="shared" si="0"/>
        <v>8</v>
      </c>
      <c r="D41" s="68">
        <f t="shared" si="1"/>
        <v>3</v>
      </c>
      <c r="E41" s="84" t="str">
        <f t="shared" si="2"/>
        <v>83</v>
      </c>
      <c r="F41" s="68"/>
      <c r="G41" s="68"/>
      <c r="H41" s="68"/>
      <c r="I41" s="68"/>
      <c r="J41" s="78"/>
      <c r="K41" s="68"/>
      <c r="L41" s="68"/>
      <c r="M41" s="619" t="s">
        <v>92</v>
      </c>
      <c r="N41" s="619"/>
      <c r="O41" s="68"/>
      <c r="P41" s="298"/>
    </row>
    <row r="42" spans="1:16" ht="33" x14ac:dyDescent="0.3">
      <c r="A42" s="298"/>
      <c r="B42" s="68"/>
      <c r="C42" s="68" t="str">
        <f t="shared" si="0"/>
        <v>8</v>
      </c>
      <c r="D42" s="68">
        <f t="shared" si="1"/>
        <v>3</v>
      </c>
      <c r="E42" s="84" t="str">
        <f t="shared" si="2"/>
        <v>83</v>
      </c>
      <c r="F42" s="79"/>
      <c r="G42" s="80" t="s">
        <v>561</v>
      </c>
      <c r="H42" s="80" t="s">
        <v>82</v>
      </c>
      <c r="I42" s="80" t="s">
        <v>83</v>
      </c>
      <c r="J42" s="80" t="s">
        <v>84</v>
      </c>
      <c r="K42" s="80" t="s">
        <v>85</v>
      </c>
      <c r="L42" s="78"/>
      <c r="M42" s="81" t="s">
        <v>86</v>
      </c>
      <c r="N42" s="82" t="s">
        <v>87</v>
      </c>
      <c r="O42" s="68"/>
      <c r="P42" s="298"/>
    </row>
    <row r="43" spans="1:16" x14ac:dyDescent="0.3">
      <c r="A43" s="298"/>
      <c r="B43" s="68"/>
      <c r="C43" s="68" t="str">
        <f t="shared" si="0"/>
        <v>8</v>
      </c>
      <c r="D43" s="68">
        <f t="shared" si="1"/>
        <v>3</v>
      </c>
      <c r="E43" s="84" t="str">
        <f t="shared" si="2"/>
        <v>83</v>
      </c>
      <c r="F43" s="68"/>
      <c r="G43" s="83"/>
      <c r="H43" s="83"/>
      <c r="I43" s="83"/>
      <c r="J43" s="68"/>
      <c r="K43" s="83"/>
      <c r="L43" s="68"/>
      <c r="M43" s="68"/>
      <c r="N43" s="68"/>
      <c r="O43" s="68"/>
      <c r="P43" s="298"/>
    </row>
    <row r="44" spans="1:16" ht="130.05000000000001" customHeight="1" x14ac:dyDescent="0.3">
      <c r="A44" s="298"/>
      <c r="B44" s="68"/>
      <c r="C44" s="68" t="str">
        <f t="shared" si="0"/>
        <v>8</v>
      </c>
      <c r="D44" s="68">
        <f t="shared" si="1"/>
        <v>3</v>
      </c>
      <c r="E44" s="84" t="str">
        <f t="shared" si="2"/>
        <v>831</v>
      </c>
      <c r="F44" s="66" t="s">
        <v>27</v>
      </c>
      <c r="G44" s="67" t="str">
        <f>IFERROR(IF(VLOOKUP($E44,BDD!$A$1:$S$567,MATCH(G$10,BDD!$A$1:$P$1,0),FALSE)=0,"",VLOOKUP($E44,BDD!$A$1:$S$567,MATCH(G$10,BDD!$A$1:$P$1,0),FALSE)),"")</f>
        <v>La DSI a défini et documenté les méthodes de conduite de projet préconisées.  </v>
      </c>
      <c r="H44" s="85" t="str">
        <f>IF(VLOOKUP(E44,BDD!$A$1:$S$567,15,FALSE)=0,"Critère non évalué","")</f>
        <v>Critère non évalué</v>
      </c>
      <c r="I44" s="66" t="str">
        <f>IFERROR(IF(VLOOKUP($E44,BDD!$A$1:$S$567,MATCH(I$10,BDD!$A$1:$P$1,0),FALSE)=0,"",VLOOKUP($E44,BDD!$A$1:$S$567,MATCH(I$10,BDD!$A$1:$P$1,0),FALSE)),"")</f>
        <v>N2</v>
      </c>
      <c r="J44" s="86"/>
      <c r="K44" s="67" t="str">
        <f>IFERROR(IF(VLOOKUP($E44,BDD!$A$1:$S$567,MATCH(K$10,BDD!$A$1:$P$1,0),FALSE)=0,"",VLOOKUP($E44,BDD!$A$1:$S$567,MATCH(K$10,BDD!$A$1:$P$1,0),FALSE)),"")</f>
        <v>• La DSI a documenté les différentes méthodes recommandées pour les projets numériques, décrivant pour chacune la matrice des responsabilités (RACI), les jalons, les moyens de contrôle et les livrables obligatoires.</v>
      </c>
      <c r="L44" s="68"/>
      <c r="M44" s="87"/>
      <c r="N44" s="87"/>
      <c r="O44" s="68"/>
      <c r="P44" s="298"/>
    </row>
    <row r="45" spans="1:16" ht="150" customHeight="1" x14ac:dyDescent="0.3">
      <c r="A45" s="298"/>
      <c r="B45" s="68"/>
      <c r="C45" s="68" t="str">
        <f t="shared" si="0"/>
        <v>8</v>
      </c>
      <c r="D45" s="68">
        <f t="shared" si="1"/>
        <v>3</v>
      </c>
      <c r="E45" s="84" t="str">
        <f t="shared" si="2"/>
        <v>832</v>
      </c>
      <c r="F45" s="94" t="s">
        <v>28</v>
      </c>
      <c r="G45" s="65" t="str">
        <f>IFERROR(IF(VLOOKUP($E45,BDD!$A$1:$S$567,MATCH(G$10,BDD!$A$1:$P$1,0),FALSE)=0,"",VLOOKUP($E45,BDD!$A$1:$S$567,MATCH(G$10,BDD!$A$1:$P$1,0),FALSE)),"")</f>
        <v>L’équipe projet choisit, en accord avec la DSI, une méthode de conduite de projet adaptée et en assume les impacts sur son mode de fonctionnement.</v>
      </c>
      <c r="H45" s="88" t="str">
        <f>IF(VLOOKUP(E45,BDD!$A$1:$S$567,15,FALSE)=0,"Critère non évalué","")</f>
        <v>Critère non évalué</v>
      </c>
      <c r="I45" s="64" t="str">
        <f>IFERROR(IF(VLOOKUP($E45,BDD!$A$1:$S$567,MATCH(I$10,BDD!$A$1:$P$1,0),FALSE)=0,"",VLOOKUP($E45,BDD!$A$1:$S$567,MATCH(I$10,BDD!$A$1:$P$1,0),FALSE)),"")</f>
        <v>N1</v>
      </c>
      <c r="J45" s="89"/>
      <c r="K45" s="65" t="str">
        <f>IFERROR(IF(VLOOKUP($E45,BDD!$A$1:$S$567,MATCH(K$10,BDD!$A$1:$P$1,0),FALSE)=0,"",VLOOKUP($E45,BDD!$A$1:$S$567,MATCH(K$10,BDD!$A$1:$P$1,0),FALSE)),"")</f>
        <v>• L’équipe projet organise son fonctionnement (comitologie, livrables, organisation) en accord avec le métier.
• Une méthodologie de type « cycle en V » sera pertinente pour les projets à fort enjeux de conformité nécessitant une validation robuste ainsi qu'une documentation fournie.
• Une méthodologie « agile » sera pertinente pour les projets contraints dans le temps, nécessitant d'arbitrer rapidement sur le périmètre et les fonctionnalités, ainsi que pour la plupart des projets orientés vers la mise en place de services internet.
• Pour être pleinement efficace, la méthode agile doit permettre la livraison, à chaque incrément, d'un produit viable et pouvant être enrichi lors des sprints suivants.</v>
      </c>
      <c r="L45" s="68"/>
      <c r="M45" s="90"/>
      <c r="N45" s="90"/>
      <c r="O45" s="68"/>
      <c r="P45" s="298"/>
    </row>
    <row r="46" spans="1:16" ht="130.05000000000001" customHeight="1" x14ac:dyDescent="0.3">
      <c r="A46" s="298"/>
      <c r="B46" s="68"/>
      <c r="C46" s="68" t="str">
        <f t="shared" si="0"/>
        <v>8</v>
      </c>
      <c r="D46" s="68">
        <f t="shared" si="1"/>
        <v>3</v>
      </c>
      <c r="E46" s="84" t="str">
        <f t="shared" si="2"/>
        <v>833</v>
      </c>
      <c r="F46" s="66" t="s">
        <v>30</v>
      </c>
      <c r="G46" s="67" t="str">
        <f>IFERROR(IF(VLOOKUP($E46,BDD!$A$1:$S$567,MATCH(G$10,BDD!$A$1:$P$1,0),FALSE)=0,"",VLOOKUP($E46,BDD!$A$1:$S$567,MATCH(G$10,BDD!$A$1:$P$1,0),FALSE)),"")</f>
        <v>Le choix de la méthode de gestion de projet tient compte des contraintes liées au portefeuille de projets (synchronisation, dépendances).</v>
      </c>
      <c r="H46" s="85" t="str">
        <f>IF(VLOOKUP(E46,BDD!$A$1:$S$567,15,FALSE)=0,"Critère non évalué","")</f>
        <v>Critère non évalué</v>
      </c>
      <c r="I46" s="66" t="s">
        <v>22</v>
      </c>
      <c r="J46" s="86"/>
      <c r="K46" s="67" t="str">
        <f>IFERROR(IF(VLOOKUP($E46,BDD!$A$1:$S$567,MATCH(K$10,BDD!$A$1:$P$1,0),FALSE)=0,"",VLOOKUP($E46,BDD!$A$1:$S$567,MATCH(K$10,BDD!$A$1:$P$1,0),FALSE)),"")</f>
        <v>• La méthode projet retenue intègre la synchronisation nécessaire avec les autres projets du portefeuille, les liens de dépendance mutuels, ainsi que les dépendances internes au projet, notamment celles liées au chemin critique.</v>
      </c>
      <c r="L46" s="68"/>
      <c r="M46" s="87"/>
      <c r="N46" s="87"/>
      <c r="O46" s="68"/>
      <c r="P46" s="298"/>
    </row>
    <row r="47" spans="1:16" ht="120" customHeight="1" x14ac:dyDescent="0.3">
      <c r="A47" s="298"/>
      <c r="B47" s="68"/>
      <c r="C47" s="68" t="str">
        <f t="shared" si="0"/>
        <v>8</v>
      </c>
      <c r="D47" s="68">
        <f t="shared" si="1"/>
        <v>3</v>
      </c>
      <c r="E47" s="84" t="str">
        <f t="shared" si="2"/>
        <v>834</v>
      </c>
      <c r="F47" s="64" t="s">
        <v>32</v>
      </c>
      <c r="G47" s="96" t="str">
        <f>IFERROR(IF(VLOOKUP($E47,BDD!$A$1:$S$567,MATCH(G$10,BDD!$A$1:$P$1,0),FALSE)=0,"",VLOOKUP($E47,BDD!$A$1:$S$567,MATCH(G$10,BDD!$A$1:$P$1,0),FALSE)),"")</f>
        <v>Les acteurs du projet sont mobilisés de façon adaptée en fonction de la méthode de projet retenue (« cycle en V » ou « agile »).</v>
      </c>
      <c r="H47" s="210" t="str">
        <f>IF(VLOOKUP(E47,BDD!$A$1:$S$567,15,FALSE)=0,"Critère non évalué","")</f>
        <v>Critère non évalué</v>
      </c>
      <c r="I47" s="64" t="s">
        <v>26</v>
      </c>
      <c r="J47" s="95"/>
      <c r="K47" s="96" t="str">
        <f>IFERROR(IF(VLOOKUP($E47,BDD!$A$1:$S$567,MATCH(K$10,BDD!$A$1:$P$1,0),FALSE)=0,"",VLOOKUP($E47,BDD!$A$1:$S$567,MATCH(K$10,BDD!$A$1:$P$1,0),FALSE)),"")</f>
        <v>• Un plan de charge a été défini en ligne avec le planning du projet (incréments, phases du cycle de vie etc.). Ce plan détaille les besoins et ressources disponibles par type de profil.
• Ce plan de charge est communiqué en amont à l'ensemble des parties prenantes afin de leur permettre d’anticiper et de gérer leur disponibilité.
• Dans certains cas (en projet agile notamment), le processus DevOps permet de rapprocher les équipes de développement et les équipes de production favorisant des cycles de développements plus courts, une augmentation de la fréquence de déploiement et une livraison continue.</v>
      </c>
      <c r="L47" s="68"/>
      <c r="M47" s="90"/>
      <c r="N47" s="90"/>
      <c r="O47" s="68"/>
      <c r="P47" s="298"/>
    </row>
    <row r="48" spans="1:16" ht="130.05000000000001" customHeight="1" x14ac:dyDescent="0.3">
      <c r="A48" s="298"/>
      <c r="B48" s="68"/>
      <c r="C48" s="68" t="str">
        <f t="shared" si="0"/>
        <v>8</v>
      </c>
      <c r="D48" s="68">
        <f t="shared" si="1"/>
        <v>3</v>
      </c>
      <c r="E48" s="84" t="str">
        <f t="shared" si="2"/>
        <v>835</v>
      </c>
      <c r="F48" s="66" t="s">
        <v>33</v>
      </c>
      <c r="G48" s="67" t="str">
        <f>IFERROR(IF(VLOOKUP($E48,BDD!$A$1:$S$567,MATCH(G$10,BDD!$A$1:$P$1,0),FALSE)=0,"",VLOOKUP($E48,BDD!$A$1:$S$567,MATCH(G$10,BDD!$A$1:$P$1,0),FALSE)),"")</f>
        <v xml:space="preserve">Le volet « accompagnement au changement » est prévu dès l’amont du projet. Il est dimensionné et déployé tout au long de son déroulement afin d'assurer l'atteinte de ses objectifs. </v>
      </c>
      <c r="H48" s="85" t="str">
        <f>IF(VLOOKUP(E48,BDD!$A$1:$S$567,15,FALSE)=0,"Critère non évalué","")</f>
        <v>Critère non évalué</v>
      </c>
      <c r="I48" s="66" t="s">
        <v>22</v>
      </c>
      <c r="J48" s="86"/>
      <c r="K48" s="67" t="str">
        <f>IFERROR(IF(VLOOKUP($E48,BDD!$A$1:$S$567,MATCH(K$10,BDD!$A$1:$P$1,0),FALSE)=0,"",VLOOKUP($E48,BDD!$A$1:$S$567,MATCH(K$10,BDD!$A$1:$P$1,0),FALSE)),"")</f>
        <v>• Les personnes en charge de ce chantier sont clairement identifiées.
• Les populations impactées sont répertoriées.
• Des représentants de chaque population impactée sont impliqués dès la conception.
• Des actions sont menées auprès de ces populations (formation, revue des fiches de poste, …). Si nécessaire, les équipes RH sont mobilisées.</v>
      </c>
      <c r="L48" s="68"/>
      <c r="M48" s="87"/>
      <c r="N48" s="87"/>
      <c r="O48" s="68"/>
      <c r="P48" s="298"/>
    </row>
    <row r="49" spans="1:16" ht="120" hidden="1" customHeight="1" x14ac:dyDescent="0.3">
      <c r="A49" s="298"/>
      <c r="B49" s="68"/>
      <c r="C49" s="68" t="str">
        <f t="shared" si="0"/>
        <v>8</v>
      </c>
      <c r="D49" s="68">
        <f t="shared" si="1"/>
        <v>3</v>
      </c>
      <c r="E49" s="84" t="str">
        <f t="shared" si="2"/>
        <v>836</v>
      </c>
      <c r="F49" s="64" t="s">
        <v>34</v>
      </c>
      <c r="G49" s="96" t="str">
        <f>IFERROR(IF(VLOOKUP($E49,BDD!$A$1:$S$567,MATCH(G$10,BDD!$A$1:$P$1,0),FALSE)=0,"",VLOOKUP($E49,BDD!$A$1:$S$567,MATCH(G$10,BDD!$A$1:$P$1,0),FALSE)),"")</f>
        <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298"/>
    </row>
    <row r="50" spans="1:16" ht="130.05000000000001" hidden="1" customHeight="1" x14ac:dyDescent="0.3">
      <c r="A50" s="298"/>
      <c r="B50" s="68"/>
      <c r="C50" s="68" t="str">
        <f t="shared" si="0"/>
        <v>8</v>
      </c>
      <c r="D50" s="68">
        <f t="shared" si="1"/>
        <v>3</v>
      </c>
      <c r="E50" s="84" t="str">
        <f t="shared" si="2"/>
        <v>837</v>
      </c>
      <c r="F50" s="66" t="s">
        <v>36</v>
      </c>
      <c r="G50" s="67" t="str">
        <f>IFERROR(IF(VLOOKUP($E50,BDD!$A$1:$S$567,MATCH(G$10,BDD!$A$1:$P$1,0),FALSE)=0,"",VLOOKUP($E50,BDD!$A$1:$S$567,MATCH(G$10,BDD!$A$1:$P$1,0),FALSE)),"")</f>
        <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298"/>
    </row>
    <row r="51" spans="1:16" ht="18" x14ac:dyDescent="0.35">
      <c r="A51" s="298"/>
      <c r="B51" s="68"/>
      <c r="C51" s="68" t="str">
        <f t="shared" si="0"/>
        <v>8</v>
      </c>
      <c r="D51" s="68"/>
      <c r="E51" s="84"/>
      <c r="F51" s="68"/>
      <c r="G51" s="69"/>
      <c r="H51" s="69"/>
      <c r="I51" s="69"/>
      <c r="J51" s="69"/>
      <c r="K51" s="69"/>
      <c r="L51" s="70"/>
      <c r="M51" s="68"/>
      <c r="N51" s="68"/>
      <c r="O51" s="68"/>
      <c r="P51" s="298"/>
    </row>
    <row r="52" spans="1:16" x14ac:dyDescent="0.3">
      <c r="A52" s="298"/>
      <c r="B52" s="68"/>
      <c r="C52" s="68" t="str">
        <f t="shared" si="0"/>
        <v>8</v>
      </c>
      <c r="D52" s="68">
        <f>IF(LEFT(F52,14)="Bonne pratique",D48+1,D48)</f>
        <v>3</v>
      </c>
      <c r="E52" s="84" t="str">
        <f t="shared" si="2"/>
        <v>83</v>
      </c>
      <c r="F52" s="68"/>
      <c r="G52" s="68"/>
      <c r="H52" s="68"/>
      <c r="I52" s="68"/>
      <c r="J52" s="68"/>
      <c r="K52" s="68"/>
      <c r="L52" s="68"/>
      <c r="M52" s="68"/>
      <c r="N52" s="68"/>
      <c r="O52" s="68"/>
      <c r="P52" s="298"/>
    </row>
    <row r="53" spans="1:16" ht="25.8" x14ac:dyDescent="0.5">
      <c r="A53" s="304"/>
      <c r="B53" s="74"/>
      <c r="C53" s="68" t="str">
        <f t="shared" si="0"/>
        <v>8</v>
      </c>
      <c r="D53" s="68">
        <f t="shared" si="1"/>
        <v>4</v>
      </c>
      <c r="E53" s="84" t="str">
        <f t="shared" si="2"/>
        <v>844</v>
      </c>
      <c r="F53" s="208" t="s">
        <v>502</v>
      </c>
      <c r="G53" s="75"/>
      <c r="H53" s="205"/>
      <c r="I53" s="73"/>
      <c r="J53" s="73" t="str">
        <f>VLOOKUP(E60,BDD!$A$2:$N$567,6,FALSE)</f>
        <v>Conformité, contrôle interne et sécurité</v>
      </c>
      <c r="K53" s="72"/>
      <c r="L53" s="75"/>
      <c r="M53" s="75"/>
      <c r="N53" s="75"/>
      <c r="O53" s="74"/>
      <c r="P53" s="304"/>
    </row>
    <row r="54" spans="1:16" x14ac:dyDescent="0.3">
      <c r="A54" s="298"/>
      <c r="B54" s="68"/>
      <c r="C54" s="68" t="str">
        <f t="shared" si="0"/>
        <v>8</v>
      </c>
      <c r="D54" s="68">
        <f t="shared" si="1"/>
        <v>4</v>
      </c>
      <c r="E54" s="84" t="str">
        <f t="shared" si="2"/>
        <v>84</v>
      </c>
      <c r="F54" s="68"/>
      <c r="G54" s="68"/>
      <c r="H54" s="68"/>
      <c r="I54" s="68"/>
      <c r="J54" s="68"/>
      <c r="K54" s="68"/>
      <c r="L54" s="68"/>
      <c r="M54" s="68"/>
      <c r="N54" s="68"/>
      <c r="O54" s="68"/>
      <c r="P54" s="298"/>
    </row>
    <row r="55" spans="1:16" ht="18" x14ac:dyDescent="0.35">
      <c r="A55" s="305"/>
      <c r="B55" s="76"/>
      <c r="C55" s="68" t="str">
        <f t="shared" si="0"/>
        <v>8</v>
      </c>
      <c r="D55" s="68">
        <f t="shared" si="1"/>
        <v>4</v>
      </c>
      <c r="E55" s="84" t="str">
        <f t="shared" si="2"/>
        <v>84</v>
      </c>
      <c r="F55" s="76"/>
      <c r="G55" s="76"/>
      <c r="H55" s="76"/>
      <c r="I55" s="77"/>
      <c r="J55" s="207" t="str">
        <f>IFERROR(_xlfn.TEXTBEFORE(VLOOKUP(E60,BDD!$A$2:$N$567,7,FALSE)," ",30),VLOOKUP(E60,BDD!$A$2:$N$567,7,FALSE))</f>
        <v>La sécurité, la conformité et le contrôle interne, comme l’implication indispensable des utilisateurs finaux, sont intégrés dès la conception des produits ou solutions SI. </v>
      </c>
      <c r="K55" s="77"/>
      <c r="L55" s="76"/>
      <c r="M55" s="76"/>
      <c r="N55" s="76"/>
      <c r="O55" s="76"/>
      <c r="P55" s="305"/>
    </row>
    <row r="56" spans="1:16" ht="18" x14ac:dyDescent="0.35">
      <c r="A56" s="298"/>
      <c r="B56" s="68"/>
      <c r="C56" s="68" t="str">
        <f t="shared" si="0"/>
        <v>8</v>
      </c>
      <c r="D56" s="68">
        <f t="shared" si="1"/>
        <v>4</v>
      </c>
      <c r="E56" s="84" t="str">
        <f t="shared" si="2"/>
        <v>84</v>
      </c>
      <c r="F56" s="68"/>
      <c r="G56" s="68"/>
      <c r="H56" s="68"/>
      <c r="I56" s="68"/>
      <c r="J56" s="207" t="str">
        <f>IFERROR(_xlfn.TEXTAFTER(VLOOKUP(E60,BDD!$A$2:$N$567,7,FALSE)," ",30),"")</f>
        <v/>
      </c>
      <c r="K56" s="68"/>
      <c r="L56" s="68"/>
      <c r="M56" s="68"/>
      <c r="N56" s="68"/>
      <c r="O56" s="68"/>
      <c r="P56" s="298"/>
    </row>
    <row r="57" spans="1:16" x14ac:dyDescent="0.3">
      <c r="A57" s="298"/>
      <c r="B57" s="68"/>
      <c r="C57" s="68" t="str">
        <f t="shared" si="0"/>
        <v>8</v>
      </c>
      <c r="D57" s="68">
        <f t="shared" si="1"/>
        <v>4</v>
      </c>
      <c r="E57" s="84" t="str">
        <f t="shared" si="2"/>
        <v>84</v>
      </c>
      <c r="F57" s="68"/>
      <c r="G57" s="68"/>
      <c r="H57" s="68"/>
      <c r="I57" s="68"/>
      <c r="J57" s="78"/>
      <c r="K57" s="68"/>
      <c r="L57" s="68"/>
      <c r="M57" s="619" t="s">
        <v>92</v>
      </c>
      <c r="N57" s="619"/>
      <c r="O57" s="68"/>
      <c r="P57" s="298"/>
    </row>
    <row r="58" spans="1:16" ht="33" x14ac:dyDescent="0.3">
      <c r="A58" s="298"/>
      <c r="B58" s="68"/>
      <c r="C58" s="68" t="str">
        <f t="shared" si="0"/>
        <v>8</v>
      </c>
      <c r="D58" s="68">
        <f t="shared" si="1"/>
        <v>4</v>
      </c>
      <c r="E58" s="84" t="str">
        <f t="shared" si="2"/>
        <v>84</v>
      </c>
      <c r="F58" s="79"/>
      <c r="G58" s="80" t="s">
        <v>561</v>
      </c>
      <c r="H58" s="80" t="s">
        <v>82</v>
      </c>
      <c r="I58" s="80" t="s">
        <v>83</v>
      </c>
      <c r="J58" s="80" t="s">
        <v>84</v>
      </c>
      <c r="K58" s="80" t="s">
        <v>85</v>
      </c>
      <c r="L58" s="78"/>
      <c r="M58" s="81" t="s">
        <v>86</v>
      </c>
      <c r="N58" s="82" t="s">
        <v>87</v>
      </c>
      <c r="O58" s="68"/>
      <c r="P58" s="298"/>
    </row>
    <row r="59" spans="1:16" x14ac:dyDescent="0.3">
      <c r="A59" s="298"/>
      <c r="B59" s="68"/>
      <c r="C59" s="68" t="str">
        <f t="shared" si="0"/>
        <v>8</v>
      </c>
      <c r="D59" s="68">
        <f t="shared" si="1"/>
        <v>4</v>
      </c>
      <c r="E59" s="84" t="str">
        <f t="shared" si="2"/>
        <v>84</v>
      </c>
      <c r="F59" s="68"/>
      <c r="G59" s="83"/>
      <c r="H59" s="83"/>
      <c r="I59" s="83"/>
      <c r="J59" s="68"/>
      <c r="K59" s="83"/>
      <c r="L59" s="68"/>
      <c r="M59" s="68"/>
      <c r="N59" s="68"/>
      <c r="O59" s="68"/>
      <c r="P59" s="298"/>
    </row>
    <row r="60" spans="1:16" ht="130.05000000000001" customHeight="1" x14ac:dyDescent="0.3">
      <c r="A60" s="298"/>
      <c r="B60" s="68"/>
      <c r="C60" s="68" t="str">
        <f t="shared" si="0"/>
        <v>8</v>
      </c>
      <c r="D60" s="68">
        <f t="shared" si="1"/>
        <v>4</v>
      </c>
      <c r="E60" s="84" t="str">
        <f t="shared" si="2"/>
        <v>841</v>
      </c>
      <c r="F60" s="66" t="s">
        <v>27</v>
      </c>
      <c r="G60" s="67" t="str">
        <f>IFERROR(IF(VLOOKUP($E60,BDD!$A$1:$S$567,MATCH(G$10,BDD!$A$1:$P$1,0),FALSE)=0,"",VLOOKUP($E60,BDD!$A$1:$S$567,MATCH(G$10,BDD!$A$1:$P$1,0),FALSE)),"")</f>
        <v>Les exigences (internes/externes) de conformité, de contrôle interne, de sécurité et de protection des données sont prises en compte dès la conception des projets.</v>
      </c>
      <c r="H60" s="85" t="str">
        <f>IF(VLOOKUP(E60,BDD!$A$1:$S$567,15,FALSE)=0,"Critère non évalué","")</f>
        <v>Critère non évalué</v>
      </c>
      <c r="I60" s="66" t="str">
        <f>IFERROR(IF(VLOOKUP($E60,BDD!$A$1:$S$567,MATCH(I$10,BDD!$A$1:$P$1,0),FALSE)=0,"",VLOOKUP($E60,BDD!$A$1:$S$567,MATCH(I$10,BDD!$A$1:$P$1,0),FALSE)),"")</f>
        <v>N3</v>
      </c>
      <c r="J60" s="86"/>
      <c r="K60" s="67" t="str">
        <f>IFERROR(IF(VLOOKUP($E60,BDD!$A$1:$S$567,MATCH(K$10,BDD!$A$1:$P$1,0),FALSE)=0,"",VLOOKUP($E60,BDD!$A$1:$S$567,MATCH(K$10,BDD!$A$1:$P$1,0),FALSE)),"")</f>
        <v>• Le  « security &amp; privacy by design »  permet d’éviter les surcoûts d’une prise en compte tardive et d’assurer le respect des contraintes réglementaires (par exemple, le RGPD). </v>
      </c>
      <c r="L60" s="68"/>
      <c r="M60" s="87"/>
      <c r="N60" s="87"/>
      <c r="O60" s="68"/>
      <c r="P60" s="298"/>
    </row>
    <row r="61" spans="1:16" ht="130.05000000000001" customHeight="1" x14ac:dyDescent="0.3">
      <c r="A61" s="298"/>
      <c r="B61" s="68"/>
      <c r="C61" s="68" t="str">
        <f t="shared" si="0"/>
        <v>8</v>
      </c>
      <c r="D61" s="68">
        <f t="shared" si="1"/>
        <v>4</v>
      </c>
      <c r="E61" s="84" t="str">
        <f t="shared" si="2"/>
        <v>842</v>
      </c>
      <c r="F61" s="94" t="s">
        <v>28</v>
      </c>
      <c r="G61" s="65" t="str">
        <f>IFERROR(IF(VLOOKUP($E61,BDD!$A$1:$S$567,MATCH(G$10,BDD!$A$1:$P$1,0),FALSE)=0,"",VLOOKUP($E61,BDD!$A$1:$S$567,MATCH(G$10,BDD!$A$1:$P$1,0),FALSE)),"")</f>
        <v>Les équipes chargées de la conformité, du contrôle interne, de la sécurité et de la protection des données sont associées aux équipes projet ou aux instances de pilotage.</v>
      </c>
      <c r="H61" s="88" t="str">
        <f>IF(VLOOKUP(E61,BDD!$A$1:$S$567,15,FALSE)=0,"Critère non évalué","")</f>
        <v>Critère non évalué</v>
      </c>
      <c r="I61" s="64" t="str">
        <f>IFERROR(IF(VLOOKUP($E61,BDD!$A$1:$S$567,MATCH(I$10,BDD!$A$1:$P$1,0),FALSE)=0,"",VLOOKUP($E61,BDD!$A$1:$S$567,MATCH(I$10,BDD!$A$1:$P$1,0),FALSE)),"")</f>
        <v>N3</v>
      </c>
      <c r="J61" s="89"/>
      <c r="K61" s="65" t="str">
        <f>IFERROR(IF(VLOOKUP($E61,BDD!$A$1:$S$567,MATCH(K$10,BDD!$A$1:$P$1,0),FALSE)=0,"",VLOOKUP($E61,BDD!$A$1:$S$567,MATCH(K$10,BDD!$A$1:$P$1,0),FALSE)),"")</f>
        <v>• Les solutions développées répondent aux standards techniques de sécurité et d'exploitation mis en œuvre par l'organisation.
• Les éventuels écarts avec ces standards font l'objet de dérogations à un niveau adapté d'autorité au sein de l'organisation.
• Les opportunités d'automatisation des dispositifs de conformité, de sécurité et de contrôle interne sont considérées dès la phase de conception des solutions.</v>
      </c>
      <c r="L61" s="68"/>
      <c r="M61" s="90"/>
      <c r="N61" s="90"/>
      <c r="O61" s="68"/>
      <c r="P61" s="298"/>
    </row>
    <row r="62" spans="1:16" ht="130.05000000000001" customHeight="1" x14ac:dyDescent="0.3">
      <c r="A62" s="298"/>
      <c r="B62" s="68"/>
      <c r="C62" s="68" t="str">
        <f t="shared" si="0"/>
        <v>8</v>
      </c>
      <c r="D62" s="68">
        <f>IF(LEFT(F62,14)="Bonne pratique",D61+1,D61)</f>
        <v>4</v>
      </c>
      <c r="E62" s="84" t="str">
        <f t="shared" si="2"/>
        <v>843</v>
      </c>
      <c r="F62" s="66" t="s">
        <v>30</v>
      </c>
      <c r="G62" s="67" t="str">
        <f>IFERROR(IF(VLOOKUP($E62,BDD!$A$1:$S$567,MATCH(G$10,BDD!$A$1:$P$1,0),FALSE)=0,"",VLOOKUP($E62,BDD!$A$1:$S$567,MATCH(G$10,BDD!$A$1:$P$1,0),FALSE)),"")</f>
        <v>L'autorité architecturale est impliquée dès le début du projet pour assurer l’alignement avec les politiques et normes de l'entreprise. </v>
      </c>
      <c r="H62" s="85" t="str">
        <f>IF(VLOOKUP(E62,BDD!$A$1:$S$567,15,FALSE)=0,"Critère non évalué","")</f>
        <v>Critère non évalué</v>
      </c>
      <c r="I62" s="66" t="str">
        <f>IFERROR(IF(VLOOKUP($E62,BDD!$A$1:$S$567,MATCH(I$10,BDD!$A$1:$P$1,0),FALSE)=0,"",VLOOKUP($E62,BDD!$A$1:$S$567,MATCH(I$10,BDD!$A$1:$P$1,0),FALSE)),"")</f>
        <v>N3</v>
      </c>
      <c r="J62" s="86"/>
      <c r="K62" s="67" t="str">
        <f>IFERROR(IF(VLOOKUP($E62,BDD!$A$1:$S$567,MATCH(K$10,BDD!$A$1:$P$1,0),FALSE)=0,"",VLOOKUP($E62,BDD!$A$1:$S$567,MATCH(K$10,BDD!$A$1:$P$1,0),FALSE)),"")</f>
        <v>• Une attention particulière est portée au respect des normes d'architecture de l'entreprise.</v>
      </c>
      <c r="L62" s="68"/>
      <c r="M62" s="87"/>
      <c r="N62" s="87"/>
      <c r="O62" s="68"/>
      <c r="P62" s="298"/>
    </row>
    <row r="63" spans="1:16" ht="130.05000000000001" customHeight="1" x14ac:dyDescent="0.3">
      <c r="A63" s="298"/>
      <c r="B63" s="68"/>
      <c r="C63" s="68" t="str">
        <f t="shared" si="0"/>
        <v>8</v>
      </c>
      <c r="D63" s="68">
        <f t="shared" si="1"/>
        <v>4</v>
      </c>
      <c r="E63" s="84" t="str">
        <f t="shared" si="2"/>
        <v>844</v>
      </c>
      <c r="F63" s="64" t="s">
        <v>32</v>
      </c>
      <c r="G63" s="96" t="str">
        <f>IFERROR(IF(VLOOKUP($E63,BDD!$A$1:$S$567,MATCH(G$10,BDD!$A$1:$P$1,0),FALSE)=0,"",VLOOKUP($E63,BDD!$A$1:$S$567,MATCH(G$10,BDD!$A$1:$P$1,0),FALSE)),"")</f>
        <v>Les exigences en matière de conformité, contrôle interne, sécurité et protection des données sont déclinées et testées. Leur implémentation est validée par les clients métiers et les équipes en charge de ces domaines.</v>
      </c>
      <c r="H63" s="210" t="str">
        <f>IF(VLOOKUP(E63,BDD!$A$1:$S$567,15,FALSE)=0,"Critère non évalué","")</f>
        <v>Critère non évalué</v>
      </c>
      <c r="I63" s="64" t="str">
        <f>IFERROR(IF(VLOOKUP($E63,BDD!$A$1:$S$567,MATCH(I$10,BDD!$A$1:$P$1,0),FALSE)=0,"",VLOOKUP($E63,BDD!$A$1:$S$567,MATCH(I$10,BDD!$A$1:$P$1,0),FALSE)),"")</f>
        <v>N4</v>
      </c>
      <c r="J63" s="95"/>
      <c r="K63" s="96" t="str">
        <f>IFERROR(IF(VLOOKUP($E63,BDD!$A$1:$S$567,MATCH(K$10,BDD!$A$1:$P$1,0),FALSE)=0,"",VLOOKUP($E63,BDD!$A$1:$S$567,MATCH(K$10,BDD!$A$1:$P$1,0),FALSE)),"")</f>
        <v xml:space="preserve">• Les processus de décision projet sont activés en fonction des risques encourus et des résultats des tests liés à la conformité, à la sécurité, au contrôle interne, et autres fonctions clés.
• Les exceptions aux tests (résultats négatifs, non conformités) font l’objet d’un suivi jusqu’à leur clôture ou jusqu’à la mise en place de mesures de mitigation suffisantes. </v>
      </c>
      <c r="L63" s="68"/>
      <c r="M63" s="90"/>
      <c r="N63" s="90"/>
      <c r="O63" s="68"/>
      <c r="P63" s="298"/>
    </row>
    <row r="64" spans="1:16" ht="130.05000000000001" hidden="1" customHeight="1" x14ac:dyDescent="0.3">
      <c r="A64" s="298"/>
      <c r="B64" s="68"/>
      <c r="C64" s="68" t="str">
        <f t="shared" si="0"/>
        <v>8</v>
      </c>
      <c r="D64" s="68">
        <f t="shared" si="1"/>
        <v>4</v>
      </c>
      <c r="E64" s="84" t="str">
        <f t="shared" si="2"/>
        <v>845</v>
      </c>
      <c r="F64" s="66" t="s">
        <v>33</v>
      </c>
      <c r="G64" s="67" t="str">
        <f>IFERROR(IF(VLOOKUP($E64,BDD!$A$1:$S$567,MATCH(G$10,BDD!$A$1:$P$1,0),FALSE)=0,"",VLOOKUP($E64,BDD!$A$1:$S$567,MATCH(G$10,BDD!$A$1:$P$1,0),FALSE)),"")</f>
        <v/>
      </c>
      <c r="H64" s="85" t="str">
        <f>IF(VLOOKUP(E64,BDD!$A$1:$S$567,15,FALSE)=0,"Critère non évalué","")</f>
        <v>Critère non évalué</v>
      </c>
      <c r="I64" s="66" t="str">
        <f>IFERROR(IF(VLOOKUP($E64,BDD!$A$1:$S$567,MATCH(I$10,BDD!$A$1:$P$1,0),FALSE)=0,"",VLOOKUP($E64,BDD!$A$1:$S$567,MATCH(I$10,BDD!$A$1:$P$1,0),FALSE)),"")</f>
        <v xml:space="preserve"> </v>
      </c>
      <c r="J64" s="86"/>
      <c r="K64" s="67" t="str">
        <f>IFERROR(IF(VLOOKUP($E64,BDD!$A$1:$S$567,MATCH(K$10,BDD!$A$1:$P$1,0),FALSE)=0,"",VLOOKUP($E64,BDD!$A$1:$S$567,MATCH(K$10,BDD!$A$1:$P$1,0),FALSE)),"")</f>
        <v/>
      </c>
      <c r="L64" s="68"/>
      <c r="M64" s="82"/>
      <c r="N64" s="82"/>
      <c r="O64" s="68"/>
      <c r="P64" s="298"/>
    </row>
    <row r="65" spans="1:16" ht="130.05000000000001" hidden="1" customHeight="1" x14ac:dyDescent="0.3">
      <c r="A65" s="298"/>
      <c r="B65" s="68"/>
      <c r="C65" s="68" t="str">
        <f t="shared" si="0"/>
        <v>8</v>
      </c>
      <c r="D65" s="68">
        <f t="shared" si="1"/>
        <v>4</v>
      </c>
      <c r="E65" s="84" t="str">
        <f t="shared" si="2"/>
        <v>846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xml:space="preserve"> </v>
      </c>
      <c r="J65" s="206"/>
      <c r="K65" s="96" t="str">
        <f>IFERROR(IF(VLOOKUP($E65,BDD!$A$1:$S$567,MATCH(K$10,BDD!$A$1:$P$1,0),FALSE)=0,"",VLOOKUP($E65,BDD!$A$1:$S$567,MATCH(K$10,BDD!$A$1:$P$1,0),FALSE)),"")</f>
        <v/>
      </c>
      <c r="L65" s="68"/>
      <c r="M65" s="90"/>
      <c r="N65" s="90"/>
      <c r="O65" s="68"/>
      <c r="P65" s="298"/>
    </row>
    <row r="66" spans="1:16" ht="130.05000000000001" hidden="1" customHeight="1" x14ac:dyDescent="0.3">
      <c r="A66" s="298"/>
      <c r="B66" s="68"/>
      <c r="C66" s="68" t="str">
        <f t="shared" si="0"/>
        <v>8</v>
      </c>
      <c r="D66" s="68">
        <f t="shared" si="1"/>
        <v>4</v>
      </c>
      <c r="E66" s="84" t="str">
        <f t="shared" si="2"/>
        <v>847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298"/>
    </row>
    <row r="67" spans="1:16" x14ac:dyDescent="0.3">
      <c r="A67" s="298"/>
      <c r="B67" s="68"/>
      <c r="C67" s="68" t="str">
        <f t="shared" si="0"/>
        <v>8</v>
      </c>
      <c r="D67" s="68">
        <f t="shared" si="1"/>
        <v>4</v>
      </c>
      <c r="E67" s="84" t="str">
        <f t="shared" si="2"/>
        <v>84</v>
      </c>
      <c r="F67" s="68"/>
      <c r="G67" s="68"/>
      <c r="H67" s="68"/>
      <c r="I67" s="68"/>
      <c r="J67" s="68"/>
      <c r="K67" s="68"/>
      <c r="L67" s="68"/>
      <c r="M67" s="68"/>
      <c r="N67" s="68"/>
      <c r="O67" s="68"/>
      <c r="P67" s="298"/>
    </row>
    <row r="68" spans="1:16" x14ac:dyDescent="0.3">
      <c r="A68" s="298"/>
      <c r="B68" s="68"/>
      <c r="C68" s="68" t="str">
        <f t="shared" si="0"/>
        <v>8</v>
      </c>
      <c r="D68" s="68"/>
      <c r="E68" s="84"/>
      <c r="F68" s="68"/>
      <c r="G68" s="68"/>
      <c r="H68" s="68"/>
      <c r="I68" s="68"/>
      <c r="J68" s="68"/>
      <c r="K68" s="68"/>
      <c r="L68" s="68"/>
      <c r="M68" s="68"/>
      <c r="N68" s="68"/>
      <c r="O68" s="68"/>
      <c r="P68" s="298"/>
    </row>
    <row r="69" spans="1:16" x14ac:dyDescent="0.3">
      <c r="A69" s="298"/>
      <c r="B69" s="68"/>
      <c r="C69" s="68" t="str">
        <f t="shared" si="0"/>
        <v>8</v>
      </c>
      <c r="D69" s="68"/>
      <c r="E69" s="84"/>
      <c r="F69" s="68"/>
      <c r="G69" s="68"/>
      <c r="H69" s="68"/>
      <c r="I69" s="68"/>
      <c r="J69" s="68"/>
      <c r="K69" s="68"/>
      <c r="L69" s="68"/>
      <c r="M69" s="68"/>
      <c r="N69" s="68"/>
      <c r="O69" s="68"/>
      <c r="P69" s="298"/>
    </row>
    <row r="70" spans="1:16" x14ac:dyDescent="0.3">
      <c r="A70" s="298"/>
      <c r="B70" s="68"/>
      <c r="C70" s="68" t="str">
        <f t="shared" ref="C70:C115" si="3">IF(LEFT(RIGHT($B$1,2),1)=" ",RIGHT($B$1,1),RIGHT($B$1,2))</f>
        <v>8</v>
      </c>
      <c r="D70" s="68"/>
      <c r="E70" s="84"/>
      <c r="F70" s="68"/>
      <c r="G70" s="68"/>
      <c r="H70" s="68"/>
      <c r="I70" s="68"/>
      <c r="J70" s="68"/>
      <c r="K70" s="68"/>
      <c r="L70" s="68"/>
      <c r="M70" s="68"/>
      <c r="N70" s="68"/>
      <c r="O70" s="68"/>
      <c r="P70" s="298"/>
    </row>
    <row r="71" spans="1:16" ht="25.8" x14ac:dyDescent="0.5">
      <c r="A71" s="304"/>
      <c r="B71" s="74"/>
      <c r="C71" s="68" t="str">
        <f t="shared" si="3"/>
        <v>8</v>
      </c>
      <c r="D71" s="68">
        <f>IF(LEFT(F71,14)="Bonne pratique",D67+1,D67)</f>
        <v>5</v>
      </c>
      <c r="E71" s="84" t="str">
        <f t="shared" si="2"/>
        <v>855</v>
      </c>
      <c r="F71" s="208" t="s">
        <v>503</v>
      </c>
      <c r="G71" s="75"/>
      <c r="H71" s="205"/>
      <c r="I71" s="73"/>
      <c r="J71" s="73" t="str">
        <f>VLOOKUP(E78,BDD!$A$2:$N$567,6,FALSE)</f>
        <v>Pilotage du projet</v>
      </c>
      <c r="K71" s="72"/>
      <c r="L71" s="75"/>
      <c r="M71" s="75"/>
      <c r="N71" s="75"/>
      <c r="O71" s="74"/>
      <c r="P71" s="304"/>
    </row>
    <row r="72" spans="1:16" x14ac:dyDescent="0.3">
      <c r="A72" s="298"/>
      <c r="B72" s="68"/>
      <c r="C72" s="68" t="str">
        <f t="shared" si="3"/>
        <v>8</v>
      </c>
      <c r="D72" s="68">
        <f t="shared" ref="D72:D84" si="4">IF(LEFT(F72,14)="Bonne pratique",D71+1,D71)</f>
        <v>5</v>
      </c>
      <c r="E72" s="84" t="str">
        <f t="shared" si="2"/>
        <v>85</v>
      </c>
      <c r="F72" s="68"/>
      <c r="G72" s="68"/>
      <c r="H72" s="68"/>
      <c r="I72" s="68"/>
      <c r="J72" s="68"/>
      <c r="K72" s="68"/>
      <c r="L72" s="68"/>
      <c r="M72" s="68"/>
      <c r="N72" s="68"/>
      <c r="O72" s="68"/>
      <c r="P72" s="298"/>
    </row>
    <row r="73" spans="1:16" ht="18" x14ac:dyDescent="0.35">
      <c r="A73" s="305"/>
      <c r="B73" s="76"/>
      <c r="C73" s="68" t="str">
        <f t="shared" si="3"/>
        <v>8</v>
      </c>
      <c r="D73" s="68">
        <f t="shared" si="4"/>
        <v>5</v>
      </c>
      <c r="E73" s="84" t="str">
        <f t="shared" si="2"/>
        <v>85</v>
      </c>
      <c r="F73" s="76"/>
      <c r="G73" s="76"/>
      <c r="H73" s="76"/>
      <c r="I73" s="77"/>
      <c r="J73" s="207" t="str">
        <f>IFERROR(_xlfn.TEXTBEFORE(VLOOKUP(E78,BDD!$A$2:$N$567,7,FALSE)," ",30),VLOOKUP(E78,BDD!$A$2:$N$567,7,FALSE))</f>
        <v>Le pilotage du projet/produit est réalisé à l'aide d'indicateurs pertinents permettant de suivre l'avancement à chaque étape. Des dispositifs d'alerte ou d'arbitrage sont en place pour traiter les éventuelles dérives</v>
      </c>
      <c r="K73" s="77"/>
      <c r="L73" s="76"/>
      <c r="M73" s="76"/>
      <c r="N73" s="76"/>
      <c r="O73" s="76"/>
      <c r="P73" s="305"/>
    </row>
    <row r="74" spans="1:16" ht="18" x14ac:dyDescent="0.35">
      <c r="A74" s="298"/>
      <c r="B74" s="68"/>
      <c r="C74" s="68" t="str">
        <f t="shared" si="3"/>
        <v>8</v>
      </c>
      <c r="D74" s="68">
        <f t="shared" si="4"/>
        <v>5</v>
      </c>
      <c r="E74" s="84" t="str">
        <f t="shared" si="2"/>
        <v>85</v>
      </c>
      <c r="F74" s="68"/>
      <c r="G74" s="68"/>
      <c r="H74" s="68"/>
      <c r="I74" s="68"/>
      <c r="J74" s="207" t="str">
        <f>IFERROR(_xlfn.TEXTAFTER(VLOOKUP(E78,BDD!$A$2:$N$567,7,FALSE)," ",30),"")</f>
        <v>au bon niveau.</v>
      </c>
      <c r="K74" s="68"/>
      <c r="L74" s="68"/>
      <c r="M74" s="68"/>
      <c r="N74" s="68"/>
      <c r="O74" s="68"/>
      <c r="P74" s="298"/>
    </row>
    <row r="75" spans="1:16" x14ac:dyDescent="0.3">
      <c r="A75" s="298"/>
      <c r="B75" s="68"/>
      <c r="C75" s="68" t="str">
        <f t="shared" si="3"/>
        <v>8</v>
      </c>
      <c r="D75" s="68">
        <f t="shared" si="4"/>
        <v>5</v>
      </c>
      <c r="E75" s="84" t="str">
        <f t="shared" si="2"/>
        <v>85</v>
      </c>
      <c r="F75" s="68"/>
      <c r="G75" s="68"/>
      <c r="H75" s="68"/>
      <c r="I75" s="68"/>
      <c r="J75" s="78"/>
      <c r="K75" s="68"/>
      <c r="L75" s="68"/>
      <c r="M75" s="619" t="s">
        <v>92</v>
      </c>
      <c r="N75" s="619"/>
      <c r="O75" s="68"/>
      <c r="P75" s="298"/>
    </row>
    <row r="76" spans="1:16" ht="33" x14ac:dyDescent="0.3">
      <c r="A76" s="298"/>
      <c r="B76" s="68"/>
      <c r="C76" s="68" t="str">
        <f t="shared" si="3"/>
        <v>8</v>
      </c>
      <c r="D76" s="68">
        <f t="shared" si="4"/>
        <v>5</v>
      </c>
      <c r="E76" s="84" t="str">
        <f t="shared" si="2"/>
        <v>85</v>
      </c>
      <c r="F76" s="93"/>
      <c r="G76" s="80" t="s">
        <v>561</v>
      </c>
      <c r="H76" s="80" t="s">
        <v>82</v>
      </c>
      <c r="I76" s="80" t="s">
        <v>83</v>
      </c>
      <c r="J76" s="80" t="s">
        <v>84</v>
      </c>
      <c r="K76" s="80" t="s">
        <v>85</v>
      </c>
      <c r="L76" s="78"/>
      <c r="M76" s="81" t="s">
        <v>86</v>
      </c>
      <c r="N76" s="82" t="s">
        <v>87</v>
      </c>
      <c r="O76" s="68"/>
      <c r="P76" s="298"/>
    </row>
    <row r="77" spans="1:16" x14ac:dyDescent="0.3">
      <c r="A77" s="298"/>
      <c r="B77" s="68"/>
      <c r="C77" s="68" t="str">
        <f t="shared" si="3"/>
        <v>8</v>
      </c>
      <c r="D77" s="68">
        <f t="shared" si="4"/>
        <v>5</v>
      </c>
      <c r="E77" s="84" t="str">
        <f t="shared" si="2"/>
        <v>85</v>
      </c>
      <c r="F77" s="68"/>
      <c r="G77" s="83"/>
      <c r="H77" s="83"/>
      <c r="I77" s="83"/>
      <c r="J77" s="68"/>
      <c r="K77" s="83"/>
      <c r="L77" s="68"/>
      <c r="M77" s="68"/>
      <c r="N77" s="68"/>
      <c r="O77" s="68"/>
      <c r="P77" s="298"/>
    </row>
    <row r="78" spans="1:16" ht="130.05000000000001" customHeight="1" x14ac:dyDescent="0.3">
      <c r="A78" s="298"/>
      <c r="B78" s="68"/>
      <c r="C78" s="68" t="str">
        <f t="shared" si="3"/>
        <v>8</v>
      </c>
      <c r="D78" s="68">
        <f t="shared" si="4"/>
        <v>5</v>
      </c>
      <c r="E78" s="84" t="str">
        <f t="shared" si="2"/>
        <v>851</v>
      </c>
      <c r="F78" s="66" t="s">
        <v>27</v>
      </c>
      <c r="G78" s="67" t="str">
        <f>IFERROR(IF(VLOOKUP($E78,BDD!$A$1:$S$567,MATCH(G$10,BDD!$A$1:$P$1,0),FALSE)=0,"",VLOOKUP($E78,BDD!$A$1:$S$567,MATCH(G$10,BDD!$A$1:$P$1,0),FALSE)),"")</f>
        <v>Une phase préalable de planification est réalisée par l'équipe projet. Elle permet de s'assurer de la cohérence entre les travaux à réaliser, les délais et les ressources disponibles.</v>
      </c>
      <c r="H78" s="85" t="str">
        <f>IF(VLOOKUP(E78,BDD!$A$1:$S$567,15,FALSE)=0,"Critère non évalué","")</f>
        <v>Critère non évalué</v>
      </c>
      <c r="I78" s="66" t="str">
        <f>IFERROR(IF(VLOOKUP($E78,BDD!$A$1:$S$567,MATCH(I$10,BDD!$A$1:$P$1,0),FALSE)=0,"",VLOOKUP($E78,BDD!$A$1:$S$567,MATCH(I$10,BDD!$A$1:$P$1,0),FALSE)),"")</f>
        <v>N1</v>
      </c>
      <c r="J78" s="86"/>
      <c r="K78" s="67" t="str">
        <f>IFERROR(IF(VLOOKUP($E78,BDD!$A$1:$S$567,MATCH(K$10,BDD!$A$1:$P$1,0),FALSE)=0,"",VLOOKUP($E78,BDD!$A$1:$S$567,MATCH(K$10,BDD!$A$1:$P$1,0),FALSE)),"")</f>
        <v>• L'équipe projet décline le planning initial (validé lors de la phase de gestion du portefeuille projet) en planning opérationnel.
• Ce planning opérationnel découpe l'ensemble du projet en différentes phases (en conformité avec la méthode projet choisie).
• Les hypothèses retenues pour l'élaboration de ce planning sont détaillées et réalistes (unités d'œuvre, comparaison avec des projets similaires, etc.)</v>
      </c>
      <c r="L78" s="68"/>
      <c r="M78" s="87"/>
      <c r="N78" s="87"/>
      <c r="O78" s="68"/>
      <c r="P78" s="298"/>
    </row>
    <row r="79" spans="1:16" ht="130.05000000000001" customHeight="1" x14ac:dyDescent="0.3">
      <c r="A79" s="298"/>
      <c r="B79" s="68"/>
      <c r="C79" s="68" t="str">
        <f t="shared" si="3"/>
        <v>8</v>
      </c>
      <c r="D79" s="68">
        <f t="shared" si="4"/>
        <v>5</v>
      </c>
      <c r="E79" s="84" t="str">
        <f t="shared" si="2"/>
        <v>852</v>
      </c>
      <c r="F79" s="94" t="s">
        <v>28</v>
      </c>
      <c r="G79" s="65" t="str">
        <f>IFERROR(IF(VLOOKUP($E79,BDD!$A$1:$S$567,MATCH(G$10,BDD!$A$1:$P$1,0),FALSE)=0,"",VLOOKUP($E79,BDD!$A$1:$S$567,MATCH(G$10,BDD!$A$1:$P$1,0),FALSE)),"")</f>
        <v>Des indicateurs pertinents sont définis qui permettent de suivre l’avancement du projet, la consommation des ressources et d’anticiper les difficultés. Ces indicateurs sont mesurés régulièrement.</v>
      </c>
      <c r="H79" s="88" t="str">
        <f>IF(VLOOKUP(E79,BDD!$A$1:$S$567,15,FALSE)=0,"Critère non évalué","")</f>
        <v>Critère non évalué</v>
      </c>
      <c r="I79" s="64" t="str">
        <f>IFERROR(IF(VLOOKUP($E79,BDD!$A$1:$S$567,MATCH(I$10,BDD!$A$1:$P$1,0),FALSE)=0,"",VLOOKUP($E79,BDD!$A$1:$S$567,MATCH(I$10,BDD!$A$1:$P$1,0),FALSE)),"")</f>
        <v>N1</v>
      </c>
      <c r="J79" s="89"/>
      <c r="K79" s="65" t="str">
        <f>IFERROR(IF(VLOOKUP($E79,BDD!$A$1:$S$567,MATCH(K$10,BDD!$A$1:$P$1,0),FALSE)=0,"",VLOOKUP($E79,BDD!$A$1:$S$567,MATCH(K$10,BDD!$A$1:$P$1,0),FALSE)),"")</f>
        <v>• Ces indicateurs devront permettre d’évaluer l'efficience du projet et l'atteinte de ses objectifs.
- En « cycle en V », il pourra s'agir de suivre les charges, le planning, la production (en unités d'œuvre), la dérive par rapport aux objectifs initiaux (par exemple, le nombre d'exigences ajoutées ou modifiées).
- En mode agile, les indicateurs mesureront notamment la vélocité (Scrum) ou le débit (Kanban) de l'équipe, ainsi que la valeur délivrée au fil des itérations.</v>
      </c>
      <c r="L79" s="68"/>
      <c r="M79" s="90"/>
      <c r="N79" s="90"/>
      <c r="O79" s="68"/>
      <c r="P79" s="298"/>
    </row>
    <row r="80" spans="1:16" ht="130.05000000000001" customHeight="1" x14ac:dyDescent="0.3">
      <c r="A80" s="298"/>
      <c r="B80" s="68"/>
      <c r="C80" s="68" t="str">
        <f t="shared" si="3"/>
        <v>8</v>
      </c>
      <c r="D80" s="68">
        <f t="shared" si="4"/>
        <v>5</v>
      </c>
      <c r="E80" s="84" t="str">
        <f t="shared" si="2"/>
        <v>853</v>
      </c>
      <c r="F80" s="66" t="s">
        <v>30</v>
      </c>
      <c r="G80" s="67" t="str">
        <f>IFERROR(IF(VLOOKUP($E80,BDD!$A$1:$S$567,MATCH(G$10,BDD!$A$1:$P$1,0),FALSE)=0,"",VLOOKUP($E80,BDD!$A$1:$S$567,MATCH(G$10,BDD!$A$1:$P$1,0),FALSE)),"")</f>
        <v>Ces indicateurs sont partagés et servent de critères de pilotage et de décision dans les comités mis en place.</v>
      </c>
      <c r="H80" s="85" t="str">
        <f>IF(VLOOKUP(E80,BDD!$A$1:$S$567,15,FALSE)=0,"Critère non évalué","")</f>
        <v>Critère non évalué</v>
      </c>
      <c r="I80" s="66" t="str">
        <f>IFERROR(IF(VLOOKUP($E80,BDD!$A$1:$S$567,MATCH(I$10,BDD!$A$1:$P$1,0),FALSE)=0,"",VLOOKUP($E80,BDD!$A$1:$S$567,MATCH(I$10,BDD!$A$1:$P$1,0),FALSE)),"")</f>
        <v>N2</v>
      </c>
      <c r="J80" s="86"/>
      <c r="K80" s="67" t="str">
        <f>IFERROR(IF(VLOOKUP($E80,BDD!$A$1:$S$567,MATCH(K$10,BDD!$A$1:$P$1,0),FALSE)=0,"",VLOOKUP($E80,BDD!$A$1:$S$567,MATCH(K$10,BDD!$A$1:$P$1,0),FALSE)),"")</f>
        <v/>
      </c>
      <c r="L80" s="68"/>
      <c r="M80" s="87"/>
      <c r="N80" s="87"/>
      <c r="O80" s="68"/>
      <c r="P80" s="298"/>
    </row>
    <row r="81" spans="1:16" ht="130.05000000000001" customHeight="1" x14ac:dyDescent="0.3">
      <c r="A81" s="298"/>
      <c r="B81" s="68"/>
      <c r="C81" s="68" t="str">
        <f t="shared" si="3"/>
        <v>8</v>
      </c>
      <c r="D81" s="68">
        <f t="shared" si="4"/>
        <v>5</v>
      </c>
      <c r="E81" s="84" t="str">
        <f t="shared" si="2"/>
        <v>854</v>
      </c>
      <c r="F81" s="64" t="s">
        <v>32</v>
      </c>
      <c r="G81" s="65" t="str">
        <f>IFERROR(IF(VLOOKUP($E81,BDD!$A$1:$S$567,MATCH(G$10,BDD!$A$1:$P$1,0),FALSE)=0,"",VLOOKUP($E81,BDD!$A$1:$S$567,MATCH(G$10,BDD!$A$1:$P$1,0),FALSE)),"")</f>
        <v>L’instance de suivi opérationnel du projet examine régulièrement les indicateurs de risque et de dérive et décide des arbitrages. Si nécessaire, elle remonte les alertes jusqu’aux instances d'arbitrage adéquates (instance de pilotage, comité de direction).</v>
      </c>
      <c r="H81" s="88" t="str">
        <f>IF(VLOOKUP(E81,BDD!$A$1:$S$567,15,FALSE)=0,"Critère non évalué","")</f>
        <v>Critère non évalué</v>
      </c>
      <c r="I81" s="64" t="str">
        <f>IFERROR(IF(VLOOKUP($E81,BDD!$A$1:$S$567,MATCH(I$10,BDD!$A$1:$P$1,0),FALSE)=0,"",VLOOKUP($E81,BDD!$A$1:$S$567,MATCH(I$10,BDD!$A$1:$P$1,0),FALSE)),"")</f>
        <v>N3</v>
      </c>
      <c r="J81" s="91"/>
      <c r="K81" s="65" t="str">
        <f>IFERROR(IF(VLOOKUP($E81,BDD!$A$1:$S$567,MATCH(K$10,BDD!$A$1:$P$1,0),FALSE)=0,"",VLOOKUP($E81,BDD!$A$1:$S$567,MATCH(K$10,BDD!$A$1:$P$1,0),FALSE)),"")</f>
        <v xml:space="preserve">• Si les procédures de remontée des alertes sont activées, elles donnent lieu à une décision effective.
• Dans les projets agiles, ce suivi opérationnel est souvent assuré par une structure réunissant les parties prenantes, sans nécessiter une instance de pilotage distincte. </v>
      </c>
      <c r="L81" s="68"/>
      <c r="M81" s="90"/>
      <c r="N81" s="90"/>
      <c r="O81" s="68"/>
      <c r="P81" s="298"/>
    </row>
    <row r="82" spans="1:16" ht="130.05000000000001" customHeight="1" x14ac:dyDescent="0.3">
      <c r="A82" s="298"/>
      <c r="B82" s="68"/>
      <c r="C82" s="68" t="str">
        <f t="shared" si="3"/>
        <v>8</v>
      </c>
      <c r="D82" s="68">
        <f t="shared" si="4"/>
        <v>5</v>
      </c>
      <c r="E82" s="84" t="str">
        <f t="shared" si="2"/>
        <v>855</v>
      </c>
      <c r="F82" s="66" t="s">
        <v>33</v>
      </c>
      <c r="G82" s="67" t="str">
        <f>IFERROR(IF(VLOOKUP($E82,BDD!$A$1:$S$567,MATCH(G$10,BDD!$A$1:$P$1,0),FALSE)=0,"",VLOOKUP($E82,BDD!$A$1:$S$567,MATCH(G$10,BDD!$A$1:$P$1,0),FALSE)),"")</f>
        <v>L'instance de pilotage valide l'atteinte des objectifs à chacune des étapes ou itérations clés du projet/produit.</v>
      </c>
      <c r="H82" s="85" t="str">
        <f>IF(VLOOKUP(E82,BDD!$A$1:$S$567,15,FALSE)=0,"Critère non évalué","")</f>
        <v>Critère non évalué</v>
      </c>
      <c r="I82" s="66" t="str">
        <f>IFERROR(IF(VLOOKUP($E82,BDD!$A$1:$S$567,MATCH(I$10,BDD!$A$1:$P$1,0),FALSE)=0,"",VLOOKUP($E82,BDD!$A$1:$S$567,MATCH(I$10,BDD!$A$1:$P$1,0),FALSE)),"")</f>
        <v>N2</v>
      </c>
      <c r="J82" s="86"/>
      <c r="K82" s="67" t="str">
        <f>IFERROR(IF(VLOOKUP($E82,BDD!$A$1:$S$567,MATCH(K$10,BDD!$A$1:$P$1,0),FALSE)=0,"",VLOOKUP($E82,BDD!$A$1:$S$567,MATCH(K$10,BDD!$A$1:$P$1,0),FALSE)),"")</f>
        <v>• Les jalons sont régulièrement positionnés pour valider des options structurantes du projet sur lesquelles il sera difficile de revenir en arrière sans conséquence importante.
• En projet agile, la structure opérationnelle peut valider le choix et la priorisation des User Stories du Backlog à inclure dans le prochain Sprint.</v>
      </c>
      <c r="L82" s="68"/>
      <c r="M82" s="82"/>
      <c r="N82" s="82"/>
      <c r="O82" s="68"/>
      <c r="P82" s="298"/>
    </row>
    <row r="83" spans="1:16" ht="130.05000000000001" hidden="1" customHeight="1" x14ac:dyDescent="0.3">
      <c r="A83" s="298"/>
      <c r="B83" s="68"/>
      <c r="C83" s="68" t="str">
        <f t="shared" si="3"/>
        <v>8</v>
      </c>
      <c r="D83" s="68">
        <f t="shared" si="4"/>
        <v>5</v>
      </c>
      <c r="E83" s="84" t="str">
        <f>C83&amp;D83&amp;RIGHT(F83,1)</f>
        <v>856</v>
      </c>
      <c r="F83" s="64" t="s">
        <v>34</v>
      </c>
      <c r="G83" s="65" t="str">
        <f>IFERROR(IF(VLOOKUP($E83,BDD!$A$1:$S$567,MATCH(G$10,BDD!$A$1:$P$1,0),FALSE)=0,"",VLOOKUP($E83,BDD!$A$1:$S$567,MATCH(G$10,BDD!$A$1:$P$1,0),FALSE)),"")</f>
        <v/>
      </c>
      <c r="H83" s="88" t="str">
        <f>IF(VLOOKUP(E83,BDD!$A$1:$S$567,15,FALSE)=0,"Critère non évalué","")</f>
        <v>Critère non évalué</v>
      </c>
      <c r="I83" s="64" t="str">
        <f>IFERROR(IF(VLOOKUP($E83,BDD!$A$1:$S$567,MATCH(I$10,BDD!$A$1:$P$1,0),FALSE)=0,"",VLOOKUP($E83,BDD!$A$1:$S$567,MATCH(I$10,BDD!$A$1:$P$1,0),FALSE)),"")</f>
        <v xml:space="preserve"> </v>
      </c>
      <c r="J83" s="91"/>
      <c r="K83" s="65" t="str">
        <f>IFERROR(IF(VLOOKUP($E83,BDD!$A$1:$S$567,MATCH(K$10,BDD!$A$1:$P$1,0),FALSE)=0,"",VLOOKUP($E83,BDD!$A$1:$S$567,MATCH(K$10,BDD!$A$1:$P$1,0),FALSE)),"")</f>
        <v/>
      </c>
      <c r="L83" s="68"/>
      <c r="M83" s="90"/>
      <c r="N83" s="90"/>
      <c r="O83" s="68"/>
      <c r="P83" s="298"/>
    </row>
    <row r="84" spans="1:16" ht="130.05000000000001" hidden="1" customHeight="1" x14ac:dyDescent="0.3">
      <c r="A84" s="298"/>
      <c r="B84" s="68"/>
      <c r="C84" s="68" t="str">
        <f t="shared" si="3"/>
        <v>8</v>
      </c>
      <c r="D84" s="68">
        <f t="shared" si="4"/>
        <v>5</v>
      </c>
      <c r="E84" s="84" t="str">
        <f>C84&amp;D84&amp;RIGHT(F84,1)</f>
        <v>857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298"/>
    </row>
    <row r="85" spans="1:16" x14ac:dyDescent="0.3">
      <c r="A85" s="298"/>
      <c r="B85" s="68"/>
      <c r="C85" s="68" t="str">
        <f t="shared" si="3"/>
        <v>8</v>
      </c>
      <c r="D85" s="68"/>
      <c r="E85" s="68"/>
      <c r="F85" s="68"/>
      <c r="G85" s="68"/>
      <c r="H85" s="68"/>
      <c r="I85" s="68"/>
      <c r="J85" s="68"/>
      <c r="K85" s="68"/>
      <c r="L85" s="68"/>
      <c r="M85" s="68"/>
      <c r="N85" s="68"/>
      <c r="O85" s="68"/>
      <c r="P85" s="298"/>
    </row>
    <row r="86" spans="1:16" x14ac:dyDescent="0.3">
      <c r="A86" s="298"/>
      <c r="B86" s="68"/>
      <c r="C86" s="68" t="str">
        <f t="shared" si="3"/>
        <v>8</v>
      </c>
      <c r="D86" s="68"/>
      <c r="E86" s="68"/>
      <c r="F86" s="68"/>
      <c r="G86" s="68"/>
      <c r="H86" s="68"/>
      <c r="I86" s="68"/>
      <c r="J86" s="68"/>
      <c r="K86" s="68"/>
      <c r="L86" s="68"/>
      <c r="M86" s="68"/>
      <c r="N86" s="68"/>
      <c r="O86" s="68"/>
      <c r="P86" s="298"/>
    </row>
    <row r="87" spans="1:16" ht="25.8" x14ac:dyDescent="0.5">
      <c r="A87" s="304"/>
      <c r="B87" s="74"/>
      <c r="C87" s="68" t="str">
        <f t="shared" si="3"/>
        <v>8</v>
      </c>
      <c r="D87" s="68">
        <f>IF(LEFT(F87,14)="Bonne pratique",D83+1,D83)</f>
        <v>6</v>
      </c>
      <c r="E87" s="84" t="str">
        <f t="shared" ref="E87:E100" si="5">C87&amp;D87&amp;RIGHT(F87,1)</f>
        <v>866</v>
      </c>
      <c r="F87" s="208" t="s">
        <v>556</v>
      </c>
      <c r="G87" s="75"/>
      <c r="H87" s="205"/>
      <c r="I87" s="73"/>
      <c r="J87" s="73" t="str">
        <f>VLOOKUP(E94,BDD!$A$2:$N$567,6,FALSE)</f>
        <v>Validation(s) du produit ou de la solution</v>
      </c>
      <c r="K87" s="72"/>
      <c r="L87" s="75"/>
      <c r="M87" s="75"/>
      <c r="N87" s="75"/>
      <c r="O87" s="74"/>
      <c r="P87" s="304"/>
    </row>
    <row r="88" spans="1:16" x14ac:dyDescent="0.3">
      <c r="A88" s="298"/>
      <c r="B88" s="68"/>
      <c r="C88" s="68" t="str">
        <f t="shared" si="3"/>
        <v>8</v>
      </c>
      <c r="D88" s="68">
        <f t="shared" ref="D88:D100" si="6">IF(LEFT(F88,14)="Bonne pratique",D87+1,D87)</f>
        <v>6</v>
      </c>
      <c r="E88" s="84" t="str">
        <f t="shared" si="5"/>
        <v>86</v>
      </c>
      <c r="F88" s="68"/>
      <c r="G88" s="68"/>
      <c r="H88" s="68"/>
      <c r="I88" s="68"/>
      <c r="J88" s="68"/>
      <c r="K88" s="68"/>
      <c r="L88" s="68"/>
      <c r="M88" s="68"/>
      <c r="N88" s="68"/>
      <c r="O88" s="68"/>
      <c r="P88" s="298"/>
    </row>
    <row r="89" spans="1:16" ht="18" x14ac:dyDescent="0.35">
      <c r="A89" s="305"/>
      <c r="B89" s="76"/>
      <c r="C89" s="68" t="str">
        <f t="shared" si="3"/>
        <v>8</v>
      </c>
      <c r="D89" s="68">
        <f t="shared" si="6"/>
        <v>6</v>
      </c>
      <c r="E89" s="84" t="str">
        <f t="shared" si="5"/>
        <v>86</v>
      </c>
      <c r="F89" s="76"/>
      <c r="G89" s="76"/>
      <c r="H89" s="76"/>
      <c r="I89" s="77"/>
      <c r="J89" s="207" t="str">
        <f>IFERROR(_xlfn.TEXTBEFORE(VLOOKUP(E94,BDD!$A$2:$N$567,7,FALSE)," ",30),VLOOKUP(E94,BDD!$A$2:$N$567,7,FALSE))</f>
        <v>Les produits ou solutions développés dans le cadre du projet font l'objet d'un processus de validation formel.</v>
      </c>
      <c r="K89" s="77"/>
      <c r="L89" s="76"/>
      <c r="M89" s="76"/>
      <c r="N89" s="76"/>
      <c r="O89" s="76"/>
      <c r="P89" s="305"/>
    </row>
    <row r="90" spans="1:16" ht="18" x14ac:dyDescent="0.35">
      <c r="A90" s="298"/>
      <c r="B90" s="68"/>
      <c r="C90" s="68" t="str">
        <f t="shared" si="3"/>
        <v>8</v>
      </c>
      <c r="D90" s="68">
        <f t="shared" si="6"/>
        <v>6</v>
      </c>
      <c r="E90" s="84" t="str">
        <f t="shared" si="5"/>
        <v>86</v>
      </c>
      <c r="F90" s="68"/>
      <c r="G90" s="68"/>
      <c r="H90" s="68"/>
      <c r="I90" s="68"/>
      <c r="J90" s="207" t="str">
        <f>IFERROR(_xlfn.TEXTAFTER(VLOOKUP(E94,BDD!$A$2:$N$567,7,FALSE)," ",30),"")</f>
        <v/>
      </c>
      <c r="K90" s="68"/>
      <c r="L90" s="68"/>
      <c r="M90" s="68"/>
      <c r="N90" s="68"/>
      <c r="O90" s="68"/>
      <c r="P90" s="298"/>
    </row>
    <row r="91" spans="1:16" x14ac:dyDescent="0.3">
      <c r="A91" s="298"/>
      <c r="B91" s="68"/>
      <c r="C91" s="68" t="str">
        <f t="shared" si="3"/>
        <v>8</v>
      </c>
      <c r="D91" s="68">
        <f t="shared" si="6"/>
        <v>6</v>
      </c>
      <c r="E91" s="84" t="str">
        <f t="shared" si="5"/>
        <v>86</v>
      </c>
      <c r="F91" s="68"/>
      <c r="G91" s="68"/>
      <c r="H91" s="68"/>
      <c r="I91" s="68"/>
      <c r="J91" s="78"/>
      <c r="K91" s="68"/>
      <c r="L91" s="68"/>
      <c r="M91" s="619" t="s">
        <v>92</v>
      </c>
      <c r="N91" s="619"/>
      <c r="O91" s="68"/>
      <c r="P91" s="298"/>
    </row>
    <row r="92" spans="1:16" ht="33" x14ac:dyDescent="0.3">
      <c r="A92" s="298"/>
      <c r="B92" s="68"/>
      <c r="C92" s="68" t="str">
        <f t="shared" si="3"/>
        <v>8</v>
      </c>
      <c r="D92" s="68">
        <f t="shared" si="6"/>
        <v>6</v>
      </c>
      <c r="E92" s="84" t="str">
        <f t="shared" si="5"/>
        <v>86</v>
      </c>
      <c r="F92" s="93"/>
      <c r="G92" s="80" t="s">
        <v>561</v>
      </c>
      <c r="H92" s="80" t="s">
        <v>82</v>
      </c>
      <c r="I92" s="80" t="s">
        <v>83</v>
      </c>
      <c r="J92" s="80" t="s">
        <v>84</v>
      </c>
      <c r="K92" s="80" t="s">
        <v>85</v>
      </c>
      <c r="L92" s="78"/>
      <c r="M92" s="81" t="s">
        <v>86</v>
      </c>
      <c r="N92" s="82" t="s">
        <v>87</v>
      </c>
      <c r="O92" s="68"/>
      <c r="P92" s="298"/>
    </row>
    <row r="93" spans="1:16" x14ac:dyDescent="0.3">
      <c r="A93" s="298"/>
      <c r="B93" s="68"/>
      <c r="C93" s="68" t="str">
        <f t="shared" si="3"/>
        <v>8</v>
      </c>
      <c r="D93" s="68">
        <f t="shared" si="6"/>
        <v>6</v>
      </c>
      <c r="E93" s="84" t="str">
        <f t="shared" si="5"/>
        <v>86</v>
      </c>
      <c r="F93" s="68"/>
      <c r="G93" s="83"/>
      <c r="H93" s="83"/>
      <c r="I93" s="83"/>
      <c r="J93" s="68"/>
      <c r="K93" s="83"/>
      <c r="L93" s="68"/>
      <c r="M93" s="68"/>
      <c r="N93" s="68"/>
      <c r="O93" s="68"/>
      <c r="P93" s="298"/>
    </row>
    <row r="94" spans="1:16" ht="130.05000000000001" customHeight="1" x14ac:dyDescent="0.3">
      <c r="A94" s="298"/>
      <c r="B94" s="68"/>
      <c r="C94" s="68" t="str">
        <f t="shared" si="3"/>
        <v>8</v>
      </c>
      <c r="D94" s="68">
        <f t="shared" si="6"/>
        <v>6</v>
      </c>
      <c r="E94" s="84" t="str">
        <f t="shared" si="5"/>
        <v>861</v>
      </c>
      <c r="F94" s="66" t="s">
        <v>27</v>
      </c>
      <c r="G94" s="67" t="str">
        <f>IFERROR(IF(VLOOKUP($E94,BDD!$A$1:$S$567,MATCH(G$10,BDD!$A$1:$P$1,0),FALSE)=0,"",VLOOKUP($E94,BDD!$A$1:$S$567,MATCH(G$10,BDD!$A$1:$P$1,0),FALSE)),"")</f>
        <v>Les activités et les responsabilités liées à la validation de la solution sont définies dans la méthode projet et mises en œuvre tout au long du projet.</v>
      </c>
      <c r="H94" s="85" t="str">
        <f>IF(VLOOKUP(E94,BDD!$A$1:$S$567,15,FALSE)=0,"Critère non évalué","")</f>
        <v>Critère non évalué</v>
      </c>
      <c r="I94" s="66" t="str">
        <f>IFERROR(IF(VLOOKUP($E94,BDD!$A$1:$S$567,MATCH(I$10,BDD!$A$1:$P$1,0),FALSE)=0,"",VLOOKUP($E94,BDD!$A$1:$S$567,MATCH(I$10,BDD!$A$1:$P$1,0),FALSE)),"")</f>
        <v>N1</v>
      </c>
      <c r="J94" s="86"/>
      <c r="K94" s="67" t="str">
        <f>IFERROR(IF(VLOOKUP($E94,BDD!$A$1:$S$567,MATCH(K$10,BDD!$A$1:$P$1,0),FALSE)=0,"",VLOOKUP($E94,BDD!$A$1:$S$567,MATCH(K$10,BDD!$A$1:$P$1,0),FALSE)),"")</f>
        <v>• La méthode projet définit les modalités des tests (nature de, périmètre, acteurs, séquencement avec le cycle de vie du projet).
• Les tests font l'objet d'une préparation et d'un recensement. 
• La généralisation des outils d'automatisation des tests (eg. tests de non régression) permet de fiabiliser les processus de recette, d'augmenter leur productivité ou de réduire leurs coûts.  
• La phase de recette intègre les volets cybersécurité, exploitabilité, et performance.
• Dans les projets gérés en cycle en V, les phases de tests sont planifiées et constituent des prérequis au passage d'un jalon.
• Dans les méthodologies agiles, les tests sont réalisés en continu à chaque incrément. Les critères de validation des user stories sont définis en amont (par exemple dans la Definition of Done pour la méthodologie Scrum).</v>
      </c>
      <c r="L94" s="68"/>
      <c r="M94" s="87"/>
      <c r="N94" s="87"/>
      <c r="O94" s="68"/>
      <c r="P94" s="298"/>
    </row>
    <row r="95" spans="1:16" ht="130.05000000000001" customHeight="1" x14ac:dyDescent="0.3">
      <c r="A95" s="298"/>
      <c r="B95" s="68"/>
      <c r="C95" s="68" t="str">
        <f t="shared" si="3"/>
        <v>8</v>
      </c>
      <c r="D95" s="68">
        <f t="shared" si="6"/>
        <v>6</v>
      </c>
      <c r="E95" s="84" t="str">
        <f t="shared" si="5"/>
        <v>862</v>
      </c>
      <c r="F95" s="94" t="s">
        <v>28</v>
      </c>
      <c r="G95" s="65" t="str">
        <f>IFERROR(IF(VLOOKUP($E95,BDD!$A$1:$S$567,MATCH(G$10,BDD!$A$1:$P$1,0),FALSE)=0,"",VLOOKUP($E95,BDD!$A$1:$S$567,MATCH(G$10,BDD!$A$1:$P$1,0),FALSE)),"")</f>
        <v>La méthode employée dans les phases de test et de validation est définie et appliquée.</v>
      </c>
      <c r="H95" s="88" t="str">
        <f>IF(VLOOKUP(E95,BDD!$A$1:$S$567,15,FALSE)=0,"Critère non évalué","")</f>
        <v>Critère non évalué</v>
      </c>
      <c r="I95" s="64" t="str">
        <f>IFERROR(IF(VLOOKUP($E95,BDD!$A$1:$S$567,MATCH(I$10,BDD!$A$1:$P$1,0),FALSE)=0,"",VLOOKUP($E95,BDD!$A$1:$S$567,MATCH(I$10,BDD!$A$1:$P$1,0),FALSE)),"")</f>
        <v>N2</v>
      </c>
      <c r="J95" s="89"/>
      <c r="K95" s="65" t="str">
        <f>IFERROR(IF(VLOOKUP($E95,BDD!$A$1:$S$567,MATCH(K$10,BDD!$A$1:$P$1,0),FALSE)=0,"",VLOOKUP($E95,BDD!$A$1:$S$567,MATCH(K$10,BDD!$A$1:$P$1,0),FALSE)),"")</f>
        <v>• Les acteurs impliqués dans les phases de test disposent des compétences nécessaires pour attester la conformité du produit ou de la solution aux attentes. Les fonctions métiers en particulier participent aux étapes de validation fonctionnelle, avec un niveau de formation adapté.
• Les tâches de validation sont formalisées conformément à la méthode projet. Lorsque nécessaire, une décision d'approbation ou de rejet est rendue par l'instance de pilotage en lien avec le sponsor projet ou sa hiérarchie.</v>
      </c>
      <c r="L95" s="68"/>
      <c r="M95" s="90"/>
      <c r="N95" s="90"/>
      <c r="O95" s="68"/>
      <c r="P95" s="298"/>
    </row>
    <row r="96" spans="1:16" ht="130.05000000000001" customHeight="1" x14ac:dyDescent="0.3">
      <c r="A96" s="298"/>
      <c r="B96" s="68"/>
      <c r="C96" s="68" t="str">
        <f t="shared" si="3"/>
        <v>8</v>
      </c>
      <c r="D96" s="68">
        <f t="shared" si="6"/>
        <v>6</v>
      </c>
      <c r="E96" s="84" t="str">
        <f t="shared" si="5"/>
        <v>863</v>
      </c>
      <c r="F96" s="66" t="s">
        <v>30</v>
      </c>
      <c r="G96" s="67" t="str">
        <f>IFERROR(IF(VLOOKUP($E96,BDD!$A$1:$S$567,MATCH(G$10,BDD!$A$1:$P$1,0),FALSE)=0,"",VLOOKUP($E96,BDD!$A$1:$S$567,MATCH(G$10,BDD!$A$1:$P$1,0),FALSE)),"")</f>
        <v>Le respect des exigences fonctionnelles et non fonctionnelles (techniques, cybersécurité, performance conformité, etc.) fait l'objet d'une validation formelle avant tout déploiement.</v>
      </c>
      <c r="H96" s="85" t="str">
        <f>IF(VLOOKUP(E96,BDD!$A$1:$S$567,15,FALSE)=0,"Critère non évalué","")</f>
        <v>Critère non évalué</v>
      </c>
      <c r="I96" s="66" t="str">
        <f>IFERROR(IF(VLOOKUP($E96,BDD!$A$1:$S$567,MATCH(I$10,BDD!$A$1:$P$1,0),FALSE)=0,"",VLOOKUP($E96,BDD!$A$1:$S$567,MATCH(I$10,BDD!$A$1:$P$1,0),FALSE)),"")</f>
        <v>N2</v>
      </c>
      <c r="J96" s="86"/>
      <c r="K96" s="67" t="str">
        <f>IFERROR(IF(VLOOKUP($E96,BDD!$A$1:$S$567,MATCH(K$10,BDD!$A$1:$P$1,0),FALSE)=0,"",VLOOKUP($E96,BDD!$A$1:$S$567,MATCH(K$10,BDD!$A$1:$P$1,0),FALSE)),"")</f>
        <v>• Les besoins non fonctionnels d'une solution ou d’un produit sont formellement spécifiés. Ils couvrent notamment la documentation, la continuité d’activité, la disponibilité, l’ergonomie, la performance, la portabilité, la maintenabilité.
• Leur conformité fait l’objet de tests dédiés, suivis d'une validation formelle.
• Les critères de performance, en particulier, sont évalués dans des conditions proches du réel.</v>
      </c>
      <c r="L96" s="68"/>
      <c r="M96" s="87"/>
      <c r="N96" s="87"/>
      <c r="O96" s="68"/>
      <c r="P96" s="298"/>
    </row>
    <row r="97" spans="1:16" ht="130.05000000000001" customHeight="1" x14ac:dyDescent="0.3">
      <c r="A97" s="298"/>
      <c r="B97" s="68"/>
      <c r="C97" s="68" t="str">
        <f t="shared" si="3"/>
        <v>8</v>
      </c>
      <c r="D97" s="68">
        <f t="shared" si="6"/>
        <v>6</v>
      </c>
      <c r="E97" s="84" t="str">
        <f t="shared" si="5"/>
        <v>864</v>
      </c>
      <c r="F97" s="64" t="s">
        <v>32</v>
      </c>
      <c r="G97" s="65" t="str">
        <f>IFERROR(IF(VLOOKUP($E97,BDD!$A$1:$S$567,MATCH(G$10,BDD!$A$1:$P$1,0),FALSE)=0,"",VLOOKUP($E97,BDD!$A$1:$S$567,MATCH(G$10,BDD!$A$1:$P$1,0),FALSE)),"")</f>
        <v>Le « reste à faire » (fonctionnalités, exigences, anomalies, etc.) fait l'objet d'un suivi jusqu'à sa résolution ou sa clôture.</v>
      </c>
      <c r="H97" s="88" t="str">
        <f>IF(VLOOKUP(E97,BDD!$A$1:$S$567,15,FALSE)=0,"Critère non évalué","")</f>
        <v>Critère non évalué</v>
      </c>
      <c r="I97" s="64" t="str">
        <f>IFERROR(IF(VLOOKUP($E97,BDD!$A$1:$S$567,MATCH(I$10,BDD!$A$1:$P$1,0),FALSE)=0,"",VLOOKUP($E97,BDD!$A$1:$S$567,MATCH(I$10,BDD!$A$1:$P$1,0),FALSE)),"")</f>
        <v>N3</v>
      </c>
      <c r="J97" s="91"/>
      <c r="K97" s="65" t="str">
        <f>IFERROR(IF(VLOOKUP($E97,BDD!$A$1:$S$567,MATCH(K$10,BDD!$A$1:$P$1,0),FALSE)=0,"",VLOOKUP($E97,BDD!$A$1:$S$567,MATCH(K$10,BDD!$A$1:$P$1,0),FALSE)),"")</f>
        <v>• Les fonctionnalités restant à développer, corriger ou valider font l'objet d'un suivi formel, incluant la priorisation, les arbitrages nécessaires et la communication sur les dates cibles de mise en œuvre.
• En méthodologie agile (par exemple Scrum) ce suivi se fait dans le Product Backlog.</v>
      </c>
      <c r="L97" s="68"/>
      <c r="M97" s="90"/>
      <c r="N97" s="90"/>
      <c r="O97" s="68"/>
      <c r="P97" s="298"/>
    </row>
    <row r="98" spans="1:16" ht="130.05000000000001" customHeight="1" x14ac:dyDescent="0.3">
      <c r="A98" s="298"/>
      <c r="B98" s="68"/>
      <c r="C98" s="68" t="str">
        <f t="shared" si="3"/>
        <v>8</v>
      </c>
      <c r="D98" s="68">
        <f t="shared" si="6"/>
        <v>6</v>
      </c>
      <c r="E98" s="84" t="str">
        <f t="shared" si="5"/>
        <v>865</v>
      </c>
      <c r="F98" s="66" t="s">
        <v>33</v>
      </c>
      <c r="G98" s="67" t="str">
        <f>IFERROR(IF(VLOOKUP($E98,BDD!$A$1:$S$567,MATCH(G$10,BDD!$A$1:$P$1,0),FALSE)=0,"",VLOOKUP($E98,BDD!$A$1:$S$567,MATCH(G$10,BDD!$A$1:$P$1,0),FALSE)),"")</f>
        <v>La solution ou le produit fait l'objet d'une validation par les instances de gouvernance ad-hoc prévues par la politique IT (DPO, RSSI, Architecte IT, ESG).</v>
      </c>
      <c r="H98" s="85" t="str">
        <f>IF(VLOOKUP(E98,BDD!$A$1:$S$567,15,FALSE)=0,"Critère non évalué","")</f>
        <v>Critère non évalué</v>
      </c>
      <c r="I98" s="66" t="str">
        <f>IFERROR(IF(VLOOKUP($E98,BDD!$A$1:$S$567,MATCH(I$10,BDD!$A$1:$P$1,0),FALSE)=0,"",VLOOKUP($E98,BDD!$A$1:$S$567,MATCH(I$10,BDD!$A$1:$P$1,0),FALSE)),"")</f>
        <v>N3</v>
      </c>
      <c r="J98" s="86"/>
      <c r="K98" s="67" t="str">
        <f>IFERROR(IF(VLOOKUP($E98,BDD!$A$1:$S$567,MATCH(K$10,BDD!$A$1:$P$1,0),FALSE)=0,"",VLOOKUP($E98,BDD!$A$1:$S$567,MATCH(K$10,BDD!$A$1:$P$1,0),FALSE)),"")</f>
        <v>• La validation de la solution ou du produit, préalablement à sa livraison, intègre les avis des instances compétentes afin de garantir sa conformité aux exigences en matière de cybersécurité, de gouvernance, de protection des données, de conformité réglementaire, de contrôle interne, de cohérence avec l'architecture IT de l'organisation, ainsi qu’aux critères ESG (accessibilité à tous, impacts environnementaux, etc.).
• Les exceptions font l'objet de justifications argumentées.
• Le respect des besoins non fonctionnels fait également l'objet d'une validation formelle.</v>
      </c>
      <c r="L98" s="68"/>
      <c r="M98" s="82"/>
      <c r="N98" s="82"/>
      <c r="O98" s="68"/>
      <c r="P98" s="298"/>
    </row>
    <row r="99" spans="1:16" ht="130.05000000000001" hidden="1" customHeight="1" x14ac:dyDescent="0.3">
      <c r="A99" s="298"/>
      <c r="B99" s="68"/>
      <c r="C99" s="68" t="str">
        <f t="shared" si="3"/>
        <v>8</v>
      </c>
      <c r="D99" s="68">
        <f t="shared" si="6"/>
        <v>6</v>
      </c>
      <c r="E99" s="84" t="str">
        <f t="shared" si="5"/>
        <v>866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xml:space="preserve"> </v>
      </c>
      <c r="J99" s="91"/>
      <c r="K99" s="65" t="str">
        <f>IFERROR(IF(VLOOKUP($E99,BDD!$A$1:$S$567,MATCH(K$10,BDD!$A$1:$P$1,0),FALSE)=0,"",VLOOKUP($E99,BDD!$A$1:$S$567,MATCH(K$10,BDD!$A$1:$P$1,0),FALSE)),"")</f>
        <v/>
      </c>
      <c r="L99" s="68"/>
      <c r="M99" s="90"/>
      <c r="N99" s="90"/>
      <c r="O99" s="68"/>
      <c r="P99" s="298"/>
    </row>
    <row r="100" spans="1:16" ht="130.05000000000001" hidden="1" customHeight="1" x14ac:dyDescent="0.3">
      <c r="A100" s="298"/>
      <c r="B100" s="68"/>
      <c r="C100" s="68" t="str">
        <f t="shared" si="3"/>
        <v>8</v>
      </c>
      <c r="D100" s="68">
        <f t="shared" si="6"/>
        <v>6</v>
      </c>
      <c r="E100" s="84" t="str">
        <f t="shared" si="5"/>
        <v>867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xml:space="preserve"> </v>
      </c>
      <c r="J100" s="86"/>
      <c r="K100" s="67" t="str">
        <f>IFERROR(IF(VLOOKUP($E100,BDD!$A$1:$S$567,MATCH(K$10,BDD!$A$1:$P$1,0),FALSE)=0,"",VLOOKUP($E100,BDD!$A$1:$S$567,MATCH(K$10,BDD!$A$1:$P$1,0),FALSE)),"")</f>
        <v/>
      </c>
      <c r="L100" s="68"/>
      <c r="M100" s="82"/>
      <c r="N100" s="82"/>
      <c r="O100" s="68"/>
      <c r="P100" s="298"/>
    </row>
    <row r="101" spans="1:16" x14ac:dyDescent="0.3">
      <c r="A101" s="298"/>
      <c r="B101" s="68"/>
      <c r="C101" s="68" t="str">
        <f t="shared" si="3"/>
        <v>8</v>
      </c>
      <c r="D101" s="68"/>
      <c r="E101" s="68"/>
      <c r="F101" s="68"/>
      <c r="G101" s="68"/>
      <c r="H101" s="68"/>
      <c r="I101" s="68"/>
      <c r="J101" s="68"/>
      <c r="K101" s="68"/>
      <c r="L101" s="68"/>
      <c r="M101" s="68"/>
      <c r="N101" s="68"/>
      <c r="O101" s="68"/>
      <c r="P101" s="298"/>
    </row>
    <row r="102" spans="1:16" x14ac:dyDescent="0.3">
      <c r="A102" s="298"/>
      <c r="B102" s="68"/>
      <c r="C102" s="68" t="str">
        <f t="shared" si="3"/>
        <v>8</v>
      </c>
      <c r="D102" s="68"/>
      <c r="E102" s="68"/>
      <c r="F102" s="68"/>
      <c r="G102" s="68"/>
      <c r="H102" s="68"/>
      <c r="I102" s="68"/>
      <c r="J102" s="68"/>
      <c r="K102" s="68"/>
      <c r="L102" s="68"/>
      <c r="M102" s="68"/>
      <c r="N102" s="68"/>
      <c r="O102" s="68"/>
      <c r="P102" s="298"/>
    </row>
    <row r="103" spans="1:16" ht="25.8" x14ac:dyDescent="0.5">
      <c r="A103" s="304"/>
      <c r="B103" s="74"/>
      <c r="C103" s="68" t="str">
        <f t="shared" si="3"/>
        <v>8</v>
      </c>
      <c r="D103" s="68">
        <f>IF(LEFT(F103,14)="Bonne pratique",D99+1,D99)</f>
        <v>7</v>
      </c>
      <c r="E103" s="84" t="str">
        <f t="shared" ref="E103:E116" si="7">C103&amp;D103&amp;RIGHT(F103,1)</f>
        <v>877</v>
      </c>
      <c r="F103" s="208" t="s">
        <v>557</v>
      </c>
      <c r="G103" s="75"/>
      <c r="H103" s="205"/>
      <c r="I103" s="73"/>
      <c r="J103" s="73" t="str">
        <f>VLOOKUP(E110,BDD!$A$2:$N$567,6,FALSE)</f>
        <v>Bilan de projet SI</v>
      </c>
      <c r="K103" s="72"/>
      <c r="L103" s="75"/>
      <c r="M103" s="75"/>
      <c r="N103" s="75"/>
      <c r="O103" s="74"/>
      <c r="P103" s="304"/>
    </row>
    <row r="104" spans="1:16" x14ac:dyDescent="0.3">
      <c r="A104" s="298"/>
      <c r="B104" s="68"/>
      <c r="C104" s="68" t="str">
        <f t="shared" si="3"/>
        <v>8</v>
      </c>
      <c r="D104" s="68">
        <f t="shared" ref="D104:D116" si="8">IF(LEFT(F104,14)="Bonne pratique",D103+1,D103)</f>
        <v>7</v>
      </c>
      <c r="E104" s="84" t="str">
        <f t="shared" si="7"/>
        <v>87</v>
      </c>
      <c r="F104" s="68"/>
      <c r="G104" s="68"/>
      <c r="H104" s="68"/>
      <c r="I104" s="68"/>
      <c r="J104" s="68"/>
      <c r="K104" s="68"/>
      <c r="L104" s="68"/>
      <c r="M104" s="68"/>
      <c r="N104" s="68"/>
      <c r="O104" s="68"/>
      <c r="P104" s="298"/>
    </row>
    <row r="105" spans="1:16" ht="18" x14ac:dyDescent="0.35">
      <c r="A105" s="305"/>
      <c r="B105" s="76"/>
      <c r="C105" s="68" t="str">
        <f t="shared" si="3"/>
        <v>8</v>
      </c>
      <c r="D105" s="68">
        <f t="shared" si="8"/>
        <v>7</v>
      </c>
      <c r="E105" s="84" t="str">
        <f t="shared" si="7"/>
        <v>87</v>
      </c>
      <c r="F105" s="76"/>
      <c r="G105" s="76"/>
      <c r="H105" s="76"/>
      <c r="I105" s="77"/>
      <c r="J105" s="207" t="str">
        <f>IFERROR(_xlfn.TEXTBEFORE(VLOOKUP(E110,BDD!$A$2:$N$567,7,FALSE)," ",30),VLOOKUP(E110,BDD!$A$2:$N$567,7,FALSE))</f>
        <v>L’équipe responsable organise un bilan de projet </v>
      </c>
      <c r="K105" s="77"/>
      <c r="L105" s="76"/>
      <c r="M105" s="76"/>
      <c r="N105" s="76"/>
      <c r="O105" s="76"/>
      <c r="P105" s="305"/>
    </row>
    <row r="106" spans="1:16" ht="18" x14ac:dyDescent="0.35">
      <c r="A106" s="298"/>
      <c r="B106" s="68"/>
      <c r="C106" s="68" t="str">
        <f t="shared" si="3"/>
        <v>8</v>
      </c>
      <c r="D106" s="68">
        <f t="shared" si="8"/>
        <v>7</v>
      </c>
      <c r="E106" s="84" t="str">
        <f t="shared" si="7"/>
        <v>87</v>
      </c>
      <c r="F106" s="68"/>
      <c r="G106" s="68"/>
      <c r="H106" s="68"/>
      <c r="I106" s="68"/>
      <c r="J106" s="207" t="str">
        <f>IFERROR(_xlfn.TEXTAFTER(VLOOKUP(E110,BDD!$A$2:$N$567,7,FALSE)," ",30),"")</f>
        <v/>
      </c>
      <c r="K106" s="68"/>
      <c r="L106" s="68"/>
      <c r="M106" s="68"/>
      <c r="N106" s="68"/>
      <c r="O106" s="68"/>
      <c r="P106" s="298"/>
    </row>
    <row r="107" spans="1:16" x14ac:dyDescent="0.3">
      <c r="A107" s="298"/>
      <c r="B107" s="68"/>
      <c r="C107" s="68" t="str">
        <f t="shared" si="3"/>
        <v>8</v>
      </c>
      <c r="D107" s="68">
        <f t="shared" si="8"/>
        <v>7</v>
      </c>
      <c r="E107" s="84" t="str">
        <f t="shared" si="7"/>
        <v>87</v>
      </c>
      <c r="F107" s="68"/>
      <c r="G107" s="68"/>
      <c r="H107" s="68"/>
      <c r="I107" s="68"/>
      <c r="J107" s="78"/>
      <c r="K107" s="68"/>
      <c r="L107" s="68"/>
      <c r="M107" s="619" t="s">
        <v>92</v>
      </c>
      <c r="N107" s="619"/>
      <c r="O107" s="68"/>
      <c r="P107" s="298"/>
    </row>
    <row r="108" spans="1:16" ht="33" x14ac:dyDescent="0.3">
      <c r="A108" s="298"/>
      <c r="B108" s="68"/>
      <c r="C108" s="68" t="str">
        <f t="shared" si="3"/>
        <v>8</v>
      </c>
      <c r="D108" s="68">
        <f t="shared" si="8"/>
        <v>7</v>
      </c>
      <c r="E108" s="84" t="str">
        <f t="shared" si="7"/>
        <v>87</v>
      </c>
      <c r="F108" s="93"/>
      <c r="G108" s="80" t="s">
        <v>561</v>
      </c>
      <c r="H108" s="80" t="s">
        <v>82</v>
      </c>
      <c r="I108" s="80" t="s">
        <v>83</v>
      </c>
      <c r="J108" s="80" t="s">
        <v>84</v>
      </c>
      <c r="K108" s="80" t="s">
        <v>85</v>
      </c>
      <c r="L108" s="78"/>
      <c r="M108" s="81" t="s">
        <v>86</v>
      </c>
      <c r="N108" s="82" t="s">
        <v>87</v>
      </c>
      <c r="O108" s="68"/>
      <c r="P108" s="298"/>
    </row>
    <row r="109" spans="1:16" x14ac:dyDescent="0.3">
      <c r="A109" s="298"/>
      <c r="B109" s="68"/>
      <c r="C109" s="68" t="str">
        <f t="shared" si="3"/>
        <v>8</v>
      </c>
      <c r="D109" s="68">
        <f t="shared" si="8"/>
        <v>7</v>
      </c>
      <c r="E109" s="84" t="str">
        <f t="shared" si="7"/>
        <v>87</v>
      </c>
      <c r="F109" s="68"/>
      <c r="G109" s="83"/>
      <c r="H109" s="83"/>
      <c r="I109" s="83"/>
      <c r="J109" s="68"/>
      <c r="K109" s="83"/>
      <c r="L109" s="68"/>
      <c r="M109" s="68"/>
      <c r="N109" s="68"/>
      <c r="O109" s="68"/>
      <c r="P109" s="298"/>
    </row>
    <row r="110" spans="1:16" ht="130.05000000000001" customHeight="1" x14ac:dyDescent="0.3">
      <c r="A110" s="298"/>
      <c r="B110" s="68"/>
      <c r="C110" s="68" t="str">
        <f t="shared" si="3"/>
        <v>8</v>
      </c>
      <c r="D110" s="68">
        <f t="shared" si="8"/>
        <v>7</v>
      </c>
      <c r="E110" s="84" t="str">
        <f t="shared" si="7"/>
        <v>871</v>
      </c>
      <c r="F110" s="66" t="s">
        <v>27</v>
      </c>
      <c r="G110" s="67" t="str">
        <f>IFERROR(IF(VLOOKUP($E110,BDD!$A$1:$S$567,MATCH(G$10,BDD!$A$1:$P$1,0),FALSE)=0,"",VLOOKUP($E110,BDD!$A$1:$S$567,MATCH(G$10,BDD!$A$1:$P$1,0),FALSE)),"")</f>
        <v>Le bilan de projet SI fournit une vision partagée des coûts, des délais et du niveau d’atteinte des objectifs opérationnels (réussites, difficultés, échecs, capitalisation des progrès, identification de plans d'action d'amélioration).</v>
      </c>
      <c r="H110" s="85" t="str">
        <f>IF(VLOOKUP(E110,BDD!$A$1:$S$567,15,FALSE)=0,"Critère non évalué","")</f>
        <v>Critère non évalué</v>
      </c>
      <c r="I110" s="66" t="str">
        <f>IFERROR(IF(VLOOKUP($E110,BDD!$A$1:$S$567,MATCH(I$10,BDD!$A$1:$P$1,0),FALSE)=0,"",VLOOKUP($E110,BDD!$A$1:$S$567,MATCH(I$10,BDD!$A$1:$P$1,0),FALSE)),"")</f>
        <v>N2</v>
      </c>
      <c r="J110" s="86"/>
      <c r="K110" s="67" t="str">
        <f>IFERROR(IF(VLOOKUP($E110,BDD!$A$1:$S$567,MATCH(K$10,BDD!$A$1:$P$1,0),FALSE)=0,"",VLOOKUP($E110,BDD!$A$1:$S$567,MATCH(K$10,BDD!$A$1:$P$1,0),FALSE)),"")</f>
        <v>• Le bilan opérationnel doit explorer les processus de fonctionnement de la DSI, son organisation, ses choix technologiques, sa qualité de service.
• Le bilan opérationnel identifie les dysfonctionnements et propose des actions d’amélioration concrètes réalisables par les équipes de la DSI.</v>
      </c>
      <c r="L110" s="68"/>
      <c r="M110" s="87"/>
      <c r="N110" s="87"/>
      <c r="O110" s="68"/>
      <c r="P110" s="298"/>
    </row>
    <row r="111" spans="1:16" ht="130.05000000000001" customHeight="1" x14ac:dyDescent="0.3">
      <c r="A111" s="298"/>
      <c r="B111" s="68"/>
      <c r="C111" s="68" t="str">
        <f t="shared" si="3"/>
        <v>8</v>
      </c>
      <c r="D111" s="68">
        <f t="shared" si="8"/>
        <v>7</v>
      </c>
      <c r="E111" s="84" t="str">
        <f t="shared" si="7"/>
        <v>872</v>
      </c>
      <c r="F111" s="94" t="s">
        <v>28</v>
      </c>
      <c r="G111" s="65" t="str">
        <f>IFERROR(IF(VLOOKUP($E111,BDD!$A$1:$S$567,MATCH(G$10,BDD!$A$1:$P$1,0),FALSE)=0,"",VLOOKUP($E111,BDD!$A$1:$S$567,MATCH(G$10,BDD!$A$1:$P$1,0),FALSE)),"")</f>
        <v>Le bilan de projet SI  permet de vérifier qu’il ne reste aucune tâche résiduelle (donc de coût supplémentaire) liée aux désinstallations, aux décommissionnements, aux formations, etc.</v>
      </c>
      <c r="H111" s="88" t="str">
        <f>IF(VLOOKUP(E111,BDD!$A$1:$S$567,15,FALSE)=0,"Critère non évalué","")</f>
        <v>Critère non évalué</v>
      </c>
      <c r="I111" s="64" t="str">
        <f>IFERROR(IF(VLOOKUP($E111,BDD!$A$1:$S$567,MATCH(I$10,BDD!$A$1:$P$1,0),FALSE)=0,"",VLOOKUP($E111,BDD!$A$1:$S$567,MATCH(I$10,BDD!$A$1:$P$1,0),FALSE)),"")</f>
        <v>N2</v>
      </c>
      <c r="J111" s="89"/>
      <c r="K111" s="65" t="str">
        <f>IFERROR(IF(VLOOKUP($E111,BDD!$A$1:$S$567,MATCH(K$10,BDD!$A$1:$P$1,0),FALSE)=0,"",VLOOKUP($E111,BDD!$A$1:$S$567,MATCH(K$10,BDD!$A$1:$P$1,0),FALSE)),"")</f>
        <v>• Si des tâches prévues restent inachevées et non réalisables avant la fin de la période probatoire du projet ou de l’incrément, elles doivent être rattachées aux opérations de MCO qui débutent, ou reportées à l’incrément suivant, afin de pouvoir clore la phase projet.
• Une vérification de la mise à jour de la documentation nécessaire et obligatoire est assurée (ex. : cartographies, dossier d'exploitation, dossier d'architecture…).</v>
      </c>
      <c r="L111" s="68"/>
      <c r="M111" s="90"/>
      <c r="N111" s="90"/>
      <c r="O111" s="68"/>
      <c r="P111" s="298"/>
    </row>
    <row r="112" spans="1:16" ht="130.05000000000001" customHeight="1" x14ac:dyDescent="0.3">
      <c r="A112" s="298"/>
      <c r="B112" s="68"/>
      <c r="C112" s="68" t="str">
        <f t="shared" si="3"/>
        <v>8</v>
      </c>
      <c r="D112" s="68">
        <f t="shared" si="8"/>
        <v>7</v>
      </c>
      <c r="E112" s="84" t="str">
        <f t="shared" si="7"/>
        <v>873</v>
      </c>
      <c r="F112" s="66" t="s">
        <v>30</v>
      </c>
      <c r="G112" s="67" t="str">
        <f>IFERROR(IF(VLOOKUP($E112,BDD!$A$1:$S$567,MATCH(G$10,BDD!$A$1:$P$1,0),FALSE)=0,"",VLOOKUP($E112,BDD!$A$1:$S$567,MATCH(G$10,BDD!$A$1:$P$1,0),FALSE)),"")</f>
        <v>À l’issue d’une période préalablement définie, un bilan du business case du projet est réalisé avec les parties prenantes, y compris les acteurs externes.</v>
      </c>
      <c r="H112" s="85" t="str">
        <f>IF(VLOOKUP(E112,BDD!$A$1:$S$567,15,FALSE)=0,"Critère non évalué","")</f>
        <v>Critère non évalué</v>
      </c>
      <c r="I112" s="66" t="str">
        <f>IFERROR(IF(VLOOKUP($E112,BDD!$A$1:$S$567,MATCH(I$10,BDD!$A$1:$P$1,0),FALSE)=0,"",VLOOKUP($E112,BDD!$A$1:$S$567,MATCH(I$10,BDD!$A$1:$P$1,0),FALSE)),"")</f>
        <v>N4</v>
      </c>
      <c r="J112" s="86"/>
      <c r="K112" s="67" t="str">
        <f>IFERROR(IF(VLOOKUP($E112,BDD!$A$1:$S$567,MATCH(K$10,BDD!$A$1:$P$1,0),FALSE)=0,"",VLOOKUP($E112,BDD!$A$1:$S$567,MATCH(K$10,BDD!$A$1:$P$1,0),FALSE)),"")</f>
        <v>• Cet objectif du bilan de projet est spécifiquement limité à l’évaluation de l'atteinte des objectifs métier.
• Toutes les parties prenantes intervenues dans la réalisation du projet sont conviées.
• L’équipe projet compare la valorisation les éléments constitutifs de l’étude d’opportunité aux résultats effectivement constatés en fin de projet et valide cette analyse.
• Le bilan de projet met en évidence les écarts, en identifie les causes et propose des plans d’action d’amélioration.
• Le cas échéant, les actions d'amélioration peuvent s'appliquer à d'autres projets en cours ou à venir.</v>
      </c>
      <c r="L112" s="68"/>
      <c r="M112" s="87"/>
      <c r="N112" s="87"/>
      <c r="O112" s="68"/>
      <c r="P112" s="298"/>
    </row>
    <row r="113" spans="1:16" ht="130.05000000000001" hidden="1" customHeight="1" x14ac:dyDescent="0.3">
      <c r="A113" s="298"/>
      <c r="B113" s="68"/>
      <c r="C113" s="68" t="str">
        <f t="shared" si="3"/>
        <v>8</v>
      </c>
      <c r="D113" s="68">
        <f t="shared" si="8"/>
        <v>7</v>
      </c>
      <c r="E113" s="84" t="str">
        <f t="shared" si="7"/>
        <v>874</v>
      </c>
      <c r="F113" s="64" t="s">
        <v>32</v>
      </c>
      <c r="G113" s="65" t="str">
        <f>IFERROR(IF(VLOOKUP($E113,BDD!$A$1:$S$567,MATCH(G$10,BDD!$A$1:$P$1,0),FALSE)=0,"",VLOOKUP($E113,BDD!$A$1:$S$567,MATCH(G$10,BDD!$A$1:$P$1,0),FALSE)),"")</f>
        <v/>
      </c>
      <c r="H113" s="88" t="str">
        <f>IF(VLOOKUP(E113,BDD!$A$1:$S$567,15,FALSE)=0,"Critère non évalué","")</f>
        <v>Critère non évalué</v>
      </c>
      <c r="I113" s="64" t="str">
        <f>IFERROR(IF(VLOOKUP($E113,BDD!$A$1:$S$567,MATCH(I$10,BDD!$A$1:$P$1,0),FALSE)=0,"",VLOOKUP($E113,BDD!$A$1:$S$567,MATCH(I$10,BDD!$A$1:$P$1,0),FALSE)),"")</f>
        <v xml:space="preserve"> </v>
      </c>
      <c r="J113" s="91"/>
      <c r="K113" s="65" t="str">
        <f>IFERROR(IF(VLOOKUP($E113,BDD!$A$1:$S$567,MATCH(K$10,BDD!$A$1:$P$1,0),FALSE)=0,"",VLOOKUP($E113,BDD!$A$1:$S$567,MATCH(K$10,BDD!$A$1:$P$1,0),FALSE)),"")</f>
        <v/>
      </c>
      <c r="L113" s="68"/>
      <c r="M113" s="90"/>
      <c r="N113" s="90"/>
      <c r="O113" s="68"/>
      <c r="P113" s="298"/>
    </row>
    <row r="114" spans="1:16" ht="130.05000000000001" hidden="1" customHeight="1" x14ac:dyDescent="0.3">
      <c r="A114" s="298"/>
      <c r="B114" s="68"/>
      <c r="C114" s="68" t="str">
        <f t="shared" si="3"/>
        <v>8</v>
      </c>
      <c r="D114" s="68">
        <f t="shared" si="8"/>
        <v>7</v>
      </c>
      <c r="E114" s="84" t="str">
        <f t="shared" si="7"/>
        <v>875</v>
      </c>
      <c r="F114" s="66" t="s">
        <v>33</v>
      </c>
      <c r="G114" s="67" t="str">
        <f>IFERROR(IF(VLOOKUP($E114,BDD!$A$1:$S$567,MATCH(G$10,BDD!$A$1:$P$1,0),FALSE)=0,"",VLOOKUP($E114,BDD!$A$1:$S$567,MATCH(G$10,BDD!$A$1:$P$1,0),FALSE)),"")</f>
        <v/>
      </c>
      <c r="H114" s="85" t="str">
        <f>IF(VLOOKUP(E114,BDD!$A$1:$S$567,15,FALSE)=0,"Critère non évalué","")</f>
        <v>Critère non évalué</v>
      </c>
      <c r="I114" s="66" t="str">
        <f>IFERROR(IF(VLOOKUP($E114,BDD!$A$1:$S$567,MATCH(I$10,BDD!$A$1:$P$1,0),FALSE)=0,"",VLOOKUP($E114,BDD!$A$1:$S$567,MATCH(I$10,BDD!$A$1:$P$1,0),FALSE)),"")</f>
        <v xml:space="preserve"> </v>
      </c>
      <c r="J114" s="86"/>
      <c r="K114" s="67" t="str">
        <f>IFERROR(IF(VLOOKUP($E114,BDD!$A$1:$S$567,MATCH(K$10,BDD!$A$1:$P$1,0),FALSE)=0,"",VLOOKUP($E114,BDD!$A$1:$S$567,MATCH(K$10,BDD!$A$1:$P$1,0),FALSE)),"")</f>
        <v/>
      </c>
      <c r="L114" s="68"/>
      <c r="M114" s="82"/>
      <c r="N114" s="82"/>
      <c r="O114" s="68"/>
      <c r="P114" s="298"/>
    </row>
    <row r="115" spans="1:16" ht="130.05000000000001" hidden="1" customHeight="1" x14ac:dyDescent="0.3">
      <c r="A115" s="298"/>
      <c r="B115" s="68"/>
      <c r="C115" s="68" t="str">
        <f t="shared" si="3"/>
        <v>8</v>
      </c>
      <c r="D115" s="68">
        <f t="shared" si="8"/>
        <v>7</v>
      </c>
      <c r="E115" s="84" t="str">
        <f t="shared" si="7"/>
        <v>876</v>
      </c>
      <c r="F115" s="64" t="s">
        <v>34</v>
      </c>
      <c r="G115" s="65" t="str">
        <f>IFERROR(IF(VLOOKUP($E115,BDD!$A$1:$S$567,MATCH(G$10,BDD!$A$1:$P$1,0),FALSE)=0,"",VLOOKUP($E115,BDD!$A$1:$S$567,MATCH(G$10,BDD!$A$1:$P$1,0),FALSE)),"")</f>
        <v/>
      </c>
      <c r="H115" s="88" t="str">
        <f>IF(VLOOKUP(E115,BDD!$A$1:$S$567,15,FALSE)=0,"Critère non évalué","")</f>
        <v>Critère non évalué</v>
      </c>
      <c r="I115" s="64" t="str">
        <f>IFERROR(IF(VLOOKUP($E115,BDD!$A$1:$S$567,MATCH(I$10,BDD!$A$1:$P$1,0),FALSE)=0,"",VLOOKUP($E115,BDD!$A$1:$S$567,MATCH(I$10,BDD!$A$1:$P$1,0),FALSE)),"")</f>
        <v xml:space="preserve"> </v>
      </c>
      <c r="J115" s="91"/>
      <c r="K115" s="65" t="str">
        <f>IFERROR(IF(VLOOKUP($E115,BDD!$A$1:$S$567,MATCH(K$10,BDD!$A$1:$P$1,0),FALSE)=0,"",VLOOKUP($E115,BDD!$A$1:$S$567,MATCH(K$10,BDD!$A$1:$P$1,0),FALSE)),"")</f>
        <v/>
      </c>
      <c r="L115" s="68"/>
      <c r="M115" s="90"/>
      <c r="N115" s="90"/>
      <c r="O115" s="68"/>
      <c r="P115" s="298"/>
    </row>
    <row r="116" spans="1:16" ht="130.05000000000001" hidden="1" customHeight="1" x14ac:dyDescent="0.3">
      <c r="A116" s="298"/>
      <c r="B116" s="68"/>
      <c r="C116" s="68" t="str">
        <f t="shared" ref="C116" si="9">RIGHT($B$1,1)</f>
        <v>8</v>
      </c>
      <c r="D116" s="68">
        <f t="shared" si="8"/>
        <v>7</v>
      </c>
      <c r="E116" s="84" t="str">
        <f t="shared" si="7"/>
        <v>877</v>
      </c>
      <c r="F116" s="66" t="s">
        <v>36</v>
      </c>
      <c r="G116" s="67" t="str">
        <f>IFERROR(IF(VLOOKUP($E116,BDD!$A$1:$S$567,MATCH(G$10,BDD!$A$1:$P$1,0),FALSE)=0,"",VLOOKUP($E116,BDD!$A$1:$S$567,MATCH(G$10,BDD!$A$1:$P$1,0),FALSE)),"")</f>
        <v/>
      </c>
      <c r="H116" s="85" t="str">
        <f>IF(VLOOKUP(E116,BDD!$A$1:$S$567,15,FALSE)=0,"Critère non évalué","")</f>
        <v>Critère non évalué</v>
      </c>
      <c r="I116" s="66" t="str">
        <f>IFERROR(IF(VLOOKUP($E116,BDD!$A$1:$S$567,MATCH(I$10,BDD!$A$1:$P$1,0),FALSE)=0,"",VLOOKUP($E116,BDD!$A$1:$S$567,MATCH(I$10,BDD!$A$1:$P$1,0),FALSE)),"")</f>
        <v xml:space="preserve"> </v>
      </c>
      <c r="J116" s="86"/>
      <c r="K116" s="67" t="str">
        <f>IFERROR(IF(VLOOKUP($E116,BDD!$A$1:$S$567,MATCH(K$10,BDD!$A$1:$P$1,0),FALSE)=0,"",VLOOKUP($E116,BDD!$A$1:$S$567,MATCH(K$10,BDD!$A$1:$P$1,0),FALSE)),"")</f>
        <v/>
      </c>
      <c r="L116" s="68"/>
      <c r="M116" s="82"/>
      <c r="N116" s="82"/>
      <c r="O116" s="68"/>
      <c r="P116" s="298"/>
    </row>
    <row r="117" spans="1:16" x14ac:dyDescent="0.3">
      <c r="A117" s="298"/>
      <c r="B117" s="68"/>
      <c r="C117" s="68"/>
      <c r="D117" s="68"/>
      <c r="E117" s="68"/>
      <c r="F117" s="68"/>
      <c r="G117" s="68"/>
      <c r="H117" s="68"/>
      <c r="I117" s="68"/>
      <c r="J117" s="68"/>
      <c r="K117" s="68"/>
      <c r="L117" s="68"/>
      <c r="M117" s="68"/>
      <c r="N117" s="68"/>
      <c r="O117" s="68"/>
      <c r="P117" s="298"/>
    </row>
    <row r="118" spans="1:16" x14ac:dyDescent="0.3">
      <c r="A118" s="298" t="s">
        <v>164</v>
      </c>
      <c r="B118" s="298"/>
      <c r="C118" s="298"/>
      <c r="D118" s="298"/>
      <c r="E118" s="298"/>
      <c r="F118" s="298"/>
      <c r="G118" s="298"/>
      <c r="H118" s="298"/>
      <c r="I118" s="298"/>
      <c r="J118" s="298"/>
      <c r="K118" s="298"/>
      <c r="L118" s="298"/>
      <c r="M118" s="298"/>
      <c r="N118" s="298"/>
      <c r="O118" s="298"/>
      <c r="P118" s="298" t="s">
        <v>164</v>
      </c>
    </row>
  </sheetData>
  <sheetProtection algorithmName="SHA-512" hashValue="6NkcXmkaeNCECWnwka2GFhRtCk7uZEKCTU/ocfcPRj0T3rFqd4i3aug9XJUSPbYBfQ8ZCIBbbBAZN0uz9lvZ3A==" saltValue="COKrGjgPC9cLBUMPwtw1SQ=="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13338E51-6375-4B83-A9C5-C2DBCAE39800}"/>
    <hyperlink ref="F29" location="V2Quest!A1" display="(Cf. Vecteur 2 - Innovation)" xr:uid="{5ED4092D-2F3F-411F-8029-67B76E455E1A}"/>
    <hyperlink ref="F45" location="V2Quest!A1" display="(Cf. Vecteur 2 - Innovation)" xr:uid="{1B8361C5-3F15-4EEA-85F6-9B927DC40393}"/>
    <hyperlink ref="F61" location="V2Quest!A1" display="(Cf. Vecteur 2 - Innovation)" xr:uid="{835B1892-58B5-4624-88F1-7412FE662459}"/>
    <hyperlink ref="F79" location="V2Quest!A1" display="(Cf. Vecteur 2 - Innovation)" xr:uid="{A6511431-E0D5-459A-81E1-AFCCB3A79197}"/>
    <hyperlink ref="F95" location="V2Quest!A1" display="(Cf. Vecteur 2 - Innovation)" xr:uid="{BA954ACC-FA00-4474-8495-DDD8F291D792}"/>
    <hyperlink ref="F111" location="V2Quest!A1" display="(Cf. Vecteur 2 - Innovation)" xr:uid="{5F828100-C439-4CAD-8E4A-83E29AA2B9AE}"/>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4257"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224258"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224259" r:id="rId5" name="Option Button 3">
              <controlPr defaultSize="0" autoFill="0" autoLine="0" autoPict="0">
                <anchor moveWithCells="1">
                  <from>
                    <xdr:col>7</xdr:col>
                    <xdr:colOff>114300</xdr:colOff>
                    <xdr:row>12</xdr:row>
                    <xdr:rowOff>640080</xdr:rowOff>
                  </from>
                  <to>
                    <xdr:col>7</xdr:col>
                    <xdr:colOff>1950720</xdr:colOff>
                    <xdr:row>12</xdr:row>
                    <xdr:rowOff>830580</xdr:rowOff>
                  </to>
                </anchor>
              </controlPr>
            </control>
          </mc:Choice>
        </mc:AlternateContent>
        <mc:AlternateContent xmlns:mc="http://schemas.openxmlformats.org/markup-compatibility/2006">
          <mc:Choice Requires="x14">
            <control shapeId="224260"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224261"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224263"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224264"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224265" r:id="rId10" name="Option Button 9">
              <controlPr defaultSize="0" autoFill="0" autoLine="0" autoPict="0">
                <anchor moveWithCells="1">
                  <from>
                    <xdr:col>7</xdr:col>
                    <xdr:colOff>106680</xdr:colOff>
                    <xdr:row>11</xdr:row>
                    <xdr:rowOff>304800</xdr:rowOff>
                  </from>
                  <to>
                    <xdr:col>7</xdr:col>
                    <xdr:colOff>1958340</xdr:colOff>
                    <xdr:row>11</xdr:row>
                    <xdr:rowOff>502920</xdr:rowOff>
                  </to>
                </anchor>
              </controlPr>
            </control>
          </mc:Choice>
        </mc:AlternateContent>
        <mc:AlternateContent xmlns:mc="http://schemas.openxmlformats.org/markup-compatibility/2006">
          <mc:Choice Requires="x14">
            <control shapeId="224266"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224267"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224293" r:id="rId13"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224294" r:id="rId14"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224295" r:id="rId15"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224296" r:id="rId16"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224297" r:id="rId17"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224304" r:id="rId18"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224305" r:id="rId19"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224306" r:id="rId20"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224307" r:id="rId21"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224308" r:id="rId22"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224309" r:id="rId23" name="Option Button 53">
              <controlPr defaultSize="0" autoFill="0" autoLine="0" autoPict="0">
                <anchor moveWithCells="1">
                  <from>
                    <xdr:col>7</xdr:col>
                    <xdr:colOff>114300</xdr:colOff>
                    <xdr:row>31</xdr:row>
                    <xdr:rowOff>144780</xdr:rowOff>
                  </from>
                  <to>
                    <xdr:col>7</xdr:col>
                    <xdr:colOff>1950720</xdr:colOff>
                    <xdr:row>31</xdr:row>
                    <xdr:rowOff>320040</xdr:rowOff>
                  </to>
                </anchor>
              </controlPr>
            </control>
          </mc:Choice>
        </mc:AlternateContent>
        <mc:AlternateContent xmlns:mc="http://schemas.openxmlformats.org/markup-compatibility/2006">
          <mc:Choice Requires="x14">
            <control shapeId="224310" r:id="rId24" name="Option Button 54">
              <controlPr defaultSize="0" autoFill="0" autoLine="0" autoPict="0">
                <anchor moveWithCells="1">
                  <from>
                    <xdr:col>7</xdr:col>
                    <xdr:colOff>114300</xdr:colOff>
                    <xdr:row>31</xdr:row>
                    <xdr:rowOff>396240</xdr:rowOff>
                  </from>
                  <to>
                    <xdr:col>7</xdr:col>
                    <xdr:colOff>1950720</xdr:colOff>
                    <xdr:row>31</xdr:row>
                    <xdr:rowOff>586740</xdr:rowOff>
                  </to>
                </anchor>
              </controlPr>
            </control>
          </mc:Choice>
        </mc:AlternateContent>
        <mc:AlternateContent xmlns:mc="http://schemas.openxmlformats.org/markup-compatibility/2006">
          <mc:Choice Requires="x14">
            <control shapeId="224311" r:id="rId25" name="Option Button 55">
              <controlPr defaultSize="0" autoFill="0" autoLine="0" autoPict="0">
                <anchor moveWithCells="1">
                  <from>
                    <xdr:col>7</xdr:col>
                    <xdr:colOff>114300</xdr:colOff>
                    <xdr:row>31</xdr:row>
                    <xdr:rowOff>640080</xdr:rowOff>
                  </from>
                  <to>
                    <xdr:col>7</xdr:col>
                    <xdr:colOff>1950720</xdr:colOff>
                    <xdr:row>31</xdr:row>
                    <xdr:rowOff>830580</xdr:rowOff>
                  </to>
                </anchor>
              </controlPr>
            </control>
          </mc:Choice>
        </mc:AlternateContent>
        <mc:AlternateContent xmlns:mc="http://schemas.openxmlformats.org/markup-compatibility/2006">
          <mc:Choice Requires="x14">
            <control shapeId="224312" r:id="rId26" name="Option Button 56">
              <controlPr defaultSize="0" autoFill="0" autoLine="0" autoPict="0">
                <anchor moveWithCells="1">
                  <from>
                    <xdr:col>7</xdr:col>
                    <xdr:colOff>114300</xdr:colOff>
                    <xdr:row>31</xdr:row>
                    <xdr:rowOff>922020</xdr:rowOff>
                  </from>
                  <to>
                    <xdr:col>7</xdr:col>
                    <xdr:colOff>1950720</xdr:colOff>
                    <xdr:row>31</xdr:row>
                    <xdr:rowOff>1112520</xdr:rowOff>
                  </to>
                </anchor>
              </controlPr>
            </control>
          </mc:Choice>
        </mc:AlternateContent>
        <mc:AlternateContent xmlns:mc="http://schemas.openxmlformats.org/markup-compatibility/2006">
          <mc:Choice Requires="x14">
            <control shapeId="224313" r:id="rId27"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224314" r:id="rId28"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224315" r:id="rId29" name="Option Button 59">
              <controlPr defaultSize="0" autoFill="0" autoLine="0" autoPict="0">
                <anchor moveWithCells="1">
                  <from>
                    <xdr:col>7</xdr:col>
                    <xdr:colOff>106680</xdr:colOff>
                    <xdr:row>30</xdr:row>
                    <xdr:rowOff>304800</xdr:rowOff>
                  </from>
                  <to>
                    <xdr:col>7</xdr:col>
                    <xdr:colOff>1950720</xdr:colOff>
                    <xdr:row>30</xdr:row>
                    <xdr:rowOff>502920</xdr:rowOff>
                  </to>
                </anchor>
              </controlPr>
            </control>
          </mc:Choice>
        </mc:AlternateContent>
        <mc:AlternateContent xmlns:mc="http://schemas.openxmlformats.org/markup-compatibility/2006">
          <mc:Choice Requires="x14">
            <control shapeId="224316" r:id="rId30" name="Option Button 60">
              <controlPr defaultSize="0" autoFill="0" autoLine="0" autoPict="0">
                <anchor moveWithCells="1">
                  <from>
                    <xdr:col>7</xdr:col>
                    <xdr:colOff>106680</xdr:colOff>
                    <xdr:row>30</xdr:row>
                    <xdr:rowOff>579120</xdr:rowOff>
                  </from>
                  <to>
                    <xdr:col>7</xdr:col>
                    <xdr:colOff>1958340</xdr:colOff>
                    <xdr:row>30</xdr:row>
                    <xdr:rowOff>754380</xdr:rowOff>
                  </to>
                </anchor>
              </controlPr>
            </control>
          </mc:Choice>
        </mc:AlternateContent>
        <mc:AlternateContent xmlns:mc="http://schemas.openxmlformats.org/markup-compatibility/2006">
          <mc:Choice Requires="x14">
            <control shapeId="224317" r:id="rId31" name="Option Button 61">
              <controlPr defaultSize="0" autoFill="0" autoLine="0" autoPict="0">
                <anchor moveWithCells="1">
                  <from>
                    <xdr:col>7</xdr:col>
                    <xdr:colOff>106680</xdr:colOff>
                    <xdr:row>30</xdr:row>
                    <xdr:rowOff>822960</xdr:rowOff>
                  </from>
                  <to>
                    <xdr:col>7</xdr:col>
                    <xdr:colOff>937260</xdr:colOff>
                    <xdr:row>30</xdr:row>
                    <xdr:rowOff>1005840</xdr:rowOff>
                  </to>
                </anchor>
              </controlPr>
            </control>
          </mc:Choice>
        </mc:AlternateContent>
        <mc:AlternateContent xmlns:mc="http://schemas.openxmlformats.org/markup-compatibility/2006">
          <mc:Choice Requires="x14">
            <control shapeId="224318" r:id="rId32" name="Group Box 62">
              <controlPr defaultSize="0" autoFill="0" autoPict="0">
                <anchor moveWithCells="1">
                  <from>
                    <xdr:col>7</xdr:col>
                    <xdr:colOff>0</xdr:colOff>
                    <xdr:row>30</xdr:row>
                    <xdr:rowOff>0</xdr:rowOff>
                  </from>
                  <to>
                    <xdr:col>7</xdr:col>
                    <xdr:colOff>1958340</xdr:colOff>
                    <xdr:row>31</xdr:row>
                    <xdr:rowOff>0</xdr:rowOff>
                  </to>
                </anchor>
              </controlPr>
            </control>
          </mc:Choice>
        </mc:AlternateContent>
        <mc:AlternateContent xmlns:mc="http://schemas.openxmlformats.org/markup-compatibility/2006">
          <mc:Choice Requires="x14">
            <control shapeId="224319" r:id="rId33"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224320" r:id="rId34"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224321" r:id="rId35"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224322" r:id="rId36"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224323" r:id="rId37"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224324" r:id="rId38"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224325" r:id="rId39"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224326" r:id="rId40"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224327" r:id="rId41"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224328" r:id="rId42"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224329" r:id="rId43" name="Option Button 73">
              <controlPr defaultSize="0" autoFill="0" autoLine="0" autoPict="0">
                <anchor moveWithCells="1">
                  <from>
                    <xdr:col>7</xdr:col>
                    <xdr:colOff>114300</xdr:colOff>
                    <xdr:row>44</xdr:row>
                    <xdr:rowOff>167640</xdr:rowOff>
                  </from>
                  <to>
                    <xdr:col>7</xdr:col>
                    <xdr:colOff>1950720</xdr:colOff>
                    <xdr:row>44</xdr:row>
                    <xdr:rowOff>373380</xdr:rowOff>
                  </to>
                </anchor>
              </controlPr>
            </control>
          </mc:Choice>
        </mc:AlternateContent>
        <mc:AlternateContent xmlns:mc="http://schemas.openxmlformats.org/markup-compatibility/2006">
          <mc:Choice Requires="x14">
            <control shapeId="224330" r:id="rId44" name="Option Button 74">
              <controlPr defaultSize="0" autoFill="0" autoLine="0" autoPict="0">
                <anchor moveWithCells="1">
                  <from>
                    <xdr:col>7</xdr:col>
                    <xdr:colOff>114300</xdr:colOff>
                    <xdr:row>44</xdr:row>
                    <xdr:rowOff>457200</xdr:rowOff>
                  </from>
                  <to>
                    <xdr:col>7</xdr:col>
                    <xdr:colOff>1950720</xdr:colOff>
                    <xdr:row>44</xdr:row>
                    <xdr:rowOff>678180</xdr:rowOff>
                  </to>
                </anchor>
              </controlPr>
            </control>
          </mc:Choice>
        </mc:AlternateContent>
        <mc:AlternateContent xmlns:mc="http://schemas.openxmlformats.org/markup-compatibility/2006">
          <mc:Choice Requires="x14">
            <control shapeId="224331" r:id="rId45" name="Option Button 75">
              <controlPr defaultSize="0" autoFill="0" autoLine="0" autoPict="0">
                <anchor moveWithCells="1">
                  <from>
                    <xdr:col>7</xdr:col>
                    <xdr:colOff>114300</xdr:colOff>
                    <xdr:row>44</xdr:row>
                    <xdr:rowOff>746760</xdr:rowOff>
                  </from>
                  <to>
                    <xdr:col>7</xdr:col>
                    <xdr:colOff>1950720</xdr:colOff>
                    <xdr:row>44</xdr:row>
                    <xdr:rowOff>967740</xdr:rowOff>
                  </to>
                </anchor>
              </controlPr>
            </control>
          </mc:Choice>
        </mc:AlternateContent>
        <mc:AlternateContent xmlns:mc="http://schemas.openxmlformats.org/markup-compatibility/2006">
          <mc:Choice Requires="x14">
            <control shapeId="224332" r:id="rId46" name="Option Button 76">
              <controlPr defaultSize="0" autoFill="0" autoLine="0" autoPict="0">
                <anchor moveWithCells="1">
                  <from>
                    <xdr:col>7</xdr:col>
                    <xdr:colOff>114300</xdr:colOff>
                    <xdr:row>44</xdr:row>
                    <xdr:rowOff>1074420</xdr:rowOff>
                  </from>
                  <to>
                    <xdr:col>7</xdr:col>
                    <xdr:colOff>1950720</xdr:colOff>
                    <xdr:row>44</xdr:row>
                    <xdr:rowOff>1295400</xdr:rowOff>
                  </to>
                </anchor>
              </controlPr>
            </control>
          </mc:Choice>
        </mc:AlternateContent>
        <mc:AlternateContent xmlns:mc="http://schemas.openxmlformats.org/markup-compatibility/2006">
          <mc:Choice Requires="x14">
            <control shapeId="224333" r:id="rId47"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224334" r:id="rId48"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224335" r:id="rId49" name="Option Button 79">
              <controlPr defaultSize="0" autoFill="0" autoLine="0" autoPict="0">
                <anchor moveWithCells="1">
                  <from>
                    <xdr:col>7</xdr:col>
                    <xdr:colOff>106680</xdr:colOff>
                    <xdr:row>46</xdr:row>
                    <xdr:rowOff>281940</xdr:rowOff>
                  </from>
                  <to>
                    <xdr:col>7</xdr:col>
                    <xdr:colOff>1950720</xdr:colOff>
                    <xdr:row>46</xdr:row>
                    <xdr:rowOff>464820</xdr:rowOff>
                  </to>
                </anchor>
              </controlPr>
            </control>
          </mc:Choice>
        </mc:AlternateContent>
        <mc:AlternateContent xmlns:mc="http://schemas.openxmlformats.org/markup-compatibility/2006">
          <mc:Choice Requires="x14">
            <control shapeId="224336" r:id="rId50" name="Option Button 80">
              <controlPr defaultSize="0" autoFill="0" autoLine="0" autoPict="0">
                <anchor moveWithCells="1">
                  <from>
                    <xdr:col>7</xdr:col>
                    <xdr:colOff>106680</xdr:colOff>
                    <xdr:row>46</xdr:row>
                    <xdr:rowOff>533400</xdr:rowOff>
                  </from>
                  <to>
                    <xdr:col>7</xdr:col>
                    <xdr:colOff>1958340</xdr:colOff>
                    <xdr:row>46</xdr:row>
                    <xdr:rowOff>693420</xdr:rowOff>
                  </to>
                </anchor>
              </controlPr>
            </control>
          </mc:Choice>
        </mc:AlternateContent>
        <mc:AlternateContent xmlns:mc="http://schemas.openxmlformats.org/markup-compatibility/2006">
          <mc:Choice Requires="x14">
            <control shapeId="224337" r:id="rId51"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224338" r:id="rId52"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224339" r:id="rId53"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224340" r:id="rId54"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224341" r:id="rId55"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224342" r:id="rId56"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224343" r:id="rId57"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224344" r:id="rId58"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224345" r:id="rId59"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224346" r:id="rId60"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224347" r:id="rId61"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224348" r:id="rId62"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224349" r:id="rId63"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224350" r:id="rId64"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224351" r:id="rId65"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224352" r:id="rId66"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224353" r:id="rId67"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224360" r:id="rId68"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224361" r:id="rId69"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224362" r:id="rId70"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224363" r:id="rId71"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224364" r:id="rId72"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224365" r:id="rId73"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224366" r:id="rId74"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224367" r:id="rId75"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224368" r:id="rId76"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224369" r:id="rId77"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224375" r:id="rId78"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224376" r:id="rId79"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224377" r:id="rId80"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224378" r:id="rId81"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224379" r:id="rId82"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224380" r:id="rId83"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224381" r:id="rId84"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224382" r:id="rId85"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224383" r:id="rId86"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224384" r:id="rId87"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224385" r:id="rId88" name="Option Button 129">
              <controlPr defaultSize="0" autoFill="0" autoLine="0" autoPict="0">
                <anchor moveWithCells="1">
                  <from>
                    <xdr:col>7</xdr:col>
                    <xdr:colOff>114300</xdr:colOff>
                    <xdr:row>81</xdr:row>
                    <xdr:rowOff>144780</xdr:rowOff>
                  </from>
                  <to>
                    <xdr:col>7</xdr:col>
                    <xdr:colOff>1950720</xdr:colOff>
                    <xdr:row>81</xdr:row>
                    <xdr:rowOff>320040</xdr:rowOff>
                  </to>
                </anchor>
              </controlPr>
            </control>
          </mc:Choice>
        </mc:AlternateContent>
        <mc:AlternateContent xmlns:mc="http://schemas.openxmlformats.org/markup-compatibility/2006">
          <mc:Choice Requires="x14">
            <control shapeId="224386" r:id="rId89" name="Option Button 130">
              <controlPr defaultSize="0" autoFill="0" autoLine="0" autoPict="0">
                <anchor moveWithCells="1">
                  <from>
                    <xdr:col>7</xdr:col>
                    <xdr:colOff>114300</xdr:colOff>
                    <xdr:row>81</xdr:row>
                    <xdr:rowOff>396240</xdr:rowOff>
                  </from>
                  <to>
                    <xdr:col>7</xdr:col>
                    <xdr:colOff>1950720</xdr:colOff>
                    <xdr:row>81</xdr:row>
                    <xdr:rowOff>586740</xdr:rowOff>
                  </to>
                </anchor>
              </controlPr>
            </control>
          </mc:Choice>
        </mc:AlternateContent>
        <mc:AlternateContent xmlns:mc="http://schemas.openxmlformats.org/markup-compatibility/2006">
          <mc:Choice Requires="x14">
            <control shapeId="224387" r:id="rId90" name="Option Button 131">
              <controlPr defaultSize="0" autoFill="0" autoLine="0" autoPict="0">
                <anchor moveWithCells="1">
                  <from>
                    <xdr:col>7</xdr:col>
                    <xdr:colOff>114300</xdr:colOff>
                    <xdr:row>81</xdr:row>
                    <xdr:rowOff>640080</xdr:rowOff>
                  </from>
                  <to>
                    <xdr:col>7</xdr:col>
                    <xdr:colOff>1950720</xdr:colOff>
                    <xdr:row>81</xdr:row>
                    <xdr:rowOff>830580</xdr:rowOff>
                  </to>
                </anchor>
              </controlPr>
            </control>
          </mc:Choice>
        </mc:AlternateContent>
        <mc:AlternateContent xmlns:mc="http://schemas.openxmlformats.org/markup-compatibility/2006">
          <mc:Choice Requires="x14">
            <control shapeId="224388" r:id="rId91" name="Option Button 132">
              <controlPr defaultSize="0" autoFill="0" autoLine="0" autoPict="0">
                <anchor moveWithCells="1">
                  <from>
                    <xdr:col>7</xdr:col>
                    <xdr:colOff>114300</xdr:colOff>
                    <xdr:row>81</xdr:row>
                    <xdr:rowOff>922020</xdr:rowOff>
                  </from>
                  <to>
                    <xdr:col>7</xdr:col>
                    <xdr:colOff>1950720</xdr:colOff>
                    <xdr:row>81</xdr:row>
                    <xdr:rowOff>1112520</xdr:rowOff>
                  </to>
                </anchor>
              </controlPr>
            </control>
          </mc:Choice>
        </mc:AlternateContent>
        <mc:AlternateContent xmlns:mc="http://schemas.openxmlformats.org/markup-compatibility/2006">
          <mc:Choice Requires="x14">
            <control shapeId="224389" r:id="rId92"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224390" r:id="rId93" name="Option Button 134">
              <controlPr defaultSize="0" autoFill="0" autoLine="0" autoPict="0" altText="Case d'option 47">
                <anchor moveWithCells="1">
                  <from>
                    <xdr:col>7</xdr:col>
                    <xdr:colOff>106680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224391" r:id="rId94"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224392" r:id="rId95" name="Option Button 136">
              <controlPr defaultSize="0" autoFill="0" autoLine="0" autoPict="0">
                <anchor moveWithCells="1">
                  <from>
                    <xdr:col>7</xdr:col>
                    <xdr:colOff>106680</xdr:colOff>
                    <xdr:row>80</xdr:row>
                    <xdr:rowOff>579120</xdr:rowOff>
                  </from>
                  <to>
                    <xdr:col>7</xdr:col>
                    <xdr:colOff>1958340</xdr:colOff>
                    <xdr:row>80</xdr:row>
                    <xdr:rowOff>754380</xdr:rowOff>
                  </to>
                </anchor>
              </controlPr>
            </control>
          </mc:Choice>
        </mc:AlternateContent>
        <mc:AlternateContent xmlns:mc="http://schemas.openxmlformats.org/markup-compatibility/2006">
          <mc:Choice Requires="x14">
            <control shapeId="224393" r:id="rId96"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224394" r:id="rId97"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224395" r:id="rId98"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224396" r:id="rId99"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224397" r:id="rId100"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224398" r:id="rId101"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224399" r:id="rId102"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224400" r:id="rId103"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11" r:id="rId104"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224402" r:id="rId105"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224403" r:id="rId106"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224404" r:id="rId107"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224405" r:id="rId108"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224411" r:id="rId109"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224412" r:id="rId110" name="Option Button 156">
              <controlPr defaultSize="0" autoFill="0" autoLine="0" autoPict="0">
                <anchor moveWithCells="1">
                  <from>
                    <xdr:col>7</xdr:col>
                    <xdr:colOff>106680</xdr:colOff>
                    <xdr:row>47</xdr:row>
                    <xdr:rowOff>304800</xdr:rowOff>
                  </from>
                  <to>
                    <xdr:col>7</xdr:col>
                    <xdr:colOff>1950720</xdr:colOff>
                    <xdr:row>47</xdr:row>
                    <xdr:rowOff>502920</xdr:rowOff>
                  </to>
                </anchor>
              </controlPr>
            </control>
          </mc:Choice>
        </mc:AlternateContent>
        <mc:AlternateContent xmlns:mc="http://schemas.openxmlformats.org/markup-compatibility/2006">
          <mc:Choice Requires="x14">
            <control shapeId="224413" r:id="rId111" name="Option Button 157">
              <controlPr defaultSize="0" autoFill="0" autoLine="0" autoPict="0">
                <anchor moveWithCells="1">
                  <from>
                    <xdr:col>7</xdr:col>
                    <xdr:colOff>106680</xdr:colOff>
                    <xdr:row>47</xdr:row>
                    <xdr:rowOff>579120</xdr:rowOff>
                  </from>
                  <to>
                    <xdr:col>7</xdr:col>
                    <xdr:colOff>1958340</xdr:colOff>
                    <xdr:row>47</xdr:row>
                    <xdr:rowOff>754380</xdr:rowOff>
                  </to>
                </anchor>
              </controlPr>
            </control>
          </mc:Choice>
        </mc:AlternateContent>
        <mc:AlternateContent xmlns:mc="http://schemas.openxmlformats.org/markup-compatibility/2006">
          <mc:Choice Requires="x14">
            <control shapeId="224414" r:id="rId112"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12" r:id="rId113"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3" r:id="rId114" name="Option Button 175">
              <controlPr defaultSize="0" autoFill="0" autoLine="0" autoPict="0">
                <anchor moveWithCells="1">
                  <from>
                    <xdr:col>7</xdr:col>
                    <xdr:colOff>114300</xdr:colOff>
                    <xdr:row>94</xdr:row>
                    <xdr:rowOff>144780</xdr:rowOff>
                  </from>
                  <to>
                    <xdr:col>7</xdr:col>
                    <xdr:colOff>1950720</xdr:colOff>
                    <xdr:row>94</xdr:row>
                    <xdr:rowOff>320040</xdr:rowOff>
                  </to>
                </anchor>
              </controlPr>
            </control>
          </mc:Choice>
        </mc:AlternateContent>
        <mc:AlternateContent xmlns:mc="http://schemas.openxmlformats.org/markup-compatibility/2006">
          <mc:Choice Requires="x14">
            <control shapeId="224432" r:id="rId115" name="Option Button 176">
              <controlPr defaultSize="0" autoFill="0" autoLine="0" autoPict="0">
                <anchor moveWithCells="1">
                  <from>
                    <xdr:col>7</xdr:col>
                    <xdr:colOff>114300</xdr:colOff>
                    <xdr:row>94</xdr:row>
                    <xdr:rowOff>396240</xdr:rowOff>
                  </from>
                  <to>
                    <xdr:col>7</xdr:col>
                    <xdr:colOff>1950720</xdr:colOff>
                    <xdr:row>94</xdr:row>
                    <xdr:rowOff>586740</xdr:rowOff>
                  </to>
                </anchor>
              </controlPr>
            </control>
          </mc:Choice>
        </mc:AlternateContent>
        <mc:AlternateContent xmlns:mc="http://schemas.openxmlformats.org/markup-compatibility/2006">
          <mc:Choice Requires="x14">
            <control shapeId="224433" r:id="rId116" name="Option Button 177">
              <controlPr defaultSize="0" autoFill="0" autoLine="0" autoPict="0">
                <anchor moveWithCells="1">
                  <from>
                    <xdr:col>7</xdr:col>
                    <xdr:colOff>114300</xdr:colOff>
                    <xdr:row>94</xdr:row>
                    <xdr:rowOff>640080</xdr:rowOff>
                  </from>
                  <to>
                    <xdr:col>7</xdr:col>
                    <xdr:colOff>1950720</xdr:colOff>
                    <xdr:row>94</xdr:row>
                    <xdr:rowOff>830580</xdr:rowOff>
                  </to>
                </anchor>
              </controlPr>
            </control>
          </mc:Choice>
        </mc:AlternateContent>
        <mc:AlternateContent xmlns:mc="http://schemas.openxmlformats.org/markup-compatibility/2006">
          <mc:Choice Requires="x14">
            <control shapeId="224434" r:id="rId117" name="Option Button 178">
              <controlPr defaultSize="0" autoFill="0" autoLine="0" autoPict="0">
                <anchor moveWithCells="1">
                  <from>
                    <xdr:col>7</xdr:col>
                    <xdr:colOff>114300</xdr:colOff>
                    <xdr:row>94</xdr:row>
                    <xdr:rowOff>922020</xdr:rowOff>
                  </from>
                  <to>
                    <xdr:col>7</xdr:col>
                    <xdr:colOff>1950720</xdr:colOff>
                    <xdr:row>94</xdr:row>
                    <xdr:rowOff>1112520</xdr:rowOff>
                  </to>
                </anchor>
              </controlPr>
            </control>
          </mc:Choice>
        </mc:AlternateContent>
        <mc:AlternateContent xmlns:mc="http://schemas.openxmlformats.org/markup-compatibility/2006">
          <mc:Choice Requires="x14">
            <control shapeId="224435" r:id="rId118"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224436" r:id="rId119"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224437" r:id="rId120" name="Option Button 181">
              <controlPr defaultSize="0" autoFill="0" autoLine="0" autoPict="0">
                <anchor moveWithCells="1">
                  <from>
                    <xdr:col>7</xdr:col>
                    <xdr:colOff>106680</xdr:colOff>
                    <xdr:row>93</xdr:row>
                    <xdr:rowOff>304800</xdr:rowOff>
                  </from>
                  <to>
                    <xdr:col>7</xdr:col>
                    <xdr:colOff>1950720</xdr:colOff>
                    <xdr:row>93</xdr:row>
                    <xdr:rowOff>502920</xdr:rowOff>
                  </to>
                </anchor>
              </controlPr>
            </control>
          </mc:Choice>
        </mc:AlternateContent>
        <mc:AlternateContent xmlns:mc="http://schemas.openxmlformats.org/markup-compatibility/2006">
          <mc:Choice Requires="x14">
            <control shapeId="224438" r:id="rId121"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224439" r:id="rId122"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224440" r:id="rId123"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224441" r:id="rId124" name="Option Button 185">
              <controlPr defaultSize="0" autoFill="0" autoLine="0" autoPict="0">
                <anchor moveWithCells="1">
                  <from>
                    <xdr:col>7</xdr:col>
                    <xdr:colOff>114300</xdr:colOff>
                    <xdr:row>97</xdr:row>
                    <xdr:rowOff>144780</xdr:rowOff>
                  </from>
                  <to>
                    <xdr:col>7</xdr:col>
                    <xdr:colOff>1950720</xdr:colOff>
                    <xdr:row>97</xdr:row>
                    <xdr:rowOff>320040</xdr:rowOff>
                  </to>
                </anchor>
              </controlPr>
            </control>
          </mc:Choice>
        </mc:AlternateContent>
        <mc:AlternateContent xmlns:mc="http://schemas.openxmlformats.org/markup-compatibility/2006">
          <mc:Choice Requires="x14">
            <control shapeId="224442" r:id="rId125" name="Option Button 186">
              <controlPr defaultSize="0" autoFill="0" autoLine="0" autoPict="0">
                <anchor moveWithCells="1">
                  <from>
                    <xdr:col>7</xdr:col>
                    <xdr:colOff>114300</xdr:colOff>
                    <xdr:row>97</xdr:row>
                    <xdr:rowOff>396240</xdr:rowOff>
                  </from>
                  <to>
                    <xdr:col>7</xdr:col>
                    <xdr:colOff>1950720</xdr:colOff>
                    <xdr:row>97</xdr:row>
                    <xdr:rowOff>586740</xdr:rowOff>
                  </to>
                </anchor>
              </controlPr>
            </control>
          </mc:Choice>
        </mc:AlternateContent>
        <mc:AlternateContent xmlns:mc="http://schemas.openxmlformats.org/markup-compatibility/2006">
          <mc:Choice Requires="x14">
            <control shapeId="224443" r:id="rId126" name="Option Button 187">
              <controlPr defaultSize="0" autoFill="0" autoLine="0" autoPict="0">
                <anchor moveWithCells="1">
                  <from>
                    <xdr:col>7</xdr:col>
                    <xdr:colOff>114300</xdr:colOff>
                    <xdr:row>97</xdr:row>
                    <xdr:rowOff>640080</xdr:rowOff>
                  </from>
                  <to>
                    <xdr:col>7</xdr:col>
                    <xdr:colOff>1950720</xdr:colOff>
                    <xdr:row>97</xdr:row>
                    <xdr:rowOff>830580</xdr:rowOff>
                  </to>
                </anchor>
              </controlPr>
            </control>
          </mc:Choice>
        </mc:AlternateContent>
        <mc:AlternateContent xmlns:mc="http://schemas.openxmlformats.org/markup-compatibility/2006">
          <mc:Choice Requires="x14">
            <control shapeId="14" r:id="rId127" name="Option Button 188">
              <controlPr defaultSize="0" autoFill="0" autoLine="0" autoPict="0">
                <anchor moveWithCells="1">
                  <from>
                    <xdr:col>7</xdr:col>
                    <xdr:colOff>114300</xdr:colOff>
                    <xdr:row>97</xdr:row>
                    <xdr:rowOff>922020</xdr:rowOff>
                  </from>
                  <to>
                    <xdr:col>7</xdr:col>
                    <xdr:colOff>1950720</xdr:colOff>
                    <xdr:row>97</xdr:row>
                    <xdr:rowOff>1112520</xdr:rowOff>
                  </to>
                </anchor>
              </controlPr>
            </control>
          </mc:Choice>
        </mc:AlternateContent>
        <mc:AlternateContent xmlns:mc="http://schemas.openxmlformats.org/markup-compatibility/2006">
          <mc:Choice Requires="x14">
            <control shapeId="15" r:id="rId128" name="Group Box 189">
              <controlPr defaultSize="0" autoFill="0" autoPict="0">
                <anchor moveWithCells="1">
                  <from>
                    <xdr:col>7</xdr:col>
                    <xdr:colOff>0</xdr:colOff>
                    <xdr:row>97</xdr:row>
                    <xdr:rowOff>0</xdr:rowOff>
                  </from>
                  <to>
                    <xdr:col>8</xdr:col>
                    <xdr:colOff>0</xdr:colOff>
                    <xdr:row>98</xdr:row>
                    <xdr:rowOff>0</xdr:rowOff>
                  </to>
                </anchor>
              </controlPr>
            </control>
          </mc:Choice>
        </mc:AlternateContent>
        <mc:AlternateContent xmlns:mc="http://schemas.openxmlformats.org/markup-compatibility/2006">
          <mc:Choice Requires="x14">
            <control shapeId="24" r:id="rId129" name="Option Button 190">
              <controlPr defaultSize="0" autoFill="0" autoLine="0" autoPict="0" altText="Case d'option 47">
                <anchor moveWithCells="1">
                  <from>
                    <xdr:col>7</xdr:col>
                    <xdr:colOff>106680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224447" r:id="rId130" name="Option Button 191">
              <controlPr defaultSize="0" autoFill="0" autoLine="0" autoPict="0">
                <anchor moveWithCells="1">
                  <from>
                    <xdr:col>7</xdr:col>
                    <xdr:colOff>106680</xdr:colOff>
                    <xdr:row>96</xdr:row>
                    <xdr:rowOff>304800</xdr:rowOff>
                  </from>
                  <to>
                    <xdr:col>7</xdr:col>
                    <xdr:colOff>1950720</xdr:colOff>
                    <xdr:row>96</xdr:row>
                    <xdr:rowOff>502920</xdr:rowOff>
                  </to>
                </anchor>
              </controlPr>
            </control>
          </mc:Choice>
        </mc:AlternateContent>
        <mc:AlternateContent xmlns:mc="http://schemas.openxmlformats.org/markup-compatibility/2006">
          <mc:Choice Requires="x14">
            <control shapeId="224448" r:id="rId131" name="Option Button 192">
              <controlPr defaultSize="0" autoFill="0" autoLine="0" autoPict="0">
                <anchor moveWithCells="1">
                  <from>
                    <xdr:col>7</xdr:col>
                    <xdr:colOff>106680</xdr:colOff>
                    <xdr:row>96</xdr:row>
                    <xdr:rowOff>579120</xdr:rowOff>
                  </from>
                  <to>
                    <xdr:col>7</xdr:col>
                    <xdr:colOff>1958340</xdr:colOff>
                    <xdr:row>96</xdr:row>
                    <xdr:rowOff>754380</xdr:rowOff>
                  </to>
                </anchor>
              </controlPr>
            </control>
          </mc:Choice>
        </mc:AlternateContent>
        <mc:AlternateContent xmlns:mc="http://schemas.openxmlformats.org/markup-compatibility/2006">
          <mc:Choice Requires="x14">
            <control shapeId="224449" r:id="rId132" name="Option Button 193">
              <controlPr defaultSize="0" autoFill="0" autoLine="0" autoPict="0">
                <anchor moveWithCells="1">
                  <from>
                    <xdr:col>7</xdr:col>
                    <xdr:colOff>106680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224450" r:id="rId133"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224451" r:id="rId134"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46" r:id="rId135" name="Option Button 196">
              <controlPr defaultSize="0" autoFill="0" autoLine="0" autoPict="0">
                <anchor moveWithCells="1">
                  <from>
                    <xdr:col>7</xdr:col>
                    <xdr:colOff>106680</xdr:colOff>
                    <xdr:row>95</xdr:row>
                    <xdr:rowOff>304800</xdr:rowOff>
                  </from>
                  <to>
                    <xdr:col>7</xdr:col>
                    <xdr:colOff>1950720</xdr:colOff>
                    <xdr:row>95</xdr:row>
                    <xdr:rowOff>502920</xdr:rowOff>
                  </to>
                </anchor>
              </controlPr>
            </control>
          </mc:Choice>
        </mc:AlternateContent>
        <mc:AlternateContent xmlns:mc="http://schemas.openxmlformats.org/markup-compatibility/2006">
          <mc:Choice Requires="x14">
            <control shapeId="224453" r:id="rId136"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224454" r:id="rId137"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224455" r:id="rId138"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224466" r:id="rId139" name="Option Button 210">
              <controlPr defaultSize="0" autoFill="0" autoLine="0" autoPict="0">
                <anchor moveWithCells="1">
                  <from>
                    <xdr:col>7</xdr:col>
                    <xdr:colOff>114300</xdr:colOff>
                    <xdr:row>110</xdr:row>
                    <xdr:rowOff>144780</xdr:rowOff>
                  </from>
                  <to>
                    <xdr:col>7</xdr:col>
                    <xdr:colOff>1950720</xdr:colOff>
                    <xdr:row>110</xdr:row>
                    <xdr:rowOff>320040</xdr:rowOff>
                  </to>
                </anchor>
              </controlPr>
            </control>
          </mc:Choice>
        </mc:AlternateContent>
        <mc:AlternateContent xmlns:mc="http://schemas.openxmlformats.org/markup-compatibility/2006">
          <mc:Choice Requires="x14">
            <control shapeId="49" r:id="rId140" name="Option Button 211">
              <controlPr defaultSize="0" autoFill="0" autoLine="0" autoPict="0">
                <anchor moveWithCells="1">
                  <from>
                    <xdr:col>7</xdr:col>
                    <xdr:colOff>114300</xdr:colOff>
                    <xdr:row>110</xdr:row>
                    <xdr:rowOff>396240</xdr:rowOff>
                  </from>
                  <to>
                    <xdr:col>7</xdr:col>
                    <xdr:colOff>1950720</xdr:colOff>
                    <xdr:row>110</xdr:row>
                    <xdr:rowOff>586740</xdr:rowOff>
                  </to>
                </anchor>
              </controlPr>
            </control>
          </mc:Choice>
        </mc:AlternateContent>
        <mc:AlternateContent xmlns:mc="http://schemas.openxmlformats.org/markup-compatibility/2006">
          <mc:Choice Requires="x14">
            <control shapeId="224468" r:id="rId141" name="Option Button 212">
              <controlPr defaultSize="0" autoFill="0" autoLine="0" autoPict="0">
                <anchor moveWithCells="1">
                  <from>
                    <xdr:col>7</xdr:col>
                    <xdr:colOff>114300</xdr:colOff>
                    <xdr:row>110</xdr:row>
                    <xdr:rowOff>640080</xdr:rowOff>
                  </from>
                  <to>
                    <xdr:col>7</xdr:col>
                    <xdr:colOff>1950720</xdr:colOff>
                    <xdr:row>110</xdr:row>
                    <xdr:rowOff>830580</xdr:rowOff>
                  </to>
                </anchor>
              </controlPr>
            </control>
          </mc:Choice>
        </mc:AlternateContent>
        <mc:AlternateContent xmlns:mc="http://schemas.openxmlformats.org/markup-compatibility/2006">
          <mc:Choice Requires="x14">
            <control shapeId="224469" r:id="rId142" name="Option Button 213">
              <controlPr defaultSize="0" autoFill="0" autoLine="0" autoPict="0">
                <anchor moveWithCells="1">
                  <from>
                    <xdr:col>7</xdr:col>
                    <xdr:colOff>114300</xdr:colOff>
                    <xdr:row>110</xdr:row>
                    <xdr:rowOff>922020</xdr:rowOff>
                  </from>
                  <to>
                    <xdr:col>7</xdr:col>
                    <xdr:colOff>1950720</xdr:colOff>
                    <xdr:row>110</xdr:row>
                    <xdr:rowOff>1112520</xdr:rowOff>
                  </to>
                </anchor>
              </controlPr>
            </control>
          </mc:Choice>
        </mc:AlternateContent>
        <mc:AlternateContent xmlns:mc="http://schemas.openxmlformats.org/markup-compatibility/2006">
          <mc:Choice Requires="x14">
            <control shapeId="224470" r:id="rId143" name="Group Box 214">
              <controlPr defaultSize="0" autoFill="0" autoPict="0">
                <anchor moveWithCells="1">
                  <from>
                    <xdr:col>7</xdr:col>
                    <xdr:colOff>0</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224471" r:id="rId144" name="Option Button 215">
              <controlPr defaultSize="0" autoFill="0" autoLine="0" autoPict="0" altText="Case d'option 47">
                <anchor moveWithCells="1">
                  <from>
                    <xdr:col>7</xdr:col>
                    <xdr:colOff>106680</xdr:colOff>
                    <xdr:row>109</xdr:row>
                    <xdr:rowOff>68580</xdr:rowOff>
                  </from>
                  <to>
                    <xdr:col>7</xdr:col>
                    <xdr:colOff>1501140</xdr:colOff>
                    <xdr:row>109</xdr:row>
                    <xdr:rowOff>259080</xdr:rowOff>
                  </to>
                </anchor>
              </controlPr>
            </control>
          </mc:Choice>
        </mc:AlternateContent>
        <mc:AlternateContent xmlns:mc="http://schemas.openxmlformats.org/markup-compatibility/2006">
          <mc:Choice Requires="x14">
            <control shapeId="224472" r:id="rId145" name="Option Button 216">
              <controlPr defaultSize="0" autoFill="0" autoLine="0" autoPict="0">
                <anchor moveWithCells="1">
                  <from>
                    <xdr:col>7</xdr:col>
                    <xdr:colOff>106680</xdr:colOff>
                    <xdr:row>109</xdr:row>
                    <xdr:rowOff>304800</xdr:rowOff>
                  </from>
                  <to>
                    <xdr:col>7</xdr:col>
                    <xdr:colOff>1950720</xdr:colOff>
                    <xdr:row>109</xdr:row>
                    <xdr:rowOff>502920</xdr:rowOff>
                  </to>
                </anchor>
              </controlPr>
            </control>
          </mc:Choice>
        </mc:AlternateContent>
        <mc:AlternateContent xmlns:mc="http://schemas.openxmlformats.org/markup-compatibility/2006">
          <mc:Choice Requires="x14">
            <control shapeId="224456" r:id="rId146" name="Option Button 217">
              <controlPr defaultSize="0" autoFill="0" autoLine="0" autoPict="0">
                <anchor moveWithCells="1">
                  <from>
                    <xdr:col>7</xdr:col>
                    <xdr:colOff>106680</xdr:colOff>
                    <xdr:row>109</xdr:row>
                    <xdr:rowOff>579120</xdr:rowOff>
                  </from>
                  <to>
                    <xdr:col>7</xdr:col>
                    <xdr:colOff>1958340</xdr:colOff>
                    <xdr:row>109</xdr:row>
                    <xdr:rowOff>754380</xdr:rowOff>
                  </to>
                </anchor>
              </controlPr>
            </control>
          </mc:Choice>
        </mc:AlternateContent>
        <mc:AlternateContent xmlns:mc="http://schemas.openxmlformats.org/markup-compatibility/2006">
          <mc:Choice Requires="x14">
            <control shapeId="224474" r:id="rId147" name="Option Button 218">
              <controlPr defaultSize="0" autoFill="0" autoLine="0" autoPict="0">
                <anchor moveWithCells="1">
                  <from>
                    <xdr:col>7</xdr:col>
                    <xdr:colOff>106680</xdr:colOff>
                    <xdr:row>109</xdr:row>
                    <xdr:rowOff>822960</xdr:rowOff>
                  </from>
                  <to>
                    <xdr:col>7</xdr:col>
                    <xdr:colOff>937260</xdr:colOff>
                    <xdr:row>109</xdr:row>
                    <xdr:rowOff>1005840</xdr:rowOff>
                  </to>
                </anchor>
              </controlPr>
            </control>
          </mc:Choice>
        </mc:AlternateContent>
        <mc:AlternateContent xmlns:mc="http://schemas.openxmlformats.org/markup-compatibility/2006">
          <mc:Choice Requires="x14">
            <control shapeId="224475" r:id="rId148" name="Group Box 219">
              <controlPr defaultSize="0" autoFill="0" autoPict="0">
                <anchor moveWithCells="1">
                  <from>
                    <xdr:col>7</xdr:col>
                    <xdr:colOff>0</xdr:colOff>
                    <xdr:row>109</xdr:row>
                    <xdr:rowOff>0</xdr:rowOff>
                  </from>
                  <to>
                    <xdr:col>8</xdr:col>
                    <xdr:colOff>0</xdr:colOff>
                    <xdr:row>110</xdr:row>
                    <xdr:rowOff>0</xdr:rowOff>
                  </to>
                </anchor>
              </controlPr>
            </control>
          </mc:Choice>
        </mc:AlternateContent>
        <mc:AlternateContent xmlns:mc="http://schemas.openxmlformats.org/markup-compatibility/2006">
          <mc:Choice Requires="x14">
            <control shapeId="224486" r:id="rId149" name="Option Button 230">
              <controlPr defaultSize="0" autoFill="0" autoLine="0" autoPict="0" altText="Case d'option 47">
                <anchor moveWithCells="1">
                  <from>
                    <xdr:col>7</xdr:col>
                    <xdr:colOff>106680</xdr:colOff>
                    <xdr:row>111</xdr:row>
                    <xdr:rowOff>68580</xdr:rowOff>
                  </from>
                  <to>
                    <xdr:col>7</xdr:col>
                    <xdr:colOff>1501140</xdr:colOff>
                    <xdr:row>111</xdr:row>
                    <xdr:rowOff>259080</xdr:rowOff>
                  </to>
                </anchor>
              </controlPr>
            </control>
          </mc:Choice>
        </mc:AlternateContent>
        <mc:AlternateContent xmlns:mc="http://schemas.openxmlformats.org/markup-compatibility/2006">
          <mc:Choice Requires="x14">
            <control shapeId="224487" r:id="rId150" name="Option Button 231">
              <controlPr defaultSize="0" autoFill="0" autoLine="0" autoPict="0">
                <anchor moveWithCells="1">
                  <from>
                    <xdr:col>7</xdr:col>
                    <xdr:colOff>106680</xdr:colOff>
                    <xdr:row>111</xdr:row>
                    <xdr:rowOff>304800</xdr:rowOff>
                  </from>
                  <to>
                    <xdr:col>7</xdr:col>
                    <xdr:colOff>1950720</xdr:colOff>
                    <xdr:row>111</xdr:row>
                    <xdr:rowOff>502920</xdr:rowOff>
                  </to>
                </anchor>
              </controlPr>
            </control>
          </mc:Choice>
        </mc:AlternateContent>
        <mc:AlternateContent xmlns:mc="http://schemas.openxmlformats.org/markup-compatibility/2006">
          <mc:Choice Requires="x14">
            <control shapeId="224488" r:id="rId151" name="Option Button 232">
              <controlPr defaultSize="0" autoFill="0" autoLine="0" autoPict="0">
                <anchor moveWithCells="1">
                  <from>
                    <xdr:col>7</xdr:col>
                    <xdr:colOff>106680</xdr:colOff>
                    <xdr:row>111</xdr:row>
                    <xdr:rowOff>579120</xdr:rowOff>
                  </from>
                  <to>
                    <xdr:col>7</xdr:col>
                    <xdr:colOff>1958340</xdr:colOff>
                    <xdr:row>111</xdr:row>
                    <xdr:rowOff>754380</xdr:rowOff>
                  </to>
                </anchor>
              </controlPr>
            </control>
          </mc:Choice>
        </mc:AlternateContent>
        <mc:AlternateContent xmlns:mc="http://schemas.openxmlformats.org/markup-compatibility/2006">
          <mc:Choice Requires="x14">
            <control shapeId="224489" r:id="rId152" name="Option Button 233">
              <controlPr defaultSize="0" autoFill="0" autoLine="0" autoPict="0">
                <anchor moveWithCells="1">
                  <from>
                    <xdr:col>7</xdr:col>
                    <xdr:colOff>106680</xdr:colOff>
                    <xdr:row>111</xdr:row>
                    <xdr:rowOff>822960</xdr:rowOff>
                  </from>
                  <to>
                    <xdr:col>7</xdr:col>
                    <xdr:colOff>937260</xdr:colOff>
                    <xdr:row>111</xdr:row>
                    <xdr:rowOff>1005840</xdr:rowOff>
                  </to>
                </anchor>
              </controlPr>
            </control>
          </mc:Choice>
        </mc:AlternateContent>
        <mc:AlternateContent xmlns:mc="http://schemas.openxmlformats.org/markup-compatibility/2006">
          <mc:Choice Requires="x14">
            <control shapeId="224490" r:id="rId153" name="Group Box 234">
              <controlPr defaultSize="0" autoFill="0" autoPict="0">
                <anchor moveWithCells="1">
                  <from>
                    <xdr:col>7</xdr:col>
                    <xdr:colOff>0</xdr:colOff>
                    <xdr:row>111</xdr:row>
                    <xdr:rowOff>0</xdr:rowOff>
                  </from>
                  <to>
                    <xdr:col>8</xdr:col>
                    <xdr:colOff>0</xdr:colOff>
                    <xdr:row>112</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1A26-3773-4AA1-AE74-D97C0360538C}">
  <sheetPr codeName="Feuil29">
    <tabColor rgb="FF1C3D79"/>
  </sheetPr>
  <dimension ref="A1:AI70"/>
  <sheetViews>
    <sheetView showGridLines="0" showRowColHeaders="0" zoomScale="52" zoomScaleNormal="52" workbookViewId="0">
      <selection activeCell="AU5" sqref="AU5"/>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307"/>
      <c r="B1" s="299" t="s">
        <v>565</v>
      </c>
      <c r="C1" s="307"/>
      <c r="D1" s="307"/>
      <c r="E1" s="300"/>
      <c r="F1" s="300"/>
      <c r="G1" s="300"/>
      <c r="H1" s="300"/>
      <c r="I1" s="300"/>
      <c r="J1" s="308"/>
      <c r="K1" s="309"/>
      <c r="L1" s="300"/>
      <c r="M1" s="300"/>
      <c r="N1" s="310"/>
      <c r="O1" s="310"/>
      <c r="P1" s="310"/>
      <c r="Q1" s="310" t="str">
        <f>VLOOKUP($E$27,BDD!$A$2:$N$567,3,FALSE)</f>
        <v>Projets</v>
      </c>
      <c r="R1" s="298"/>
      <c r="S1" s="312"/>
      <c r="T1" s="312"/>
      <c r="U1" s="312"/>
      <c r="V1" s="312"/>
      <c r="W1" s="312"/>
      <c r="X1" s="312"/>
      <c r="Y1" s="312"/>
      <c r="Z1" s="312"/>
      <c r="AA1" s="312"/>
      <c r="AB1" s="312"/>
      <c r="AC1" s="312"/>
      <c r="AD1" s="312"/>
      <c r="AE1" s="312"/>
      <c r="AF1" s="312"/>
      <c r="AG1" s="312"/>
      <c r="AH1" s="312"/>
      <c r="AI1" s="30"/>
    </row>
    <row r="2" spans="1:35" ht="45" customHeight="1" x14ac:dyDescent="0.3">
      <c r="A2" s="298"/>
      <c r="B2" s="298"/>
      <c r="C2" s="298"/>
      <c r="D2" s="298"/>
      <c r="E2" s="298"/>
      <c r="F2" s="298"/>
      <c r="G2" s="298"/>
      <c r="H2" s="298"/>
      <c r="I2" s="298"/>
      <c r="J2" s="298"/>
      <c r="K2" s="298"/>
      <c r="L2" s="298"/>
      <c r="M2" s="298"/>
      <c r="N2" s="303"/>
      <c r="O2" s="303"/>
      <c r="P2" s="303"/>
      <c r="Q2" s="303" t="str">
        <f>VLOOKUP($E$27,BDD!$A$2:$N$567,4,FALSE)</f>
        <v>Maîtriser la réalisation des projets et des solutions. </v>
      </c>
      <c r="R2" s="298"/>
      <c r="S2" s="313"/>
      <c r="T2" s="313"/>
      <c r="U2" s="313"/>
      <c r="V2" s="313"/>
      <c r="W2" s="313"/>
      <c r="X2" s="313"/>
      <c r="Y2" s="313"/>
      <c r="Z2" s="313"/>
      <c r="AA2" s="313"/>
      <c r="AB2" s="313"/>
      <c r="AC2" s="313"/>
      <c r="AD2" s="313"/>
      <c r="AE2" s="313"/>
      <c r="AF2" s="313"/>
      <c r="AG2" s="313"/>
      <c r="AH2" s="313"/>
      <c r="AI2" s="30"/>
    </row>
    <row r="3" spans="1:35" ht="45" customHeight="1" thickBot="1" x14ac:dyDescent="0.35">
      <c r="A3" s="311"/>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311"/>
      <c r="AI3" s="30"/>
    </row>
    <row r="4" spans="1:35" ht="26.4" thickBot="1" x14ac:dyDescent="0.55000000000000004">
      <c r="A4" s="311"/>
      <c r="B4" s="30"/>
      <c r="C4" s="30"/>
      <c r="D4" s="30"/>
      <c r="E4" s="30"/>
      <c r="F4" s="30"/>
      <c r="G4" s="36" t="s">
        <v>1</v>
      </c>
      <c r="H4" s="34"/>
      <c r="I4" s="32"/>
      <c r="J4" s="34"/>
      <c r="K4" s="34"/>
      <c r="L4" s="34"/>
      <c r="M4" s="34"/>
      <c r="N4" s="30"/>
      <c r="O4" s="30"/>
      <c r="P4" s="30"/>
      <c r="Q4" s="30"/>
      <c r="R4" s="30"/>
      <c r="S4" s="30"/>
      <c r="T4" s="30"/>
      <c r="U4" s="30"/>
      <c r="V4" s="30"/>
      <c r="W4" s="108" t="s">
        <v>0</v>
      </c>
      <c r="X4" s="30"/>
      <c r="Y4" s="30"/>
      <c r="Z4" s="30"/>
      <c r="AA4" s="417"/>
      <c r="AB4" s="418" t="s">
        <v>1079</v>
      </c>
      <c r="AC4" s="30"/>
      <c r="AD4" s="30"/>
      <c r="AE4" s="30"/>
      <c r="AF4" s="35"/>
      <c r="AG4" s="35"/>
      <c r="AH4" s="315"/>
      <c r="AI4" s="30"/>
    </row>
    <row r="5" spans="1:35" ht="42" thickBot="1" x14ac:dyDescent="0.35">
      <c r="A5" s="311"/>
      <c r="B5" s="30"/>
      <c r="C5" s="30"/>
      <c r="D5" s="30"/>
      <c r="E5" s="30" t="str">
        <f>RIGHT($B$1,1)&amp;"11"</f>
        <v>811</v>
      </c>
      <c r="F5" s="30"/>
      <c r="G5" s="196" t="str">
        <f>IF(VLOOKUP(E5,BDD!$A$2:$N$567,13,FALSE)=0,"",VLOOKUP(E5,BDD!$A$2:$N$567,13,FALSE))</f>
        <v>Garantir le bon déroulement du projet par rapport aux objectifs du business case (étude d’opportunité), en termes de coûts, délais, fonctionnalités, bénéfices, et appropriation par les utilisateurs.</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311"/>
      <c r="AI5" s="30"/>
    </row>
    <row r="6" spans="1:35" ht="41.4" x14ac:dyDescent="0.3">
      <c r="A6" s="314"/>
      <c r="B6" s="38"/>
      <c r="C6" s="38"/>
      <c r="D6" s="38"/>
      <c r="E6" s="38" t="str">
        <f>RIGHT($B$1,1)&amp;"12"</f>
        <v>812</v>
      </c>
      <c r="F6" s="38"/>
      <c r="G6" s="196" t="str">
        <f>IF(VLOOKUP(E6,BDD!$A$2:$N$567,13,FALSE)=0,"",VLOOKUP(E6,BDD!$A$2:$N$567,13,FALSE))</f>
        <v>Réussir le projet en garantissant l’engagement de l'ensemble des parties prenantes dans le pilotage et la conduite du projet, et en intégrant les besoins en compétences métiers à acquérir ou faire évoluer (conduite du changement).</v>
      </c>
      <c r="H6" s="39"/>
      <c r="I6" s="32"/>
      <c r="K6" s="39"/>
      <c r="L6" s="505"/>
      <c r="M6" s="506"/>
      <c r="N6" s="507"/>
      <c r="O6" s="508"/>
      <c r="P6" s="508"/>
      <c r="Q6" s="508"/>
      <c r="R6" s="508"/>
      <c r="S6" s="508"/>
      <c r="T6" s="508"/>
      <c r="U6" s="508"/>
      <c r="V6" s="508"/>
      <c r="W6" s="508"/>
      <c r="X6" s="508"/>
      <c r="Y6" s="508"/>
      <c r="Z6" s="508"/>
      <c r="AA6" s="508"/>
      <c r="AB6" s="509"/>
      <c r="AC6" s="35"/>
      <c r="AD6" s="35"/>
      <c r="AE6" s="35"/>
      <c r="AF6" s="32"/>
      <c r="AG6" s="32"/>
      <c r="AH6" s="316"/>
      <c r="AI6" s="38"/>
    </row>
    <row r="7" spans="1:35" ht="31.8" thickBot="1" x14ac:dyDescent="0.35">
      <c r="A7" s="314"/>
      <c r="B7" s="38"/>
      <c r="C7" s="38"/>
      <c r="D7" s="38"/>
      <c r="E7" s="38" t="str">
        <f>RIGHT($B$1,1)&amp;"13"</f>
        <v>813</v>
      </c>
      <c r="F7" s="38"/>
      <c r="G7" s="196" t="str">
        <f>IF(VLOOKUP(E7,BDD!$A$2:$N$567,13,FALSE)=0,"",VLOOKUP(E7,BDD!$A$2:$N$567,13,FALSE))</f>
        <v>S'adapter aux évolutions de l'environnement de l'organisation (maîtrise des dépendances et priorisations stratégiques).</v>
      </c>
      <c r="H7" s="39"/>
      <c r="I7" s="32"/>
      <c r="K7" s="39"/>
      <c r="L7" s="510"/>
      <c r="M7" s="511"/>
      <c r="N7" s="420" t="s">
        <v>2</v>
      </c>
      <c r="O7" s="421" t="s">
        <v>3</v>
      </c>
      <c r="P7" s="421" t="s">
        <v>4</v>
      </c>
      <c r="Q7" s="421" t="s">
        <v>5</v>
      </c>
      <c r="R7" s="421" t="s">
        <v>6</v>
      </c>
      <c r="S7" s="421" t="s">
        <v>7</v>
      </c>
      <c r="T7" s="421" t="s">
        <v>8</v>
      </c>
      <c r="U7" s="421" t="s">
        <v>9</v>
      </c>
      <c r="V7" s="512"/>
      <c r="W7" s="460" t="s">
        <v>10</v>
      </c>
      <c r="X7" s="461" t="s">
        <v>11</v>
      </c>
      <c r="Y7" s="513"/>
      <c r="Z7" s="463" t="s">
        <v>12</v>
      </c>
      <c r="AA7" s="464" t="s">
        <v>13</v>
      </c>
      <c r="AB7" s="514"/>
      <c r="AC7" s="40"/>
      <c r="AD7" s="637" t="s">
        <v>14</v>
      </c>
      <c r="AE7" s="41" t="s">
        <v>15</v>
      </c>
      <c r="AF7" s="32"/>
      <c r="AG7" s="32"/>
      <c r="AH7" s="316"/>
      <c r="AI7" s="38"/>
    </row>
    <row r="8" spans="1:35" ht="41.4" x14ac:dyDescent="0.3">
      <c r="A8" s="314"/>
      <c r="B8" s="38"/>
      <c r="C8" s="38"/>
      <c r="D8" s="38"/>
      <c r="E8" s="38" t="str">
        <f>RIGHT($B$1,1)&amp;"14"</f>
        <v>814</v>
      </c>
      <c r="F8" s="38"/>
      <c r="G8" s="196" t="str">
        <f>IF(VLOOKUP(E8,BDD!$A$2:$N$567,13,FALSE)=0,"",VLOOKUP(E8,BDD!$A$2:$N$567,13,FALSE))</f>
        <v/>
      </c>
      <c r="H8" s="39"/>
      <c r="I8" s="32"/>
      <c r="K8" s="39"/>
      <c r="L8" s="510"/>
      <c r="M8" s="419" t="str">
        <f>IF(LEFT(RIGHT($B$1,2),1)=" ",RIGHT($B$1,1),RIGHT($B$1,2))&amp;1</f>
        <v>81</v>
      </c>
      <c r="N8" s="422" t="str">
        <f>RIGHT(M8,1)&amp;" : "&amp;VLOOKUP($M8&amp;"1",BDD!$A$2:$N$567,6,FALSE)</f>
        <v>1 : Objectifs métier du projet</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75"/>
      <c r="R8" s="475"/>
      <c r="S8" s="475"/>
      <c r="T8" s="475"/>
      <c r="U8" s="475"/>
      <c r="V8" s="512"/>
      <c r="W8" s="441" t="s">
        <v>16</v>
      </c>
      <c r="X8" s="442"/>
      <c r="Y8" s="515"/>
      <c r="Z8" s="468">
        <f>O25</f>
        <v>0</v>
      </c>
      <c r="AA8" s="469">
        <f>P25</f>
        <v>0</v>
      </c>
      <c r="AB8" s="514"/>
      <c r="AC8" s="40"/>
      <c r="AD8" s="638"/>
      <c r="AE8" s="44" t="s">
        <v>17</v>
      </c>
      <c r="AF8" s="32"/>
      <c r="AG8" s="32"/>
      <c r="AH8" s="316"/>
      <c r="AI8" s="38"/>
    </row>
    <row r="9" spans="1:35" ht="30" customHeight="1" x14ac:dyDescent="0.3">
      <c r="A9" s="314"/>
      <c r="B9" s="38"/>
      <c r="C9" s="38"/>
      <c r="D9" s="38"/>
      <c r="E9" s="38" t="str">
        <f>RIGHT($B$1,1)&amp;"15"</f>
        <v>815</v>
      </c>
      <c r="F9" s="38"/>
      <c r="G9" s="196" t="str">
        <f>IF(VLOOKUP(E9,BDD!$A$2:$N$567,13,FALSE)=0,"",VLOOKUP(E9,BDD!$A$2:$N$567,13,FALSE))</f>
        <v/>
      </c>
      <c r="H9" s="39"/>
      <c r="I9" s="32"/>
      <c r="K9" s="39"/>
      <c r="L9" s="510"/>
      <c r="M9" s="419" t="str">
        <f>IF(LEFT(RIGHT($B$1,2),1)=" ",RIGHT($B$1,1),RIGHT($B$1,2))&amp;2</f>
        <v>82</v>
      </c>
      <c r="N9" s="424" t="str">
        <f>RIGHT(M9,1)&amp;" : "&amp;VLOOKUP($M9&amp;"1",BDD!$A$2:$N$567,6,FALSE)</f>
        <v>2 : Gouvernance du projet</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5" t="str">
        <f>IF(VLOOKUP($M9&amp;RIGHT(R$7,1),BDD!$A$1:$S$428,15,FALSE)=4,"NE",IF(VLOOKUP($M9&amp;RIGHT(R$7,1),BDD!$A$1:$S$428,15,FALSE)=0,"NE",VLOOKUP($M9&amp;RIGHT(R$7,1),BDD!$A$1:$S$428,15,FALSE)))</f>
        <v>NE</v>
      </c>
      <c r="S9" s="425" t="str">
        <f>IF(VLOOKUP($M9&amp;RIGHT(S$7,1),BDD!$A$1:$S$428,15,FALSE)=4,"NE",IF(VLOOKUP($M9&amp;RIGHT(S$7,1),BDD!$A$1:$S$428,15,FALSE)=0,"NE",VLOOKUP($M9&amp;RIGHT(S$7,1),BDD!$A$1:$S$428,15,FALSE)))</f>
        <v>NE</v>
      </c>
      <c r="T9" s="425" t="str">
        <f>IF(VLOOKUP($M9&amp;RIGHT(T$7,1),BDD!$A$1:$S$428,15,FALSE)=4,"NE",IF(VLOOKUP($M9&amp;RIGHT(T$7,1),BDD!$A$1:$S$428,15,FALSE)=0,"NE",VLOOKUP($M9&amp;RIGHT(T$7,1),BDD!$A$1:$S$428,15,FALSE)))</f>
        <v>NE</v>
      </c>
      <c r="U9" s="427"/>
      <c r="V9" s="512"/>
      <c r="W9" s="443" t="s">
        <v>16</v>
      </c>
      <c r="X9" s="444"/>
      <c r="Y9" s="516"/>
      <c r="Z9" s="472">
        <f>O29</f>
        <v>0</v>
      </c>
      <c r="AA9" s="473">
        <f>P29</f>
        <v>0</v>
      </c>
      <c r="AB9" s="514"/>
      <c r="AC9" s="40"/>
      <c r="AD9" s="638"/>
      <c r="AE9" s="48" t="s">
        <v>18</v>
      </c>
      <c r="AF9" s="32"/>
      <c r="AG9" s="32"/>
      <c r="AH9" s="316"/>
      <c r="AI9" s="38"/>
    </row>
    <row r="10" spans="1:35" ht="30" customHeight="1" x14ac:dyDescent="0.3">
      <c r="A10" s="314"/>
      <c r="B10" s="38"/>
      <c r="C10" s="38"/>
      <c r="D10" s="38"/>
      <c r="E10" s="38" t="str">
        <f>RIGHT($B$1,1)&amp;"16"</f>
        <v>816</v>
      </c>
      <c r="F10" s="38"/>
      <c r="G10" s="31" t="str">
        <f>IF(VLOOKUP(E10,BDD!$A$2:$N$567,13,FALSE)=0,"",VLOOKUP(E10,BDD!$A$2:$N$567,13,FALSE))</f>
        <v/>
      </c>
      <c r="H10" s="39"/>
      <c r="I10" s="32"/>
      <c r="K10" s="39"/>
      <c r="L10" s="510"/>
      <c r="M10" s="419" t="str">
        <f>IF(LEFT(RIGHT($B$1,2),1)=" ",RIGHT($B$1,1),RIGHT($B$1,2))&amp;3</f>
        <v>83</v>
      </c>
      <c r="N10" s="422" t="str">
        <f>RIGHT(M10,1)&amp;" : "&amp;VLOOKUP($M10&amp;"1",BDD!$A$2:$N$567,6,FALSE)</f>
        <v>3 : Méthode de projet</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23" t="str">
        <f>IF(VLOOKUP($M10&amp;RIGHT(Q$7,1),BDD!$A$1:$S$428,15,FALSE)=4,"NE",IF(VLOOKUP($M10&amp;RIGHT(Q$7,1),BDD!$A$1:$S$428,15,FALSE)=0,"NE",VLOOKUP($M10&amp;RIGHT(Q$7,1),BDD!$A$1:$S$428,15,FALSE)))</f>
        <v>NE</v>
      </c>
      <c r="R10" s="428" t="str">
        <f>IF(VLOOKUP($M10&amp;RIGHT(R$7,1),BDD!$A$1:$S$428,15,FALSE)=4,"NE",IF(VLOOKUP($M10&amp;RIGHT(R$7,1),BDD!$A$1:$S$428,15,FALSE)=0,"NE",VLOOKUP($M10&amp;RIGHT(R$7,1),BDD!$A$1:$S$428,15,FALSE)))</f>
        <v>NE</v>
      </c>
      <c r="S10" s="423" t="str">
        <f>IF(VLOOKUP($M10&amp;RIGHT(S$7,1),BDD!$A$1:$S$428,15,FALSE)=4,"NE",IF(VLOOKUP($M10&amp;RIGHT(S$7,1),BDD!$A$1:$S$428,15,FALSE)=0,"NE",VLOOKUP($M10&amp;RIGHT(S$7,1),BDD!$A$1:$S$428,15,FALSE)))</f>
        <v>NE</v>
      </c>
      <c r="T10" s="475"/>
      <c r="U10" s="430"/>
      <c r="V10" s="512"/>
      <c r="W10" s="445" t="s">
        <v>16</v>
      </c>
      <c r="X10" s="446"/>
      <c r="Y10" s="515"/>
      <c r="Z10" s="468">
        <f>O37</f>
        <v>0</v>
      </c>
      <c r="AA10" s="469">
        <f>P37</f>
        <v>0</v>
      </c>
      <c r="AB10" s="514"/>
      <c r="AC10" s="40"/>
      <c r="AD10" s="638"/>
      <c r="AE10" s="53" t="s">
        <v>19</v>
      </c>
      <c r="AF10" s="51"/>
      <c r="AG10" s="52"/>
      <c r="AH10" s="317"/>
      <c r="AI10" s="38"/>
    </row>
    <row r="11" spans="1:35" ht="30" customHeight="1" x14ac:dyDescent="0.3">
      <c r="A11" s="311"/>
      <c r="B11" s="30"/>
      <c r="C11" s="30"/>
      <c r="D11" s="30"/>
      <c r="E11" s="30" t="str">
        <f>RIGHT($B$1,1)&amp;"17"</f>
        <v>817</v>
      </c>
      <c r="F11" s="30"/>
      <c r="G11" s="31" t="str">
        <f>IF(VLOOKUP(E11,BDD!$A$2:$N$567,13,FALSE)=0,"",VLOOKUP(E11,BDD!$A$2:$N$567,13,FALSE))</f>
        <v/>
      </c>
      <c r="H11" s="52"/>
      <c r="I11" s="32"/>
      <c r="K11" s="52"/>
      <c r="L11" s="517"/>
      <c r="M11" s="419" t="str">
        <f>IF(LEFT(RIGHT($B$1,2),1)=" ",RIGHT($B$1,1),RIGHT($B$1,2))&amp;4</f>
        <v>84</v>
      </c>
      <c r="N11" s="424" t="str">
        <f>RIGHT(M11,1)&amp;" : "&amp;VLOOKUP($M11&amp;"1",BDD!$A$2:$N$567,6,FALSE)</f>
        <v>4 : Conformité, contrôle interne et sécurité</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5" t="str">
        <f>IF(VLOOKUP($M11&amp;RIGHT(Q$7,1),BDD!$A$1:$S$428,15,FALSE)=4,"NE",IF(VLOOKUP($M11&amp;RIGHT(Q$7,1),BDD!$A$1:$S$428,15,FALSE)=0,"NE",VLOOKUP($M11&amp;RIGHT(Q$7,1),BDD!$A$1:$S$428,15,FALSE)))</f>
        <v>NE</v>
      </c>
      <c r="R11" s="425" t="str">
        <f>IF(VLOOKUP($M11&amp;RIGHT(R$7,1),BDD!$A$1:$S$428,15,FALSE)=4,"NE",IF(VLOOKUP($M11&amp;RIGHT(R$7,1),BDD!$A$1:$S$428,15,FALSE)=0,"NE",VLOOKUP($M11&amp;RIGHT(R$7,1),BDD!$A$1:$S$428,15,FALSE)))</f>
        <v>NE</v>
      </c>
      <c r="S11" s="426"/>
      <c r="T11" s="426"/>
      <c r="U11" s="427"/>
      <c r="V11" s="512"/>
      <c r="W11" s="443" t="s">
        <v>16</v>
      </c>
      <c r="X11" s="444"/>
      <c r="Y11" s="515"/>
      <c r="Z11" s="472">
        <f>O44</f>
        <v>0</v>
      </c>
      <c r="AA11" s="473">
        <f>P44</f>
        <v>0</v>
      </c>
      <c r="AB11" s="514"/>
      <c r="AC11" s="40"/>
      <c r="AD11" s="212"/>
      <c r="AF11" s="51"/>
      <c r="AG11" s="52"/>
      <c r="AH11" s="317"/>
      <c r="AI11" s="30"/>
    </row>
    <row r="12" spans="1:35" ht="30" customHeight="1" x14ac:dyDescent="0.3">
      <c r="A12" s="311"/>
      <c r="B12" s="30"/>
      <c r="C12" s="30"/>
      <c r="D12" s="30"/>
      <c r="E12" s="30"/>
      <c r="F12" s="30"/>
      <c r="G12" s="54" t="s">
        <v>20</v>
      </c>
      <c r="H12" s="32"/>
      <c r="I12" s="32"/>
      <c r="K12" s="32"/>
      <c r="L12" s="518"/>
      <c r="M12" s="419" t="str">
        <f>IF(LEFT(RIGHT($B$1,2),1)=" ",RIGHT($B$1,1),RIGHT($B$1,2))&amp;5</f>
        <v>85</v>
      </c>
      <c r="N12" s="422" t="str">
        <f>RIGHT(M12,1)&amp;" : "&amp;VLOOKUP($M12&amp;"1",BDD!$A$2:$N$567,6,FALSE)</f>
        <v>5 : Pilotage du projet</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23" t="str">
        <f>IF(VLOOKUP($M12&amp;RIGHT(R$7,1),BDD!$A$1:$S$428,15,FALSE)=4,"NE",IF(VLOOKUP($M12&amp;RIGHT(R$7,1),BDD!$A$1:$S$428,15,FALSE)=0,"NE",VLOOKUP($M12&amp;RIGHT(R$7,1),BDD!$A$1:$S$428,15,FALSE)))</f>
        <v>NE</v>
      </c>
      <c r="S12" s="423" t="str">
        <f>IF(VLOOKUP($M12&amp;RIGHT(S$7,1),BDD!$A$1:$S$428,15,FALSE)=4,"NE",IF(VLOOKUP($M12&amp;RIGHT(S$7,1),BDD!$A$1:$S$428,15,FALSE)=0,"NE",VLOOKUP($M12&amp;RIGHT(S$7,1),BDD!$A$1:$S$428,15,FALSE)))</f>
        <v>NE</v>
      </c>
      <c r="T12" s="475"/>
      <c r="U12" s="430"/>
      <c r="V12" s="512"/>
      <c r="W12" s="445" t="s">
        <v>16</v>
      </c>
      <c r="X12" s="446"/>
      <c r="Y12" s="515"/>
      <c r="Z12" s="468">
        <f>O50</f>
        <v>0</v>
      </c>
      <c r="AA12" s="469">
        <f>P50</f>
        <v>0</v>
      </c>
      <c r="AB12" s="514"/>
      <c r="AC12" s="40"/>
      <c r="AD12" s="213"/>
      <c r="AF12" s="55"/>
      <c r="AG12" s="30"/>
      <c r="AH12" s="311"/>
      <c r="AI12" s="30"/>
    </row>
    <row r="13" spans="1:35" ht="28.8" customHeight="1" x14ac:dyDescent="0.3">
      <c r="A13" s="311"/>
      <c r="B13" s="30"/>
      <c r="C13" s="30"/>
      <c r="D13" s="30"/>
      <c r="E13" s="30" t="str">
        <f>RIGHT($B$1,1)&amp;"11"</f>
        <v>811</v>
      </c>
      <c r="F13" s="30"/>
      <c r="G13" s="197" t="str">
        <f>IF(VLOOKUP(E13,BDD!$A$2:$N$567,14,FALSE)=0,"",VLOOKUP(E13,BDD!$A$2:$N$567,14,FALSE))</f>
        <v>Dégradation de la performance et des résultats de l'organisation.</v>
      </c>
      <c r="H13" s="34"/>
      <c r="I13" s="32"/>
      <c r="K13" s="52"/>
      <c r="L13" s="517"/>
      <c r="M13" s="419" t="str">
        <f>IF(LEFT(RIGHT($B$1,2),1)=" ",RIGHT($B$1,1),RIGHT($B$1,2))&amp;6</f>
        <v>86</v>
      </c>
      <c r="N13" s="424" t="str">
        <f>RIGHT(M13,1)&amp;" : "&amp;VLOOKUP($M13&amp;"1",BDD!$A$2:$N$567,6,FALSE)</f>
        <v>6 : Validation(s) du produit ou de la solution</v>
      </c>
      <c r="O13" s="425" t="str">
        <f>IF(VLOOKUP($M13&amp;RIGHT(O$7,1),BDD!$A$1:$S$428,15,FALSE)=4,"NE",IF(VLOOKUP($M13&amp;RIGHT(O$7,1),BDD!$A$1:$S$428,15,FALSE)=0,"NE",VLOOKUP($M13&amp;RIGHT(O$7,1),BDD!$A$1:$S$428,15,FALSE)))</f>
        <v>NE</v>
      </c>
      <c r="P13" s="425" t="str">
        <f>IF(VLOOKUP($M13&amp;RIGHT(P$7,1),BDD!$A$1:$S$428,15,FALSE)=4,"NE",IF(VLOOKUP($M13&amp;RIGHT(P$7,1),BDD!$A$1:$S$428,15,FALSE)=0,"NE",VLOOKUP($M13&amp;RIGHT(P$7,1),BDD!$A$1:$S$428,15,FALSE)))</f>
        <v>NE</v>
      </c>
      <c r="Q13" s="425" t="str">
        <f>IF(VLOOKUP($M13&amp;RIGHT(Q$7,1),BDD!$A$1:$S$428,15,FALSE)=4,"NE",IF(VLOOKUP($M13&amp;RIGHT(Q$7,1),BDD!$A$1:$S$428,15,FALSE)=0,"NE",VLOOKUP($M13&amp;RIGHT(Q$7,1),BDD!$A$1:$S$428,15,FALSE)))</f>
        <v>NE</v>
      </c>
      <c r="R13" s="425" t="str">
        <f>IF(VLOOKUP($M13&amp;RIGHT(R$7,1),BDD!$A$1:$S$428,15,FALSE)=4,"NE",IF(VLOOKUP($M13&amp;RIGHT(R$7,1),BDD!$A$1:$S$428,15,FALSE)=0,"NE",VLOOKUP($M13&amp;RIGHT(R$7,1),BDD!$A$1:$S$428,15,FALSE)))</f>
        <v>NE</v>
      </c>
      <c r="S13" s="425" t="str">
        <f>IF(VLOOKUP($M13&amp;RIGHT(S$7,1),BDD!$A$1:$S$428,15,FALSE)=4,"NE",IF(VLOOKUP($M13&amp;RIGHT(S$7,1),BDD!$A$1:$S$428,15,FALSE)=0,"NE",VLOOKUP($M13&amp;RIGHT(S$7,1),BDD!$A$1:$S$428,15,FALSE)))</f>
        <v>NE</v>
      </c>
      <c r="T13" s="426"/>
      <c r="U13" s="427"/>
      <c r="V13" s="512"/>
      <c r="W13" s="443" t="s">
        <v>16</v>
      </c>
      <c r="X13" s="444"/>
      <c r="Y13" s="515"/>
      <c r="Z13" s="472">
        <f>O57</f>
        <v>0</v>
      </c>
      <c r="AA13" s="473">
        <f>P57</f>
        <v>0</v>
      </c>
      <c r="AB13" s="514"/>
      <c r="AC13" s="40"/>
      <c r="AD13" s="30"/>
      <c r="AE13" s="55"/>
      <c r="AF13" s="56"/>
      <c r="AG13" s="40"/>
      <c r="AH13" s="318"/>
      <c r="AI13" s="30"/>
    </row>
    <row r="14" spans="1:35" ht="30" customHeight="1" thickBot="1" x14ac:dyDescent="0.35">
      <c r="A14" s="311"/>
      <c r="B14" s="30"/>
      <c r="C14" s="30"/>
      <c r="D14" s="30"/>
      <c r="E14" s="30" t="str">
        <f>RIGHT($B$1,1)&amp;"12"</f>
        <v>812</v>
      </c>
      <c r="F14" s="30"/>
      <c r="G14" s="197" t="str">
        <f>IF(VLOOKUP(E14,BDD!$A$2:$N$567,14,FALSE)=0,"",VLOOKUP(E14,BDD!$A$2:$N$567,14,FALSE))</f>
        <v>Perte de compétitivité de l'organisation.</v>
      </c>
      <c r="H14" s="57"/>
      <c r="I14" s="32"/>
      <c r="K14" s="32"/>
      <c r="L14" s="518"/>
      <c r="M14" s="419" t="str">
        <f>IF(LEFT(RIGHT($B$1,2),1)=" ",RIGHT($B$1,1),RIGHT($B$1,2))&amp;7</f>
        <v>87</v>
      </c>
      <c r="N14" s="422" t="str">
        <f>RIGHT(M14,1)&amp;" : "&amp;VLOOKUP($M14&amp;"1",BDD!$A$2:$N$567,6,FALSE)</f>
        <v>7 : Bilan de projet SI</v>
      </c>
      <c r="O14" s="423" t="str">
        <f>IF(VLOOKUP($M14&amp;RIGHT(O$7,1),BDD!$A$1:$S$428,15,FALSE)=4,"NE",IF(VLOOKUP($M14&amp;RIGHT(O$7,1),BDD!$A$1:$S$428,15,FALSE)=0,"NE",VLOOKUP($M14&amp;RIGHT(O$7,1),BDD!$A$1:$S$428,15,FALSE)))</f>
        <v>NE</v>
      </c>
      <c r="P14" s="423" t="str">
        <f>IF(VLOOKUP($M14&amp;RIGHT(P$7,1),BDD!$A$1:$S$428,15,FALSE)=4,"NE",IF(VLOOKUP($M14&amp;RIGHT(P$7,1),BDD!$A$1:$S$428,15,FALSE)=0,"NE",VLOOKUP($M14&amp;RIGHT(P$7,1),BDD!$A$1:$S$428,15,FALSE)))</f>
        <v>NE</v>
      </c>
      <c r="Q14" s="423" t="str">
        <f>IF(VLOOKUP($M14&amp;RIGHT(Q$7,1),BDD!$A$1:$S$428,15,FALSE)=4,"NE",IF(VLOOKUP($M14&amp;RIGHT(Q$7,1),BDD!$A$1:$S$428,15,FALSE)=0,"NE",VLOOKUP($M14&amp;RIGHT(Q$7,1),BDD!$A$1:$S$428,15,FALSE)))</f>
        <v>NE</v>
      </c>
      <c r="R14" s="475"/>
      <c r="S14" s="475"/>
      <c r="T14" s="475"/>
      <c r="U14" s="430"/>
      <c r="V14" s="512"/>
      <c r="W14" s="500" t="s">
        <v>16</v>
      </c>
      <c r="X14" s="501"/>
      <c r="Y14" s="515"/>
      <c r="Z14" s="468">
        <f>O64</f>
        <v>0</v>
      </c>
      <c r="AA14" s="469">
        <f>P64</f>
        <v>0</v>
      </c>
      <c r="AB14" s="514"/>
      <c r="AC14" s="40"/>
      <c r="AD14" s="56"/>
      <c r="AE14" s="56"/>
      <c r="AF14" s="30"/>
      <c r="AG14" s="30"/>
      <c r="AH14" s="311"/>
      <c r="AI14" s="30"/>
    </row>
    <row r="15" spans="1:35" ht="30" customHeight="1" x14ac:dyDescent="0.3">
      <c r="A15" s="311"/>
      <c r="B15" s="30"/>
      <c r="C15" s="30"/>
      <c r="D15" s="30"/>
      <c r="E15" s="30" t="str">
        <f>RIGHT($B$1,1)&amp;"13"</f>
        <v>813</v>
      </c>
      <c r="F15" s="30"/>
      <c r="G15" s="197" t="str">
        <f>IF(VLOOKUP(E15,BDD!$A$2:$N$567,14,FALSE)=0,"",VLOOKUP(E15,BDD!$A$2:$N$567,14,FALSE))</f>
        <v>Désorganisation des fonctions métier conduisant à une dégradation de la qualité de service.</v>
      </c>
      <c r="H15" s="58"/>
      <c r="I15" s="32"/>
      <c r="K15" s="34"/>
      <c r="L15" s="519"/>
      <c r="M15" s="520"/>
      <c r="N15" s="521"/>
      <c r="O15" s="521"/>
      <c r="P15" s="521"/>
      <c r="Q15" s="521"/>
      <c r="R15" s="521"/>
      <c r="S15" s="521"/>
      <c r="T15" s="521"/>
      <c r="U15" s="521"/>
      <c r="V15" s="521"/>
      <c r="W15" s="522"/>
      <c r="X15" s="522"/>
      <c r="Y15" s="522"/>
      <c r="Z15" s="522"/>
      <c r="AA15" s="522"/>
      <c r="AB15" s="523"/>
      <c r="AC15" s="55"/>
      <c r="AD15" s="30"/>
      <c r="AE15" s="30"/>
      <c r="AF15" s="30"/>
      <c r="AG15" s="30"/>
      <c r="AH15" s="311"/>
      <c r="AI15" s="30"/>
    </row>
    <row r="16" spans="1:35" ht="38.4" customHeight="1" thickBot="1" x14ac:dyDescent="0.35">
      <c r="A16" s="311"/>
      <c r="B16" s="30"/>
      <c r="C16" s="30"/>
      <c r="D16" s="30"/>
      <c r="E16" s="30" t="str">
        <f>RIGHT($B$1,1)&amp;"14"</f>
        <v>814</v>
      </c>
      <c r="F16" s="30"/>
      <c r="G16" s="197" t="str">
        <f>IF(VLOOKUP(E16,BDD!$A$2:$N$567,14,FALSE)=0,"",VLOOKUP(E16,BDD!$A$2:$N$567,14,FALSE))</f>
        <v/>
      </c>
      <c r="H16" s="58"/>
      <c r="I16" s="32"/>
      <c r="K16" s="57"/>
      <c r="L16" s="524"/>
      <c r="M16" s="520"/>
      <c r="N16" s="525" t="str">
        <f>"Evaluation globale du vecteur "&amp;RIGHT(B1,2)</f>
        <v>Evaluation globale du vecteur  8</v>
      </c>
      <c r="O16" s="526"/>
      <c r="P16" s="526"/>
      <c r="Q16" s="526"/>
      <c r="R16" s="526"/>
      <c r="S16" s="526"/>
      <c r="T16" s="526"/>
      <c r="U16" s="526"/>
      <c r="V16" s="526"/>
      <c r="W16" s="527"/>
      <c r="X16" s="522"/>
      <c r="Y16" s="515"/>
      <c r="Z16" s="528" t="s">
        <v>642</v>
      </c>
      <c r="AA16" s="529" t="s">
        <v>643</v>
      </c>
      <c r="AB16" s="523"/>
      <c r="AC16" s="30"/>
      <c r="AD16" s="30"/>
      <c r="AE16" s="30"/>
      <c r="AF16" s="30"/>
      <c r="AG16" s="30"/>
      <c r="AH16" s="311"/>
      <c r="AI16" s="30"/>
    </row>
    <row r="17" spans="1:35" ht="38.4" customHeight="1" thickBot="1" x14ac:dyDescent="0.35">
      <c r="A17" s="311"/>
      <c r="B17" s="30"/>
      <c r="C17" s="30"/>
      <c r="D17" s="30"/>
      <c r="E17" s="30" t="str">
        <f>RIGHT($B$1,1)&amp;"15"</f>
        <v>815</v>
      </c>
      <c r="F17" s="30"/>
      <c r="G17" s="197" t="str">
        <f>IF(VLOOKUP(E17,BDD!$A$2:$N$567,14,FALSE)=0,"",VLOOKUP(E17,BDD!$A$2:$N$567,14,FALSE))</f>
        <v/>
      </c>
      <c r="H17" s="58"/>
      <c r="I17" s="32"/>
      <c r="K17" s="58"/>
      <c r="L17" s="518"/>
      <c r="M17" s="520"/>
      <c r="N17" s="451"/>
      <c r="O17" s="526"/>
      <c r="P17" s="526"/>
      <c r="Q17" s="526"/>
      <c r="R17" s="526"/>
      <c r="S17" s="526"/>
      <c r="T17" s="526"/>
      <c r="U17" s="526"/>
      <c r="V17" s="526"/>
      <c r="W17" s="449" t="s">
        <v>16</v>
      </c>
      <c r="X17" s="450"/>
      <c r="Y17" s="522"/>
      <c r="Z17" s="530">
        <f>O22</f>
        <v>0</v>
      </c>
      <c r="AA17" s="531">
        <f>SUM($W$25:$W$70)</f>
        <v>0</v>
      </c>
      <c r="AB17" s="523"/>
      <c r="AC17" s="30"/>
      <c r="AD17" s="30"/>
      <c r="AE17" s="30"/>
      <c r="AF17" s="30"/>
      <c r="AG17" s="30"/>
      <c r="AH17" s="311"/>
      <c r="AI17" s="30"/>
    </row>
    <row r="18" spans="1:35" ht="24" customHeight="1" thickBot="1" x14ac:dyDescent="0.35">
      <c r="A18" s="311"/>
      <c r="B18" s="30"/>
      <c r="C18" s="30"/>
      <c r="D18" s="30"/>
      <c r="E18" s="30" t="str">
        <f>RIGHT($B$1,1)&amp;"16"</f>
        <v>816</v>
      </c>
      <c r="F18" s="30"/>
      <c r="G18" s="197" t="str">
        <f>IF(VLOOKUP(E18,BDD!$A$2:$N$567,14,FALSE)=0,"",VLOOKUP(E18,BDD!$A$2:$N$567,14,FALSE))</f>
        <v/>
      </c>
      <c r="H18" s="58"/>
      <c r="I18" s="32"/>
      <c r="K18" s="32"/>
      <c r="L18" s="532"/>
      <c r="M18" s="533"/>
      <c r="N18" s="534"/>
      <c r="O18" s="534"/>
      <c r="P18" s="534"/>
      <c r="Q18" s="534"/>
      <c r="R18" s="534"/>
      <c r="S18" s="534"/>
      <c r="T18" s="534"/>
      <c r="U18" s="534"/>
      <c r="V18" s="534"/>
      <c r="W18" s="535"/>
      <c r="X18" s="534"/>
      <c r="Y18" s="534"/>
      <c r="Z18" s="534"/>
      <c r="AA18" s="534"/>
      <c r="AB18" s="536"/>
      <c r="AC18" s="30"/>
      <c r="AD18" s="30"/>
      <c r="AE18" s="30"/>
      <c r="AF18" s="30"/>
      <c r="AG18" s="30"/>
      <c r="AH18" s="311"/>
      <c r="AI18" s="30"/>
    </row>
    <row r="19" spans="1:35" ht="39.6" customHeight="1" x14ac:dyDescent="0.3">
      <c r="A19" s="311"/>
      <c r="B19" s="30"/>
      <c r="C19" s="30"/>
      <c r="D19" s="30"/>
      <c r="E19" s="30" t="str">
        <f>RIGHT($B$1,1)&amp;"17"</f>
        <v>817</v>
      </c>
      <c r="F19" s="30"/>
      <c r="G19" s="197" t="str">
        <f>IF(VLOOKUP(E19,BDD!$A$2:$N$567,14,FALSE)=0,"",VLOOKUP(E19,BDD!$A$2:$N$567,14,FALSE))</f>
        <v/>
      </c>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311"/>
      <c r="AI19" s="30"/>
    </row>
    <row r="20" spans="1:35" ht="30" customHeight="1" x14ac:dyDescent="0.3">
      <c r="A20" s="311"/>
      <c r="B20" s="30"/>
      <c r="C20" s="30"/>
      <c r="D20" s="30"/>
      <c r="E20" s="30"/>
      <c r="F20" s="30"/>
      <c r="G20" s="197"/>
      <c r="H20" s="58"/>
      <c r="I20" s="32"/>
      <c r="K20" s="58"/>
      <c r="L20" s="58"/>
      <c r="M20" s="32"/>
      <c r="N20" s="215" t="s">
        <v>855</v>
      </c>
      <c r="O20" s="641">
        <f>COUNTIF(N27:N100,"Non renseigné")</f>
        <v>30</v>
      </c>
      <c r="P20" s="642"/>
      <c r="Q20" s="642"/>
      <c r="R20" s="643"/>
      <c r="S20" s="30"/>
      <c r="T20" s="30"/>
      <c r="U20" s="30"/>
      <c r="V20" s="30"/>
      <c r="W20" s="30"/>
      <c r="X20" s="30"/>
      <c r="Y20" s="30"/>
      <c r="Z20" s="30"/>
      <c r="AA20" s="30"/>
      <c r="AB20" s="30"/>
      <c r="AC20" s="30"/>
      <c r="AD20" s="30"/>
      <c r="AE20" s="30"/>
      <c r="AF20" s="30"/>
      <c r="AG20" s="30"/>
      <c r="AH20" s="311"/>
      <c r="AI20" s="30"/>
    </row>
    <row r="21" spans="1:35" ht="30" customHeight="1" x14ac:dyDescent="0.3">
      <c r="A21" s="311"/>
      <c r="B21" s="30"/>
      <c r="C21" s="30"/>
      <c r="D21" s="30"/>
      <c r="E21" s="30" t="str">
        <f>RIGHT($B$1,1)&amp;"17"</f>
        <v>817</v>
      </c>
      <c r="F21" s="30"/>
      <c r="G21" s="197" t="str">
        <f>IF(VLOOKUP(E21,BDD!$A$2:$N$567,14,FALSE)=0,"",VLOOKUP(E21,BDD!$A$2:$N$567,14,FALSE))</f>
        <v/>
      </c>
      <c r="H21" s="58"/>
      <c r="I21" s="58"/>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311"/>
      <c r="AI21" s="30"/>
    </row>
    <row r="22" spans="1:35" ht="50.4" customHeight="1" x14ac:dyDescent="0.3">
      <c r="A22" s="311"/>
      <c r="B22" s="30"/>
      <c r="C22" s="30"/>
      <c r="D22" s="30"/>
      <c r="E22" s="30"/>
      <c r="F22" s="30"/>
      <c r="G22" s="197"/>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311"/>
      <c r="AI22" s="30"/>
    </row>
    <row r="23" spans="1:35" ht="30" customHeight="1" x14ac:dyDescent="0.3">
      <c r="A23" s="311"/>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311"/>
      <c r="AI23" s="30"/>
    </row>
    <row r="24" spans="1:35" ht="39.6" customHeight="1" x14ac:dyDescent="0.3">
      <c r="A24" s="311"/>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311"/>
      <c r="AI24" s="30"/>
    </row>
    <row r="25" spans="1:35" ht="30" customHeight="1" x14ac:dyDescent="0.3">
      <c r="A25" s="311"/>
      <c r="B25" s="30"/>
      <c r="C25" s="30" t="str">
        <f>IF(LEFT(RIGHT($B$1,2),1)=" ",RIGHT($B$1,1),RIGHT($B$1,2))</f>
        <v>8</v>
      </c>
      <c r="D25" s="32">
        <f>IF(LEFT(F25,5)="Bonne",B23+1,D24)</f>
        <v>1</v>
      </c>
      <c r="E25" s="32"/>
      <c r="F25" s="191" t="s">
        <v>499</v>
      </c>
      <c r="G25" s="192" t="str">
        <f>VLOOKUP(E27,BDD!$A$2:$N$567,6,FALSE)</f>
        <v>Objectifs métier du projet</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311"/>
      <c r="AI25" s="30"/>
    </row>
    <row r="26" spans="1:35" ht="30" customHeight="1" x14ac:dyDescent="0.3">
      <c r="A26" s="311"/>
      <c r="B26" s="30"/>
      <c r="C26" s="30" t="str">
        <f t="shared" ref="C26:C68" si="0">IF(LEFT(RIGHT($B$1,2),1)=" ",RIGHT($B$1,1),RIGHT($B$1,2))</f>
        <v>8</v>
      </c>
      <c r="D26" s="32">
        <f>IF(LEFT(F26,5)="Bonne",D24+1,D25)</f>
        <v>1</v>
      </c>
      <c r="F26" s="211" t="s">
        <v>550</v>
      </c>
      <c r="G26" s="193" t="str">
        <f>VLOOKUP(E28,BDD!$A$2:$N$567,7,FALSE)</f>
        <v>Les objectifs métier du projet sont explicites et partagés par toutes les parties prenantes.</v>
      </c>
      <c r="H26" s="139"/>
      <c r="I26" s="139"/>
      <c r="J26" s="139"/>
      <c r="K26" s="139"/>
      <c r="L26" s="140"/>
      <c r="M26" s="141"/>
      <c r="N26" s="14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311"/>
      <c r="AI26" s="30"/>
    </row>
    <row r="27" spans="1:35" ht="41.4" x14ac:dyDescent="0.3">
      <c r="A27" s="311"/>
      <c r="B27" s="30"/>
      <c r="C27" s="30" t="str">
        <f t="shared" si="0"/>
        <v>8</v>
      </c>
      <c r="D27" s="32">
        <f>IF(LEFT(F27,5)="Bonne",D25+1,D26)</f>
        <v>1</v>
      </c>
      <c r="E27" s="32" t="str">
        <f>C27&amp;D27&amp;RIGHT(F27,1)</f>
        <v>811</v>
      </c>
      <c r="F27" s="143" t="s">
        <v>27</v>
      </c>
      <c r="G27" s="144" t="str">
        <f>VLOOKUP(E27,BDD!$A$2:$N$567,MATCH(G$24,BDD!$A$1:$P$1,0),FALSE)</f>
        <v>Les enjeux ou objectifs clés des métiers assignés à l’équipe projet sont clairement identifiés. Ils sont explicités par le management aux différentes parties prenantes lors de la phase de lancement puis périodiquement actualisés.</v>
      </c>
      <c r="H27" s="149" t="str">
        <f>IF(VLOOKUP($E27,BDD!$A$2:$N$567,MATCH($H$23,BDD!$A$1:$P$1,0),FALSE)=H$24,V8_Projets!H$24,"")</f>
        <v>N1</v>
      </c>
      <c r="I27" s="150" t="str">
        <f>IF(VLOOKUP($E27,BDD!$A$2:$N$567,MATCH($H$23,BDD!$A$1:$P$1,0),FALSE)=I$24,V8_Projets!I$24,"")</f>
        <v/>
      </c>
      <c r="J27" s="150" t="str">
        <f>IF(VLOOKUP($E27,BDD!$A$2:$N$567,MATCH($H$23,BDD!$A$1:$P$1,0),FALSE)=J$24,V8_Projets!J$24,"")</f>
        <v/>
      </c>
      <c r="K27" s="150" t="str">
        <f>IF(VLOOKUP($E27,BDD!$A$2:$N$567,MATCH($H$23,BDD!$A$1:$P$1,0),FALSE)=K$24,V8_Projets!K$24,"")</f>
        <v/>
      </c>
      <c r="L27" s="151" t="str">
        <f>IF(VLOOKUP($E27,BDD!$A$2:$N$567,MATCH($H$23,BDD!$A$1:$P$1,0),FALSE)=L$24,V8_Projets!L$24,"")</f>
        <v/>
      </c>
      <c r="M27" s="63">
        <f t="shared" ref="M27:M28"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311"/>
      <c r="AI27" s="30"/>
    </row>
    <row r="28" spans="1:35" ht="30" customHeight="1" x14ac:dyDescent="0.3">
      <c r="A28" s="311"/>
      <c r="B28" s="30"/>
      <c r="C28" s="30" t="str">
        <f t="shared" si="0"/>
        <v>8</v>
      </c>
      <c r="D28" s="32">
        <f t="shared" ref="D28" si="2">IF(LEFT(F28,5)="Bonne",D26+1,D27)</f>
        <v>1</v>
      </c>
      <c r="E28" s="32" t="str">
        <f t="shared" ref="E28" si="3">C28&amp;D28&amp;RIGHT(F28,1)</f>
        <v>812</v>
      </c>
      <c r="F28" s="145" t="s">
        <v>28</v>
      </c>
      <c r="G28" s="146" t="str">
        <f>VLOOKUP(E28,BDD!$A$2:$N$567,MATCH(G$24,BDD!$A$1:$P$1,0),FALSE)</f>
        <v>L’équipe projet est mobilisée sur les objectifs du métier.</v>
      </c>
      <c r="H28" s="149" t="str">
        <f>IF(VLOOKUP($E28,BDD!$A$2:$N$567,MATCH($H$23,BDD!$A$1:$P$1,0),FALSE)=H$24,V8_Projets!H$24,"")</f>
        <v/>
      </c>
      <c r="I28" s="150" t="str">
        <f>IF(VLOOKUP($E28,BDD!$A$2:$N$567,MATCH($H$23,BDD!$A$1:$P$1,0),FALSE)=I$24,V8_Projets!I$24,"")</f>
        <v>N2</v>
      </c>
      <c r="J28" s="150" t="str">
        <f>IF(VLOOKUP($E28,BDD!$A$2:$N$567,MATCH($H$23,BDD!$A$1:$P$1,0),FALSE)=J$24,V8_Projets!J$24,"")</f>
        <v/>
      </c>
      <c r="K28" s="150" t="str">
        <f>IF(VLOOKUP($E28,BDD!$A$2:$N$567,MATCH($H$23,BDD!$A$1:$P$1,0),FALSE)=K$24,V8_Projets!K$24,"")</f>
        <v/>
      </c>
      <c r="L28" s="151" t="str">
        <f>IF(VLOOKUP($E28,BDD!$A$2:$N$567,MATCH($H$23,BDD!$A$1:$P$1,0),FALSE)=L$24,V8_Projets!L$24,"")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311"/>
      <c r="AI28" s="30"/>
    </row>
    <row r="29" spans="1:35" ht="30" customHeight="1" x14ac:dyDescent="0.3">
      <c r="A29" s="311"/>
      <c r="B29" s="30"/>
      <c r="C29" s="30" t="str">
        <f t="shared" si="0"/>
        <v>8</v>
      </c>
      <c r="D29" s="32">
        <f t="shared" ref="D29:D68" si="4">IF(LEFT(F29,5)="Bonne",D27+1,D28)</f>
        <v>2</v>
      </c>
      <c r="E29" s="32" t="str">
        <f t="shared" ref="E29:E68" si="5">C29&amp;D29&amp;RIGHT(F29,1)</f>
        <v>822</v>
      </c>
      <c r="F29" s="191" t="s">
        <v>500</v>
      </c>
      <c r="G29" s="192" t="str">
        <f>VLOOKUP(E31,BDD!$A$2:$N$567,6,FALSE)</f>
        <v>Gouvernance du projet</v>
      </c>
      <c r="H29" s="190" t="str">
        <f>VLOOKUP(E31,BDD!$A$2:$N$567,6,FALSE)</f>
        <v>Gouvernance du projet</v>
      </c>
      <c r="I29" s="135"/>
      <c r="J29" s="135"/>
      <c r="K29" s="135"/>
      <c r="L29" s="136"/>
      <c r="M29" s="137"/>
      <c r="N29" s="138"/>
      <c r="O29" s="630">
        <v>0</v>
      </c>
      <c r="P29" s="630"/>
      <c r="Q29" s="630"/>
      <c r="R29" s="630"/>
      <c r="S29" s="632">
        <f>SUMIFS(S:S,$D:$D,D29,$N:$N,"Exigences"&amp;"*")</f>
        <v>0</v>
      </c>
      <c r="T29" s="632"/>
      <c r="U29" s="632"/>
      <c r="V29" s="633"/>
      <c r="W29" s="356">
        <f>IFERROR(IF(N29=Suppl!$E$65,0,IF(N29=Suppl!$E$66,1/2/(COUNTIFS($N:$N,"Exigences"&amp;"*")+COUNTIFS($N:$N,"Non"&amp;"*")),IF(N29=Suppl!$E$67,1/(COUNTIFS($N:$N,"Exigences"&amp;"*")+COUNTIFS($N:$N,"Non"&amp;"*")),0))),0)</f>
        <v>0</v>
      </c>
      <c r="X29" s="30"/>
      <c r="Y29" s="30"/>
      <c r="Z29" s="30"/>
      <c r="AA29" s="30"/>
      <c r="AB29" s="30"/>
      <c r="AC29" s="30"/>
      <c r="AD29" s="30"/>
      <c r="AE29" s="30"/>
      <c r="AF29" s="30"/>
      <c r="AG29" s="30"/>
      <c r="AH29" s="311"/>
      <c r="AI29" s="30"/>
    </row>
    <row r="30" spans="1:35" ht="30" customHeight="1" x14ac:dyDescent="0.3">
      <c r="A30" s="311"/>
      <c r="B30" s="30"/>
      <c r="C30" s="30" t="str">
        <f t="shared" si="0"/>
        <v>8</v>
      </c>
      <c r="D30" s="32">
        <f t="shared" si="4"/>
        <v>2</v>
      </c>
      <c r="E30" s="32" t="str">
        <f t="shared" si="5"/>
        <v>821</v>
      </c>
      <c r="F30" s="211" t="s">
        <v>550</v>
      </c>
      <c r="G30" s="193" t="str">
        <f>VLOOKUP(E32,BDD!$A$2:$N$567,7,FALSE)</f>
        <v>Le mode de gouvernance de projet est clair, partagé et reconnu.</v>
      </c>
      <c r="H30" s="139"/>
      <c r="I30" s="139"/>
      <c r="J30" s="139"/>
      <c r="K30" s="139"/>
      <c r="L30" s="140"/>
      <c r="M30" s="141"/>
      <c r="N30" s="142"/>
      <c r="O30" s="631"/>
      <c r="P30" s="631"/>
      <c r="Q30" s="631"/>
      <c r="R30" s="631"/>
      <c r="S30" s="634"/>
      <c r="T30" s="634"/>
      <c r="U30" s="634"/>
      <c r="V30" s="635"/>
      <c r="W30" s="356">
        <f>IFERROR(IF(N30=Suppl!$E$65,0,IF(N30=Suppl!$E$66,1/2/(COUNTIFS($N:$N,"Exigences"&amp;"*")+COUNTIFS($N:$N,"Non"&amp;"*")),IF(N30=Suppl!$E$67,1/(COUNTIFS($N:$N,"Exigences"&amp;"*")+COUNTIFS($N:$N,"Non"&amp;"*")),0))),0)</f>
        <v>0</v>
      </c>
      <c r="X30" s="30"/>
      <c r="Y30" s="30"/>
      <c r="Z30" s="30"/>
      <c r="AA30" s="30"/>
      <c r="AB30" s="30"/>
      <c r="AC30" s="30"/>
      <c r="AD30" s="30"/>
      <c r="AE30" s="30"/>
      <c r="AF30" s="30"/>
      <c r="AG30" s="30"/>
      <c r="AH30" s="311"/>
      <c r="AI30" s="30"/>
    </row>
    <row r="31" spans="1:35" ht="30" customHeight="1" x14ac:dyDescent="0.3">
      <c r="A31" s="311"/>
      <c r="B31" s="30"/>
      <c r="C31" s="30" t="str">
        <f t="shared" si="0"/>
        <v>8</v>
      </c>
      <c r="D31" s="32">
        <f t="shared" si="4"/>
        <v>2</v>
      </c>
      <c r="E31" s="32" t="str">
        <f t="shared" si="5"/>
        <v>821</v>
      </c>
      <c r="F31" s="143" t="s">
        <v>27</v>
      </c>
      <c r="G31" s="144" t="str">
        <f>VLOOKUP(E31,BDD!$A$2:$N$567,MATCH(G$24,BDD!$A$1:$P$1,0),FALSE)</f>
        <v>L’entité responsable du projet est unique et légitime.</v>
      </c>
      <c r="H31" s="149" t="str">
        <f>IF(VLOOKUP($E31,BDD!$A$2:$N$567,MATCH($H$23,BDD!$A$1:$P$1,0),FALSE)=H$24,V8_Projets!H$24,"")</f>
        <v>N1</v>
      </c>
      <c r="I31" s="150" t="str">
        <f>IF(VLOOKUP($E31,BDD!$A$2:$N$567,MATCH($H$23,BDD!$A$1:$P$1,0),FALSE)=I$24,V8_Projets!I$24,"")</f>
        <v/>
      </c>
      <c r="J31" s="150" t="str">
        <f>IF(VLOOKUP($E31,BDD!$A$2:$N$567,MATCH($H$23,BDD!$A$1:$P$1,0),FALSE)=J$24,V8_Projets!J$24,"")</f>
        <v/>
      </c>
      <c r="K31" s="150" t="str">
        <f>IF(VLOOKUP($E31,BDD!$A$2:$N$567,MATCH($H$23,BDD!$A$1:$P$1,0),FALSE)=K$24,V8_Projets!K$24,"")</f>
        <v/>
      </c>
      <c r="L31" s="151" t="str">
        <f>IF(VLOOKUP($E31,BDD!$A$2:$N$567,MATCH($H$23,BDD!$A$1:$P$1,0),FALSE)=L$24,V8_Projets!L$24,"")</f>
        <v/>
      </c>
      <c r="M31" s="63">
        <f>IF(N31="Exigences partiellement respectées",1,IF(N31="Exigences respectées",2,0))</f>
        <v>0</v>
      </c>
      <c r="N31" s="144" t="str">
        <f>VLOOKUP(VLOOKUP(E31,BDD!$A$2:$P$428,15,FALSE),Suppl!$D$64:$E$68,2,FALSE)</f>
        <v>Non renseigné</v>
      </c>
      <c r="O31" s="626"/>
      <c r="P31" s="626"/>
      <c r="Q31" s="626"/>
      <c r="R31" s="626"/>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311"/>
      <c r="AI31" s="30"/>
    </row>
    <row r="32" spans="1:35" ht="30" customHeight="1" x14ac:dyDescent="0.3">
      <c r="A32" s="311"/>
      <c r="B32" s="30"/>
      <c r="C32" s="30" t="str">
        <f t="shared" si="0"/>
        <v>8</v>
      </c>
      <c r="D32" s="32">
        <f t="shared" si="4"/>
        <v>2</v>
      </c>
      <c r="E32" s="32" t="str">
        <f t="shared" si="5"/>
        <v>822</v>
      </c>
      <c r="F32" s="145" t="s">
        <v>28</v>
      </c>
      <c r="G32" s="146" t="str">
        <f>VLOOKUP(E32,BDD!$A$2:$N$567,MATCH(G$24,BDD!$A$1:$P$1,0),FALSE)</f>
        <v>Le sponsor est désigné et connu de tous. Sa disponibilité réelle lui permet de tenir son rôle.</v>
      </c>
      <c r="H32" s="149" t="str">
        <f>IF(VLOOKUP($E32,BDD!$A$2:$N$567,MATCH($H$23,BDD!$A$1:$P$1,0),FALSE)=H$24,V8_Projets!H$24,"")</f>
        <v>N1</v>
      </c>
      <c r="I32" s="150" t="str">
        <f>IF(VLOOKUP($E32,BDD!$A$2:$N$567,MATCH($H$23,BDD!$A$1:$P$1,0),FALSE)=I$24,V8_Projets!I$24,"")</f>
        <v/>
      </c>
      <c r="J32" s="150" t="str">
        <f>IF(VLOOKUP($E32,BDD!$A$2:$N$567,MATCH($H$23,BDD!$A$1:$P$1,0),FALSE)=J$24,V8_Projets!J$24,"")</f>
        <v/>
      </c>
      <c r="K32" s="150" t="str">
        <f>IF(VLOOKUP($E32,BDD!$A$2:$N$567,MATCH($H$23,BDD!$A$1:$P$1,0),FALSE)=K$24,V8_Projets!K$24,"")</f>
        <v/>
      </c>
      <c r="L32" s="151" t="str">
        <f>IF(VLOOKUP($E32,BDD!$A$2:$N$567,MATCH($H$23,BDD!$A$1:$P$1,0),FALSE)=L$24,V8_Projets!L$24,"")</f>
        <v/>
      </c>
      <c r="M32" s="63">
        <f t="shared" ref="M32:M36" si="6">IF(N32="Exigences partiellement respectées",1,IF(N32="Exigences respectées",2,0))</f>
        <v>0</v>
      </c>
      <c r="N32" s="146" t="str">
        <f>VLOOKUP(VLOOKUP(E32,BDD!$A$2:$P$428,15,FALSE),Suppl!$D$64:$E$68,2,FALSE)</f>
        <v>Non renseigné</v>
      </c>
      <c r="O32" s="629"/>
      <c r="P32" s="629"/>
      <c r="Q32" s="629"/>
      <c r="R32" s="629"/>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311"/>
      <c r="AI32" s="30"/>
    </row>
    <row r="33" spans="1:35" ht="41.4" x14ac:dyDescent="0.3">
      <c r="A33" s="311"/>
      <c r="B33" s="30"/>
      <c r="C33" s="30" t="str">
        <f t="shared" si="0"/>
        <v>8</v>
      </c>
      <c r="D33" s="32">
        <f t="shared" si="4"/>
        <v>2</v>
      </c>
      <c r="E33" s="32" t="str">
        <f t="shared" si="5"/>
        <v>823</v>
      </c>
      <c r="F33" s="143" t="s">
        <v>30</v>
      </c>
      <c r="G33" s="144" t="str">
        <f>VLOOKUP(E33,BDD!$A$2:$N$567,MATCH(G$24,BDD!$A$1:$P$1,0),FALSE)</f>
        <v>Une instance de pilotage, présidée par le sponsor et animée par le responsable de l’équipe projet, ainsi  qu’une instance opérationnelle, présidée par le responsable de l’équipe projet, sont constituées et se réunissent régulièrement.</v>
      </c>
      <c r="H33" s="149" t="str">
        <f>IF(VLOOKUP($E33,BDD!$A$2:$N$567,MATCH($H$23,BDD!$A$1:$P$1,0),FALSE)=H$24,V8_Projets!H$24,"")</f>
        <v/>
      </c>
      <c r="I33" s="150" t="str">
        <f>IF(VLOOKUP($E33,BDD!$A$2:$N$567,MATCH($H$23,BDD!$A$1:$P$1,0),FALSE)=I$24,V8_Projets!I$24,"")</f>
        <v>N2</v>
      </c>
      <c r="J33" s="150" t="str">
        <f>IF(VLOOKUP($E33,BDD!$A$2:$N$567,MATCH($H$23,BDD!$A$1:$P$1,0),FALSE)=J$24,V8_Projets!J$24,"")</f>
        <v/>
      </c>
      <c r="K33" s="150" t="str">
        <f>IF(VLOOKUP($E33,BDD!$A$2:$N$567,MATCH($H$23,BDD!$A$1:$P$1,0),FALSE)=K$24,V8_Projets!K$24,"")</f>
        <v/>
      </c>
      <c r="L33" s="151" t="str">
        <f>IF(VLOOKUP($E33,BDD!$A$2:$N$567,MATCH($H$23,BDD!$A$1:$P$1,0),FALSE)=L$24,V8_Projets!L$24,"")</f>
        <v/>
      </c>
      <c r="M33" s="63">
        <f t="shared" si="6"/>
        <v>0</v>
      </c>
      <c r="N33" s="144" t="str">
        <f>VLOOKUP(VLOOKUP(E33,BDD!$A$2:$P$428,15,FALSE),Suppl!$D$64:$E$68,2,FALSE)</f>
        <v>Non renseigné</v>
      </c>
      <c r="O33" s="629"/>
      <c r="P33" s="629"/>
      <c r="Q33" s="629"/>
      <c r="R33" s="629"/>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311"/>
      <c r="AI33" s="30"/>
    </row>
    <row r="34" spans="1:35" ht="41.4" x14ac:dyDescent="0.3">
      <c r="A34" s="311"/>
      <c r="B34" s="30"/>
      <c r="C34" s="30" t="str">
        <f t="shared" si="0"/>
        <v>8</v>
      </c>
      <c r="D34" s="32">
        <f t="shared" si="4"/>
        <v>2</v>
      </c>
      <c r="E34" s="32" t="str">
        <f t="shared" si="5"/>
        <v>824</v>
      </c>
      <c r="F34" s="145" t="s">
        <v>32</v>
      </c>
      <c r="G34" s="146" t="str">
        <f>VLOOKUP(E34,BDD!$A$2:$N$567,MATCH(G$24,BDD!$A$1:$P$1,0),FALSE)</f>
        <v>Le mode de pilotage du projet est complètement défini. Il intègre les comités complémentaires au comité de pilotage et au comité du projet. Ces comités additionnels sont connus (objectifs, fréquence, tableaux de bord et indicateurs, etc.).</v>
      </c>
      <c r="H34" s="149" t="str">
        <f>IF(VLOOKUP($E34,BDD!$A$2:$N$567,MATCH($H$23,BDD!$A$1:$P$1,0),FALSE)=H$24,V8_Projets!H$24,"")</f>
        <v/>
      </c>
      <c r="I34" s="150" t="str">
        <f>IF(VLOOKUP($E34,BDD!$A$2:$N$567,MATCH($H$23,BDD!$A$1:$P$1,0),FALSE)=I$24,V8_Projets!I$24,"")</f>
        <v>N2</v>
      </c>
      <c r="J34" s="150" t="str">
        <f>IF(VLOOKUP($E34,BDD!$A$2:$N$567,MATCH($H$23,BDD!$A$1:$P$1,0),FALSE)=J$24,V8_Projets!J$24,"")</f>
        <v/>
      </c>
      <c r="K34" s="150" t="str">
        <f>IF(VLOOKUP($E34,BDD!$A$2:$N$567,MATCH($H$23,BDD!$A$1:$P$1,0),FALSE)=K$24,V8_Projets!K$24,"")</f>
        <v/>
      </c>
      <c r="L34" s="151" t="str">
        <f>IF(VLOOKUP($E34,BDD!$A$2:$N$567,MATCH($H$23,BDD!$A$1:$P$1,0),FALSE)=L$24,V8_Projets!L$24,"")</f>
        <v/>
      </c>
      <c r="M34" s="63">
        <f t="shared" si="6"/>
        <v>0</v>
      </c>
      <c r="N34" s="146" t="str">
        <f>VLOOKUP(VLOOKUP(E34,BDD!$A$2:$P$428,15,FALSE),Suppl!$D$64:$E$68,2,FALSE)</f>
        <v>Non renseigné</v>
      </c>
      <c r="O34" s="629"/>
      <c r="P34" s="629"/>
      <c r="Q34" s="629"/>
      <c r="R34" s="629"/>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311"/>
      <c r="AI34" s="30"/>
    </row>
    <row r="35" spans="1:35" ht="55.2" x14ac:dyDescent="0.3">
      <c r="A35" s="311"/>
      <c r="B35" s="30"/>
      <c r="C35" s="30" t="str">
        <f t="shared" si="0"/>
        <v>8</v>
      </c>
      <c r="D35" s="32">
        <f t="shared" si="4"/>
        <v>2</v>
      </c>
      <c r="E35" s="32" t="str">
        <f t="shared" si="5"/>
        <v>825</v>
      </c>
      <c r="F35" s="143" t="s">
        <v>33</v>
      </c>
      <c r="G35" s="144" t="str">
        <f>VLOOKUP(E35,BDD!$A$2:$N$567,MATCH(G$24,BDD!$A$1:$P$1,0),FALSE)</f>
        <v xml:space="preserve">L'équipe projet/produit réunit les compétences nécessaires tant métiers que conduite de projet. Elle dispose également des expertises techniques ou elle s’appuie sur un référent responsable chargé des choix techniques. Elle bénéficie de moyens d'action et de décision réels et d’un budget dédié. </v>
      </c>
      <c r="H35" s="149" t="str">
        <f>IF(VLOOKUP($E35,BDD!$A$2:$N$567,MATCH($H$23,BDD!$A$1:$P$1,0),FALSE)=H$24,V8_Projets!H$24,"")</f>
        <v/>
      </c>
      <c r="I35" s="150" t="str">
        <f>IF(VLOOKUP($E35,BDD!$A$2:$N$567,MATCH($H$23,BDD!$A$1:$P$1,0),FALSE)=I$24,V8_Projets!I$24,"")</f>
        <v>N2</v>
      </c>
      <c r="J35" s="150" t="str">
        <f>IF(VLOOKUP($E35,BDD!$A$2:$N$567,MATCH($H$23,BDD!$A$1:$P$1,0),FALSE)=J$24,V8_Projets!J$24,"")</f>
        <v/>
      </c>
      <c r="K35" s="150" t="str">
        <f>IF(VLOOKUP($E35,BDD!$A$2:$N$567,MATCH($H$23,BDD!$A$1:$P$1,0),FALSE)=K$24,V8_Projets!K$24,"")</f>
        <v/>
      </c>
      <c r="L35" s="151" t="str">
        <f>IF(VLOOKUP($E35,BDD!$A$2:$N$567,MATCH($H$23,BDD!$A$1:$P$1,0),FALSE)=L$24,V8_Projets!L$24,"")</f>
        <v/>
      </c>
      <c r="M35" s="63">
        <f t="shared" si="6"/>
        <v>0</v>
      </c>
      <c r="N35" s="144" t="str">
        <f>VLOOKUP(VLOOKUP(E35,BDD!$A$2:$P$428,15,FALSE),Suppl!$D$64:$E$68,2,FALSE)</f>
        <v>Non renseigné</v>
      </c>
      <c r="O35" s="629"/>
      <c r="P35" s="629"/>
      <c r="Q35" s="629"/>
      <c r="R35" s="629"/>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311"/>
      <c r="AI35" s="30"/>
    </row>
    <row r="36" spans="1:35" ht="55.2" x14ac:dyDescent="0.3">
      <c r="A36" s="311"/>
      <c r="B36" s="30"/>
      <c r="C36" s="30" t="str">
        <f t="shared" si="0"/>
        <v>8</v>
      </c>
      <c r="D36" s="32">
        <f t="shared" si="4"/>
        <v>2</v>
      </c>
      <c r="E36" s="32" t="str">
        <f t="shared" si="5"/>
        <v>826</v>
      </c>
      <c r="F36" s="147" t="s">
        <v>34</v>
      </c>
      <c r="G36" s="148" t="str">
        <f>VLOOKUP(E36,BDD!$A$2:$N$567,MATCH(G$24,BDD!$A$1:$P$1,0),FALSE)</f>
        <v>Les enjeux et les risques, opérationnels, financiers et humains, du projet sont identifiés et connus de tous. La criticité de ces risques est régulièrement évaluée, suivie et communiquée à toutes les parties prenantes, et un plan d'action est mis en œuvre pour les mitiger.</v>
      </c>
      <c r="H36" s="149" t="str">
        <f>IF(VLOOKUP($E36,BDD!$A$2:$N$567,MATCH($H$23,BDD!$A$1:$P$1,0),FALSE)=H$24,V8_Projets!H$24,"")</f>
        <v/>
      </c>
      <c r="I36" s="150" t="str">
        <f>IF(VLOOKUP($E36,BDD!$A$2:$N$567,MATCH($H$23,BDD!$A$1:$P$1,0),FALSE)=I$24,V8_Projets!I$24,"")</f>
        <v/>
      </c>
      <c r="J36" s="150" t="str">
        <f>IF(VLOOKUP($E36,BDD!$A$2:$N$567,MATCH($H$23,BDD!$A$1:$P$1,0),FALSE)=J$24,V8_Projets!J$24,"")</f>
        <v/>
      </c>
      <c r="K36" s="150" t="str">
        <f>IF(VLOOKUP($E36,BDD!$A$2:$N$567,MATCH($H$23,BDD!$A$1:$P$1,0),FALSE)=K$24,V8_Projets!K$24,"")</f>
        <v>N4</v>
      </c>
      <c r="L36" s="151" t="str">
        <f>IF(VLOOKUP($E36,BDD!$A$2:$N$567,MATCH($H$23,BDD!$A$1:$P$1,0),FALSE)=L$24,V8_Projets!L$24,"")</f>
        <v/>
      </c>
      <c r="M36" s="63">
        <f t="shared" si="6"/>
        <v>0</v>
      </c>
      <c r="N36" s="148" t="str">
        <f>VLOOKUP(VLOOKUP(E36,BDD!$A$2:$P$428,15,FALSE),Suppl!$D$64:$E$68,2,FALSE)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311"/>
      <c r="AI36" s="30"/>
    </row>
    <row r="37" spans="1:35" ht="30" customHeight="1" x14ac:dyDescent="0.3">
      <c r="A37" s="311"/>
      <c r="B37" s="30"/>
      <c r="C37" s="30" t="str">
        <f t="shared" si="0"/>
        <v>8</v>
      </c>
      <c r="D37" s="32">
        <f t="shared" si="4"/>
        <v>3</v>
      </c>
      <c r="E37" s="32" t="str">
        <f t="shared" si="5"/>
        <v>833</v>
      </c>
      <c r="F37" s="191" t="s">
        <v>501</v>
      </c>
      <c r="G37" s="192" t="str">
        <f>VLOOKUP(E39,BDD!$A$2:$N$567,6,FALSE)</f>
        <v>Méthode de projet</v>
      </c>
      <c r="H37" s="190"/>
      <c r="I37" s="135"/>
      <c r="J37" s="135"/>
      <c r="K37" s="135"/>
      <c r="L37" s="136"/>
      <c r="M37" s="137"/>
      <c r="N37" s="138"/>
      <c r="O37" s="630">
        <v>0</v>
      </c>
      <c r="P37" s="630"/>
      <c r="Q37" s="630"/>
      <c r="R37" s="630"/>
      <c r="S37" s="632">
        <f>SUMIFS(S:S,$D:$D,D37,$N:$N,"Exigences"&amp;"*")</f>
        <v>0</v>
      </c>
      <c r="T37" s="632"/>
      <c r="U37" s="632"/>
      <c r="V37" s="633"/>
      <c r="W37" s="356">
        <f>IFERROR(IF(N37=Suppl!$E$65,0,IF(N37=Suppl!$E$66,1/2/(COUNTIFS($N:$N,"Exigences"&amp;"*")+COUNTIFS($N:$N,"Non"&amp;"*")),IF(N37=Suppl!$E$67,1/(COUNTIFS($N:$N,"Exigences"&amp;"*")+COUNTIFS($N:$N,"Non"&amp;"*")),0))),0)</f>
        <v>0</v>
      </c>
      <c r="X37" s="30"/>
      <c r="Y37" s="30"/>
      <c r="Z37" s="30"/>
      <c r="AA37" s="30"/>
      <c r="AB37" s="30"/>
      <c r="AC37" s="30"/>
      <c r="AD37" s="30"/>
      <c r="AE37" s="30"/>
      <c r="AF37" s="30"/>
      <c r="AG37" s="30"/>
      <c r="AH37" s="311"/>
      <c r="AI37" s="30"/>
    </row>
    <row r="38" spans="1:35" ht="30" customHeight="1" x14ac:dyDescent="0.3">
      <c r="A38" s="311"/>
      <c r="B38" s="30"/>
      <c r="C38" s="30" t="str">
        <f t="shared" si="0"/>
        <v>8</v>
      </c>
      <c r="D38" s="32">
        <f t="shared" si="4"/>
        <v>3</v>
      </c>
      <c r="E38" s="32" t="str">
        <f t="shared" si="5"/>
        <v>831</v>
      </c>
      <c r="F38" s="211" t="s">
        <v>550</v>
      </c>
      <c r="G38" s="193" t="str">
        <f>VLOOKUP(E40,BDD!$A$2:$N$567,7,FALSE)</f>
        <v>L’équipe projet fait le choix d’une méthode de travail cohérente avec les objectifs du projet.</v>
      </c>
      <c r="H38" s="139"/>
      <c r="I38" s="139"/>
      <c r="J38" s="139"/>
      <c r="K38" s="139"/>
      <c r="L38" s="140"/>
      <c r="M38" s="141"/>
      <c r="N38" s="142"/>
      <c r="O38" s="631"/>
      <c r="P38" s="631"/>
      <c r="Q38" s="631"/>
      <c r="R38" s="631"/>
      <c r="S38" s="634"/>
      <c r="T38" s="634"/>
      <c r="U38" s="634"/>
      <c r="V38" s="635"/>
      <c r="W38" s="356">
        <f>IFERROR(IF(N38=Suppl!$E$65,0,IF(N38=Suppl!$E$66,1/2/(COUNTIFS($N:$N,"Exigences"&amp;"*")+COUNTIFS($N:$N,"Non"&amp;"*")),IF(N38=Suppl!$E$67,1/(COUNTIFS($N:$N,"Exigences"&amp;"*")+COUNTIFS($N:$N,"Non"&amp;"*")),0))),0)</f>
        <v>0</v>
      </c>
      <c r="X38" s="30"/>
      <c r="Y38" s="30"/>
      <c r="Z38" s="30"/>
      <c r="AA38" s="30"/>
      <c r="AB38" s="30"/>
      <c r="AC38" s="30"/>
      <c r="AD38" s="30"/>
      <c r="AE38" s="30"/>
      <c r="AF38" s="30"/>
      <c r="AG38" s="30"/>
      <c r="AH38" s="311"/>
      <c r="AI38" s="30"/>
    </row>
    <row r="39" spans="1:35" ht="30" customHeight="1" x14ac:dyDescent="0.3">
      <c r="A39" s="311"/>
      <c r="B39" s="30"/>
      <c r="C39" s="30" t="str">
        <f t="shared" si="0"/>
        <v>8</v>
      </c>
      <c r="D39" s="32">
        <f t="shared" si="4"/>
        <v>3</v>
      </c>
      <c r="E39" s="32" t="str">
        <f t="shared" si="5"/>
        <v>831</v>
      </c>
      <c r="F39" s="143" t="s">
        <v>27</v>
      </c>
      <c r="G39" s="144" t="str">
        <f>VLOOKUP(E39,BDD!$A$2:$N$567,MATCH(G$24,BDD!$A$1:$P$1,0),FALSE)</f>
        <v>La DSI a défini et documenté les méthodes de conduite de projet préconisées.  </v>
      </c>
      <c r="H39" s="149" t="str">
        <f>IF(VLOOKUP($E39,BDD!$A$2:$N$567,MATCH($H$23,BDD!$A$1:$P$1,0),FALSE)=H$24,V8_Projets!H$24,"")</f>
        <v/>
      </c>
      <c r="I39" s="150" t="str">
        <f>IF(VLOOKUP($E39,BDD!$A$2:$N$567,MATCH($H$23,BDD!$A$1:$P$1,0),FALSE)=I$24,V8_Projets!I$24,"")</f>
        <v>N2</v>
      </c>
      <c r="J39" s="150" t="str">
        <f>IF(VLOOKUP($E39,BDD!$A$2:$N$567,MATCH($H$23,BDD!$A$1:$P$1,0),FALSE)=J$24,V8_Projets!J$24,"")</f>
        <v/>
      </c>
      <c r="K39" s="150" t="str">
        <f>IF(VLOOKUP($E39,BDD!$A$2:$N$567,MATCH($H$23,BDD!$A$1:$P$1,0),FALSE)=K$24,V8_Projets!K$24,"")</f>
        <v/>
      </c>
      <c r="L39" s="151" t="str">
        <f>IF(VLOOKUP($E39,BDD!$A$2:$N$567,MATCH($H$23,BDD!$A$1:$P$1,0),FALSE)=L$24,V8_Projets!L$24,"")</f>
        <v/>
      </c>
      <c r="M39" s="63">
        <f t="shared" ref="M39:M43" si="7">IF(N39="Exigences partiellement respectées",1,IF(N39="Exigences respectées",2,0))</f>
        <v>0</v>
      </c>
      <c r="N39" s="144" t="str">
        <f>VLOOKUP(VLOOKUP(E39,BDD!$A$2:$P$428,15,FALSE),Suppl!$D$64:$E$68,2,FALSE)</f>
        <v>Non renseigné</v>
      </c>
      <c r="O39" s="626"/>
      <c r="P39" s="626"/>
      <c r="Q39" s="626"/>
      <c r="R39" s="626"/>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311"/>
      <c r="AI39" s="30"/>
    </row>
    <row r="40" spans="1:35" ht="30" customHeight="1" x14ac:dyDescent="0.3">
      <c r="A40" s="311"/>
      <c r="B40" s="30"/>
      <c r="C40" s="30" t="str">
        <f t="shared" si="0"/>
        <v>8</v>
      </c>
      <c r="D40" s="32">
        <f t="shared" si="4"/>
        <v>3</v>
      </c>
      <c r="E40" s="32" t="str">
        <f t="shared" si="5"/>
        <v>832</v>
      </c>
      <c r="F40" s="145" t="s">
        <v>28</v>
      </c>
      <c r="G40" s="146" t="str">
        <f>VLOOKUP(E40,BDD!$A$2:$N$567,MATCH(G$24,BDD!$A$1:$P$1,0),FALSE)</f>
        <v>L’équipe projet choisit, en accord avec la DSI, une méthode de conduite de projet adaptée et en assume les impacts sur son mode de fonctionnement.</v>
      </c>
      <c r="H40" s="149" t="str">
        <f>IF(VLOOKUP($E40,BDD!$A$2:$N$567,MATCH($H$23,BDD!$A$1:$P$1,0),FALSE)=H$24,V8_Projets!H$24,"")</f>
        <v>N1</v>
      </c>
      <c r="I40" s="150" t="str">
        <f>IF(VLOOKUP($E40,BDD!$A$2:$N$567,MATCH($H$23,BDD!$A$1:$P$1,0),FALSE)=I$24,V8_Projets!I$24,"")</f>
        <v/>
      </c>
      <c r="J40" s="150" t="str">
        <f>IF(VLOOKUP($E40,BDD!$A$2:$N$567,MATCH($H$23,BDD!$A$1:$P$1,0),FALSE)=J$24,V8_Projets!J$24,"")</f>
        <v/>
      </c>
      <c r="K40" s="150" t="str">
        <f>IF(VLOOKUP($E40,BDD!$A$2:$N$567,MATCH($H$23,BDD!$A$1:$P$1,0),FALSE)=K$24,V8_Projets!K$24,"")</f>
        <v/>
      </c>
      <c r="L40" s="151" t="str">
        <f>IF(VLOOKUP($E40,BDD!$A$2:$N$567,MATCH($H$23,BDD!$A$1:$P$1,0),FALSE)=L$24,V8_Projets!L$24,"")</f>
        <v/>
      </c>
      <c r="M40" s="63">
        <f t="shared" si="7"/>
        <v>0</v>
      </c>
      <c r="N40" s="146" t="str">
        <f>VLOOKUP(VLOOKUP(E40,BDD!$A$2:$P$428,15,FALSE),Suppl!$D$64:$E$68,2,FALSE)</f>
        <v>Non renseigné</v>
      </c>
      <c r="O40" s="629"/>
      <c r="P40" s="629"/>
      <c r="Q40" s="629"/>
      <c r="R40" s="629"/>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311"/>
      <c r="AI40" s="30"/>
    </row>
    <row r="41" spans="1:35" ht="30" customHeight="1" x14ac:dyDescent="0.3">
      <c r="A41" s="311"/>
      <c r="B41" s="30"/>
      <c r="C41" s="30" t="str">
        <f t="shared" si="0"/>
        <v>8</v>
      </c>
      <c r="D41" s="32">
        <f t="shared" si="4"/>
        <v>3</v>
      </c>
      <c r="E41" s="32" t="str">
        <f t="shared" si="5"/>
        <v>833</v>
      </c>
      <c r="F41" s="143" t="s">
        <v>30</v>
      </c>
      <c r="G41" s="144" t="str">
        <f>VLOOKUP(E41,BDD!$A$2:$N$567,MATCH(G$24,BDD!$A$1:$P$1,0),FALSE)</f>
        <v>Le choix de la méthode de gestion de projet tient compte des contraintes liées au portefeuille de projets (synchronisation, dépendances).</v>
      </c>
      <c r="H41" s="149" t="str">
        <f>IF(VLOOKUP($E41,BDD!$A$2:$N$567,MATCH($H$23,BDD!$A$1:$P$1,0),FALSE)=H$24,V8_Projets!H$24,"")</f>
        <v/>
      </c>
      <c r="I41" s="150" t="str">
        <f>IF(VLOOKUP($E41,BDD!$A$2:$N$567,MATCH($H$23,BDD!$A$1:$P$1,0),FALSE)=I$24,V8_Projets!I$24,"")</f>
        <v/>
      </c>
      <c r="J41" s="150" t="str">
        <f>IF(VLOOKUP($E41,BDD!$A$2:$N$567,MATCH($H$23,BDD!$A$1:$P$1,0),FALSE)=J$24,V8_Projets!J$24,"")</f>
        <v>N3</v>
      </c>
      <c r="K41" s="150" t="str">
        <f>IF(VLOOKUP($E41,BDD!$A$2:$N$567,MATCH($H$23,BDD!$A$1:$P$1,0),FALSE)=K$24,V8_Projets!K$24,"")</f>
        <v/>
      </c>
      <c r="L41" s="151" t="str">
        <f>IF(VLOOKUP($E41,BDD!$A$2:$N$567,MATCH($H$23,BDD!$A$1:$P$1,0),FALSE)=L$24,V8_Projets!L$24,"")</f>
        <v/>
      </c>
      <c r="M41" s="63">
        <f t="shared" si="7"/>
        <v>0</v>
      </c>
      <c r="N41" s="144" t="str">
        <f>VLOOKUP(VLOOKUP(E41,BDD!$A$2:$P$428,15,FALSE),Suppl!$D$64:$E$68,2,FALSE)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311"/>
      <c r="AI41" s="30"/>
    </row>
    <row r="42" spans="1:35" ht="30" customHeight="1" x14ac:dyDescent="0.3">
      <c r="A42" s="311"/>
      <c r="B42" s="30"/>
      <c r="C42" s="30" t="str">
        <f t="shared" si="0"/>
        <v>8</v>
      </c>
      <c r="D42" s="32">
        <f t="shared" si="4"/>
        <v>3</v>
      </c>
      <c r="E42" s="32" t="str">
        <f t="shared" si="5"/>
        <v>834</v>
      </c>
      <c r="F42" s="145" t="s">
        <v>32</v>
      </c>
      <c r="G42" s="146" t="str">
        <f>VLOOKUP(E42,BDD!$A$2:$N$567,MATCH(G$24,BDD!$A$1:$P$1,0),FALSE)</f>
        <v>Les acteurs du projet sont mobilisés de façon adaptée en fonction de la méthode de projet retenue (« cycle en V » ou « agile »).</v>
      </c>
      <c r="H42" s="149" t="str">
        <f>IF(VLOOKUP($E42,BDD!$A$2:$N$567,MATCH($H$23,BDD!$A$1:$P$1,0),FALSE)=H$24,V8_Projets!H$24,"")</f>
        <v/>
      </c>
      <c r="I42" s="150" t="str">
        <f>IF(VLOOKUP($E42,BDD!$A$2:$N$567,MATCH($H$23,BDD!$A$1:$P$1,0),FALSE)=I$24,V8_Projets!I$24,"")</f>
        <v>N2</v>
      </c>
      <c r="J42" s="150" t="str">
        <f>IF(VLOOKUP($E42,BDD!$A$2:$N$567,MATCH($H$23,BDD!$A$1:$P$1,0),FALSE)=J$24,V8_Projets!J$24,"")</f>
        <v/>
      </c>
      <c r="K42" s="150" t="str">
        <f>IF(VLOOKUP($E42,BDD!$A$2:$N$567,MATCH($H$23,BDD!$A$1:$P$1,0),FALSE)=K$24,V8_Projets!K$24,"")</f>
        <v/>
      </c>
      <c r="L42" s="151" t="str">
        <f>IF(VLOOKUP($E42,BDD!$A$2:$N$567,MATCH($H$23,BDD!$A$1:$P$1,0),FALSE)=L$24,V8_Projets!L$24,"")</f>
        <v/>
      </c>
      <c r="M42" s="63">
        <f t="shared" si="7"/>
        <v>0</v>
      </c>
      <c r="N42" s="146" t="str">
        <f>VLOOKUP(VLOOKUP(E42,BDD!$A$2:$P$428,15,FALSE),Suppl!$D$64:$E$68,2,FALSE)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311"/>
      <c r="AI42" s="30"/>
    </row>
    <row r="43" spans="1:35" ht="41.4" x14ac:dyDescent="0.3">
      <c r="A43" s="311"/>
      <c r="B43" s="30"/>
      <c r="C43" s="30" t="str">
        <f t="shared" si="0"/>
        <v>8</v>
      </c>
      <c r="D43" s="32">
        <f t="shared" si="4"/>
        <v>3</v>
      </c>
      <c r="E43" s="32" t="str">
        <f t="shared" si="5"/>
        <v>835</v>
      </c>
      <c r="F43" s="143" t="s">
        <v>33</v>
      </c>
      <c r="G43" s="144" t="str">
        <f>VLOOKUP(E43,BDD!$A$2:$N$567,MATCH(G$24,BDD!$A$1:$P$1,0),FALSE)</f>
        <v xml:space="preserve">Le volet « accompagnement au changement » est prévu dès l’amont du projet. Il est dimensionné et déployé tout au long de son déroulement afin d'assurer l'atteinte de ses objectifs. </v>
      </c>
      <c r="H43" s="149" t="str">
        <f>IF(VLOOKUP($E43,BDD!$A$2:$N$567,MATCH($H$23,BDD!$A$1:$P$1,0),FALSE)=H$24,V8_Projets!H$24,"")</f>
        <v/>
      </c>
      <c r="I43" s="150" t="str">
        <f>IF(VLOOKUP($E43,BDD!$A$2:$N$567,MATCH($H$23,BDD!$A$1:$P$1,0),FALSE)=I$24,V8_Projets!I$24,"")</f>
        <v/>
      </c>
      <c r="J43" s="150" t="str">
        <f>IF(VLOOKUP($E43,BDD!$A$2:$N$567,MATCH($H$23,BDD!$A$1:$P$1,0),FALSE)=J$24,V8_Projets!J$24,"")</f>
        <v>N3</v>
      </c>
      <c r="K43" s="150" t="str">
        <f>IF(VLOOKUP($E43,BDD!$A$2:$N$567,MATCH($H$23,BDD!$A$1:$P$1,0),FALSE)=K$24,V8_Projets!K$24,"")</f>
        <v/>
      </c>
      <c r="L43" s="151" t="str">
        <f>IF(VLOOKUP($E43,BDD!$A$2:$N$567,MATCH($H$23,BDD!$A$1:$P$1,0),FALSE)=L$24,V8_Projets!L$24,"")</f>
        <v/>
      </c>
      <c r="M43" s="63">
        <f t="shared" si="7"/>
        <v>0</v>
      </c>
      <c r="N43" s="144" t="str">
        <f>VLOOKUP(VLOOKUP(E43,BDD!$A$2:$P$428,15,FALSE),Suppl!$D$64:$E$68,2,FALSE)</f>
        <v>Non renseigné</v>
      </c>
      <c r="O43" s="629"/>
      <c r="P43" s="629"/>
      <c r="Q43" s="629"/>
      <c r="R43" s="629"/>
      <c r="S43" s="627">
        <f>IF(N43=Suppl!$E$65,0,IF(N43=Suppl!$E$66,1/2/(COUNTIFS($D:$D,D43,$N:$N,"Exigences"&amp;"*",G:G,"&lt;&gt;0")+COUNTIFS($D:$D,D43,$N:$N,"Non"&amp;"*",G:G,"&lt;&gt;0")),IF(N43=Suppl!$E$67,1/(COUNTIFS($D:$D,D43,$N:$N,"Exigences"&amp;"*",G:G,"&lt;&gt;0")+COUNTIFS($D:$D,D43,$N:$N,"Non"&amp;"*",G:G,"&lt;&gt;0")),0)))</f>
        <v>0</v>
      </c>
      <c r="T43" s="627"/>
      <c r="U43" s="627"/>
      <c r="V43" s="628"/>
      <c r="W43" s="356">
        <f>IFERROR(IF(N43=Suppl!$E$65,0,IF(N43=Suppl!$E$66,1/2/(COUNTIFS($N:$N,"Exigences"&amp;"*")+COUNTIFS($N:$N,"Non"&amp;"*")),IF(N43=Suppl!$E$67,1/(COUNTIFS($N:$N,"Exigences"&amp;"*")+COUNTIFS($N:$N,"Non"&amp;"*")),0))),0)</f>
        <v>0</v>
      </c>
      <c r="X43" s="30"/>
      <c r="Y43" s="30"/>
      <c r="Z43" s="30"/>
      <c r="AA43" s="30"/>
      <c r="AB43" s="30"/>
      <c r="AC43" s="30"/>
      <c r="AD43" s="30"/>
      <c r="AE43" s="30"/>
      <c r="AF43" s="30"/>
      <c r="AG43" s="30"/>
      <c r="AH43" s="311"/>
      <c r="AI43" s="30"/>
    </row>
    <row r="44" spans="1:35" ht="30" customHeight="1" x14ac:dyDescent="0.3">
      <c r="A44" s="311"/>
      <c r="B44" s="30"/>
      <c r="C44" s="30" t="str">
        <f t="shared" si="0"/>
        <v>8</v>
      </c>
      <c r="D44" s="32">
        <f t="shared" si="4"/>
        <v>4</v>
      </c>
      <c r="E44" s="32" t="str">
        <f t="shared" si="5"/>
        <v>844</v>
      </c>
      <c r="F44" s="191" t="s">
        <v>502</v>
      </c>
      <c r="G44" s="192" t="str">
        <f>VLOOKUP(E46,BDD!$A$2:$N$567,6,FALSE)</f>
        <v>Conformité, contrôle interne et sécurité</v>
      </c>
      <c r="H44" s="190"/>
      <c r="I44" s="135"/>
      <c r="J44" s="135"/>
      <c r="K44" s="135"/>
      <c r="L44" s="136"/>
      <c r="M44" s="137"/>
      <c r="N44" s="138"/>
      <c r="O44" s="630">
        <v>0</v>
      </c>
      <c r="P44" s="630"/>
      <c r="Q44" s="630"/>
      <c r="R44" s="630"/>
      <c r="S44" s="632">
        <f>SUMIFS(S:S,$D:$D,D44,$N:$N,"Exigences"&amp;"*")</f>
        <v>0</v>
      </c>
      <c r="T44" s="632"/>
      <c r="U44" s="632"/>
      <c r="V44" s="633"/>
      <c r="W44" s="356">
        <f>IFERROR(IF(N44=Suppl!$E$65,0,IF(N44=Suppl!$E$66,1/2/(COUNTIFS($N:$N,"Exigences"&amp;"*")+COUNTIFS($N:$N,"Non"&amp;"*")),IF(N44=Suppl!$E$67,1/(COUNTIFS($N:$N,"Exigences"&amp;"*")+COUNTIFS($N:$N,"Non"&amp;"*")),0))),0)</f>
        <v>0</v>
      </c>
      <c r="X44" s="30"/>
      <c r="Y44" s="30"/>
      <c r="Z44" s="30"/>
      <c r="AA44" s="30"/>
      <c r="AB44" s="30"/>
      <c r="AC44" s="30"/>
      <c r="AD44" s="30"/>
      <c r="AE44" s="30"/>
      <c r="AF44" s="30"/>
      <c r="AG44" s="30"/>
      <c r="AH44" s="311"/>
      <c r="AI44" s="30"/>
    </row>
    <row r="45" spans="1:35" ht="30" customHeight="1" x14ac:dyDescent="0.3">
      <c r="A45" s="311"/>
      <c r="B45" s="30"/>
      <c r="C45" s="30" t="str">
        <f t="shared" si="0"/>
        <v>8</v>
      </c>
      <c r="D45" s="32">
        <f t="shared" si="4"/>
        <v>4</v>
      </c>
      <c r="E45" s="32" t="str">
        <f t="shared" si="5"/>
        <v>841</v>
      </c>
      <c r="F45" s="211" t="s">
        <v>550</v>
      </c>
      <c r="G45" s="620" t="str">
        <f>VLOOKUP(E47,BDD!$A$2:$N$567,7,FALSE)</f>
        <v>La sécurité, la conformité et le contrôle interne, comme l’implication indispensable des utilisateurs finaux, sont intégrés dès la conception des produits ou solutions SI. </v>
      </c>
      <c r="H45" s="621"/>
      <c r="I45" s="621"/>
      <c r="J45" s="621"/>
      <c r="K45" s="621"/>
      <c r="L45" s="621"/>
      <c r="M45" s="621"/>
      <c r="N45" s="622"/>
      <c r="O45" s="631"/>
      <c r="P45" s="631"/>
      <c r="Q45" s="631"/>
      <c r="R45" s="631"/>
      <c r="S45" s="634"/>
      <c r="T45" s="634"/>
      <c r="U45" s="634"/>
      <c r="V45" s="635"/>
      <c r="W45" s="356">
        <f>IFERROR(IF(N45=Suppl!$E$65,0,IF(N45=Suppl!$E$66,1/2/(COUNTIFS($N:$N,"Exigences"&amp;"*")+COUNTIFS($N:$N,"Non"&amp;"*")),IF(N45=Suppl!$E$67,1/(COUNTIFS($N:$N,"Exigences"&amp;"*")+COUNTIFS($N:$N,"Non"&amp;"*")),0))),0)</f>
        <v>0</v>
      </c>
      <c r="X45" s="30"/>
      <c r="Y45" s="30"/>
      <c r="Z45" s="30"/>
      <c r="AA45" s="30"/>
      <c r="AB45" s="30"/>
      <c r="AC45" s="30"/>
      <c r="AD45" s="30"/>
      <c r="AE45" s="30"/>
      <c r="AF45" s="30"/>
      <c r="AG45" s="30"/>
      <c r="AH45" s="311"/>
      <c r="AI45" s="30"/>
    </row>
    <row r="46" spans="1:35" ht="30" customHeight="1" x14ac:dyDescent="0.3">
      <c r="A46" s="311"/>
      <c r="B46" s="30"/>
      <c r="C46" s="30" t="str">
        <f t="shared" si="0"/>
        <v>8</v>
      </c>
      <c r="D46" s="32">
        <f t="shared" si="4"/>
        <v>4</v>
      </c>
      <c r="E46" s="32" t="str">
        <f t="shared" si="5"/>
        <v>841</v>
      </c>
      <c r="F46" s="143" t="s">
        <v>27</v>
      </c>
      <c r="G46" s="144" t="str">
        <f>VLOOKUP(E46,BDD!$A$2:$N$567,MATCH(G$24,BDD!$A$1:$P$1,0),FALSE)</f>
        <v>Les exigences (internes/externes) de conformité, de contrôle interne, de sécurité et de protection des données sont prises en compte dès la conception des projets.</v>
      </c>
      <c r="H46" s="149" t="str">
        <f>IF(VLOOKUP($E46,BDD!$A$2:$N$567,MATCH($H$23,BDD!$A$1:$P$1,0),FALSE)=H$24,V8_Projets!H$24,"")</f>
        <v/>
      </c>
      <c r="I46" s="150" t="str">
        <f>IF(VLOOKUP($E46,BDD!$A$2:$N$567,MATCH($H$23,BDD!$A$1:$P$1,0),FALSE)=I$24,V8_Projets!I$24,"")</f>
        <v/>
      </c>
      <c r="J46" s="150" t="str">
        <f>IF(VLOOKUP($E46,BDD!$A$2:$N$567,MATCH($H$23,BDD!$A$1:$P$1,0),FALSE)=J$24,V8_Projets!J$24,"")</f>
        <v>N3</v>
      </c>
      <c r="K46" s="150" t="str">
        <f>IF(VLOOKUP($E46,BDD!$A$2:$N$567,MATCH($H$23,BDD!$A$1:$P$1,0),FALSE)=K$24,V8_Projets!K$24,"")</f>
        <v/>
      </c>
      <c r="L46" s="151" t="str">
        <f>IF(VLOOKUP($E46,BDD!$A$2:$N$567,MATCH($H$23,BDD!$A$1:$P$1,0),FALSE)=L$24,V8_Projets!L$24,"")</f>
        <v/>
      </c>
      <c r="M46" s="63">
        <f t="shared" ref="M46:M49" si="8">IF(N46="Exigences partiellement respectées",1,IF(N46="Exigences respectées",2,0))</f>
        <v>0</v>
      </c>
      <c r="N46" s="144" t="str">
        <f>VLOOKUP(VLOOKUP(E46,BDD!$A$2:$P$428,15,FALSE),Suppl!$D$64:$E$68,2,FALSE)</f>
        <v>Non renseigné</v>
      </c>
      <c r="O46" s="626"/>
      <c r="P46" s="626"/>
      <c r="Q46" s="626"/>
      <c r="R46" s="626"/>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311"/>
      <c r="AI46" s="30"/>
    </row>
    <row r="47" spans="1:35" ht="27.6" x14ac:dyDescent="0.3">
      <c r="A47" s="311"/>
      <c r="B47" s="30"/>
      <c r="C47" s="30" t="str">
        <f t="shared" si="0"/>
        <v>8</v>
      </c>
      <c r="D47" s="32">
        <f t="shared" si="4"/>
        <v>4</v>
      </c>
      <c r="E47" s="32" t="str">
        <f t="shared" si="5"/>
        <v>842</v>
      </c>
      <c r="F47" s="145" t="s">
        <v>28</v>
      </c>
      <c r="G47" s="146" t="str">
        <f>VLOOKUP(E47,BDD!$A$2:$N$567,MATCH(G$24,BDD!$A$1:$P$1,0),FALSE)</f>
        <v>Les équipes chargées de la conformité, du contrôle interne, de la sécurité et de la protection des données sont associées aux équipes projet ou aux instances de pilotage.</v>
      </c>
      <c r="H47" s="149" t="str">
        <f>IF(VLOOKUP($E47,BDD!$A$2:$N$567,MATCH($H$23,BDD!$A$1:$P$1,0),FALSE)=H$24,V8_Projets!H$24,"")</f>
        <v/>
      </c>
      <c r="I47" s="150" t="str">
        <f>IF(VLOOKUP($E47,BDD!$A$2:$N$567,MATCH($H$23,BDD!$A$1:$P$1,0),FALSE)=I$24,V8_Projets!I$24,"")</f>
        <v/>
      </c>
      <c r="J47" s="150" t="str">
        <f>IF(VLOOKUP($E47,BDD!$A$2:$N$567,MATCH($H$23,BDD!$A$1:$P$1,0),FALSE)=J$24,V8_Projets!J$24,"")</f>
        <v>N3</v>
      </c>
      <c r="K47" s="150" t="str">
        <f>IF(VLOOKUP($E47,BDD!$A$2:$N$567,MATCH($H$23,BDD!$A$1:$P$1,0),FALSE)=K$24,V8_Projets!K$24,"")</f>
        <v/>
      </c>
      <c r="L47" s="151" t="str">
        <f>IF(VLOOKUP($E47,BDD!$A$2:$N$567,MATCH($H$23,BDD!$A$1:$P$1,0),FALSE)=L$24,V8_Projets!L$24,"")</f>
        <v/>
      </c>
      <c r="M47" s="63">
        <f t="shared" si="8"/>
        <v>0</v>
      </c>
      <c r="N47" s="146"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311"/>
      <c r="AI47" s="30"/>
    </row>
    <row r="48" spans="1:35" ht="30" customHeight="1" x14ac:dyDescent="0.3">
      <c r="A48" s="311"/>
      <c r="B48" s="30"/>
      <c r="C48" s="30" t="str">
        <f t="shared" si="0"/>
        <v>8</v>
      </c>
      <c r="D48" s="32">
        <f t="shared" si="4"/>
        <v>4</v>
      </c>
      <c r="E48" s="32" t="str">
        <f t="shared" si="5"/>
        <v>843</v>
      </c>
      <c r="F48" s="143" t="s">
        <v>30</v>
      </c>
      <c r="G48" s="144" t="str">
        <f>VLOOKUP(E48,BDD!$A$2:$N$567,MATCH(G$24,BDD!$A$1:$P$1,0),FALSE)</f>
        <v>L'autorité architecturale est impliquée dès le début du projet pour assurer l’alignement avec les politiques et normes de l'entreprise. </v>
      </c>
      <c r="H48" s="149" t="str">
        <f>IF(VLOOKUP($E48,BDD!$A$2:$N$567,MATCH($H$23,BDD!$A$1:$P$1,0),FALSE)=H$24,V8_Projets!H$24,"")</f>
        <v/>
      </c>
      <c r="I48" s="150" t="str">
        <f>IF(VLOOKUP($E48,BDD!$A$2:$N$567,MATCH($H$23,BDD!$A$1:$P$1,0),FALSE)=I$24,V8_Projets!I$24,"")</f>
        <v/>
      </c>
      <c r="J48" s="150" t="str">
        <f>IF(VLOOKUP($E48,BDD!$A$2:$N$567,MATCH($H$23,BDD!$A$1:$P$1,0),FALSE)=J$24,V8_Projets!J$24,"")</f>
        <v>N3</v>
      </c>
      <c r="K48" s="150" t="str">
        <f>IF(VLOOKUP($E48,BDD!$A$2:$N$567,MATCH($H$23,BDD!$A$1:$P$1,0),FALSE)=K$24,V8_Projets!K$24,"")</f>
        <v/>
      </c>
      <c r="L48" s="151" t="str">
        <f>IF(VLOOKUP($E48,BDD!$A$2:$N$567,MATCH($H$23,BDD!$A$1:$P$1,0),FALSE)=L$24,V8_Projets!L$24,"")</f>
        <v/>
      </c>
      <c r="M48" s="63">
        <f t="shared" si="8"/>
        <v>0</v>
      </c>
      <c r="N48" s="144" t="str">
        <f>VLOOKUP(VLOOKUP(E48,BDD!$A$2:$P$428,15,FALSE),Suppl!$D$64:$E$68,2,FALSE)</f>
        <v>Non renseigné</v>
      </c>
      <c r="O48" s="629"/>
      <c r="P48" s="629"/>
      <c r="Q48" s="629"/>
      <c r="R48" s="629"/>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311"/>
      <c r="AI48" s="30"/>
    </row>
    <row r="49" spans="1:35" ht="41.4" x14ac:dyDescent="0.3">
      <c r="A49" s="311"/>
      <c r="B49" s="30"/>
      <c r="C49" s="30" t="str">
        <f t="shared" si="0"/>
        <v>8</v>
      </c>
      <c r="D49" s="32">
        <f t="shared" si="4"/>
        <v>4</v>
      </c>
      <c r="E49" s="32" t="str">
        <f t="shared" si="5"/>
        <v>844</v>
      </c>
      <c r="F49" s="145" t="s">
        <v>32</v>
      </c>
      <c r="G49" s="146" t="str">
        <f>VLOOKUP(E49,BDD!$A$2:$N$567,MATCH(G$24,BDD!$A$1:$P$1,0),FALSE)</f>
        <v>Les exigences en matière de conformité, contrôle interne, sécurité et protection des données sont déclinées et testées. Leur implémentation est validée par les clients métiers et les équipes en charge de ces domaines.</v>
      </c>
      <c r="H49" s="149" t="str">
        <f>IF(VLOOKUP($E49,BDD!$A$2:$N$567,MATCH($H$23,BDD!$A$1:$P$1,0),FALSE)=H$24,V8_Projets!H$24,"")</f>
        <v/>
      </c>
      <c r="I49" s="150" t="str">
        <f>IF(VLOOKUP($E49,BDD!$A$2:$N$567,MATCH($H$23,BDD!$A$1:$P$1,0),FALSE)=I$24,V8_Projets!I$24,"")</f>
        <v/>
      </c>
      <c r="J49" s="150" t="str">
        <f>IF(VLOOKUP($E49,BDD!$A$2:$N$567,MATCH($H$23,BDD!$A$1:$P$1,0),FALSE)=J$24,V8_Projets!J$24,"")</f>
        <v/>
      </c>
      <c r="K49" s="150" t="str">
        <f>IF(VLOOKUP($E49,BDD!$A$2:$N$567,MATCH($H$23,BDD!$A$1:$P$1,0),FALSE)=K$24,V8_Projets!K$24,"")</f>
        <v>N4</v>
      </c>
      <c r="L49" s="151" t="str">
        <f>IF(VLOOKUP($E49,BDD!$A$2:$N$567,MATCH($H$23,BDD!$A$1:$P$1,0),FALSE)=L$24,V8_Projets!L$24,"")</f>
        <v/>
      </c>
      <c r="M49" s="63">
        <f t="shared" si="8"/>
        <v>0</v>
      </c>
      <c r="N49" s="146" t="str">
        <f>VLOOKUP(VLOOKUP(E49,BDD!$A$2:$P$428,15,FALSE),Suppl!$D$64:$E$68,2,FALSE)</f>
        <v>Non renseigné</v>
      </c>
      <c r="O49" s="629"/>
      <c r="P49" s="629"/>
      <c r="Q49" s="629"/>
      <c r="R49" s="629"/>
      <c r="S49" s="627">
        <f>IF(N49=Suppl!$E$65,0,IF(N49=Suppl!$E$66,1/2/(COUNTIFS($D:$D,D49,$N:$N,"Exigences"&amp;"*",G:G,"&lt;&gt;0")+COUNTIFS($D:$D,D49,$N:$N,"Non"&amp;"*",G:G,"&lt;&gt;0")),IF(N49=Suppl!$E$67,1/(COUNTIFS($D:$D,D49,$N:$N,"Exigences"&amp;"*",G:G,"&lt;&gt;0")+COUNTIFS($D:$D,D49,$N:$N,"Non"&amp;"*",G:G,"&lt;&gt;0")),0)))</f>
        <v>0</v>
      </c>
      <c r="T49" s="627"/>
      <c r="U49" s="627"/>
      <c r="V49" s="628"/>
      <c r="W49" s="356">
        <f>IFERROR(IF(N49=Suppl!$E$65,0,IF(N49=Suppl!$E$66,1/2/(COUNTIFS($N:$N,"Exigences"&amp;"*")+COUNTIFS($N:$N,"Non"&amp;"*")),IF(N49=Suppl!$E$67,1/(COUNTIFS($N:$N,"Exigences"&amp;"*")+COUNTIFS($N:$N,"Non"&amp;"*")),0))),0)</f>
        <v>0</v>
      </c>
      <c r="X49" s="30"/>
      <c r="Y49" s="30"/>
      <c r="Z49" s="30"/>
      <c r="AA49" s="30"/>
      <c r="AB49" s="30"/>
      <c r="AC49" s="30"/>
      <c r="AD49" s="30"/>
      <c r="AE49" s="30"/>
      <c r="AF49" s="30"/>
      <c r="AG49" s="30"/>
      <c r="AH49" s="311"/>
      <c r="AI49" s="30"/>
    </row>
    <row r="50" spans="1:35" ht="30" customHeight="1" x14ac:dyDescent="0.3">
      <c r="A50" s="311"/>
      <c r="B50" s="30"/>
      <c r="C50" s="30" t="str">
        <f t="shared" si="0"/>
        <v>8</v>
      </c>
      <c r="D50" s="32">
        <f t="shared" si="4"/>
        <v>5</v>
      </c>
      <c r="E50" s="32" t="str">
        <f t="shared" si="5"/>
        <v>855</v>
      </c>
      <c r="F50" s="191" t="s">
        <v>503</v>
      </c>
      <c r="G50" s="192" t="str">
        <f>VLOOKUP(E52,BDD!$A$2:$N$567,6,FALSE)</f>
        <v>Pilotage du projet</v>
      </c>
      <c r="H50" s="190"/>
      <c r="I50" s="135"/>
      <c r="J50" s="135"/>
      <c r="K50" s="135"/>
      <c r="L50" s="136"/>
      <c r="M50" s="137"/>
      <c r="N50" s="138"/>
      <c r="O50" s="630">
        <v>0</v>
      </c>
      <c r="P50" s="630"/>
      <c r="Q50" s="630"/>
      <c r="R50" s="630"/>
      <c r="S50" s="632">
        <f>SUMIFS(S:S,$D:$D,D50,$N:$N,"Exigences"&amp;"*")</f>
        <v>0</v>
      </c>
      <c r="T50" s="632"/>
      <c r="U50" s="632"/>
      <c r="V50" s="633"/>
      <c r="W50" s="356">
        <f>IFERROR(IF(N50=Suppl!$E$65,0,IF(N50=Suppl!$E$66,1/2/(COUNTIFS($N:$N,"Exigences"&amp;"*")+COUNTIFS($N:$N,"Non"&amp;"*")),IF(N50=Suppl!$E$67,1/(COUNTIFS($N:$N,"Exigences"&amp;"*")+COUNTIFS($N:$N,"Non"&amp;"*")),0))),0)</f>
        <v>0</v>
      </c>
      <c r="X50" s="30"/>
      <c r="Y50" s="30"/>
      <c r="Z50" s="30"/>
      <c r="AA50" s="30"/>
      <c r="AB50" s="30"/>
      <c r="AC50" s="30"/>
      <c r="AD50" s="30"/>
      <c r="AE50" s="30"/>
      <c r="AF50" s="30"/>
      <c r="AG50" s="30"/>
      <c r="AH50" s="311"/>
      <c r="AI50" s="30"/>
    </row>
    <row r="51" spans="1:35" ht="30" customHeight="1" x14ac:dyDescent="0.3">
      <c r="A51" s="311"/>
      <c r="B51" s="30"/>
      <c r="C51" s="30" t="str">
        <f t="shared" si="0"/>
        <v>8</v>
      </c>
      <c r="D51" s="32">
        <f t="shared" si="4"/>
        <v>5</v>
      </c>
      <c r="E51" s="32" t="str">
        <f t="shared" si="5"/>
        <v>851</v>
      </c>
      <c r="F51" s="211" t="s">
        <v>550</v>
      </c>
      <c r="G51" s="620" t="str">
        <f>VLOOKUP(E53,BDD!$A$2:$N$567,7,FALSE)</f>
        <v>Le pilotage du projet/produit est réalisé à l'aide d'indicateurs pertinents permettant de suivre l'avancement à chaque étape. Des dispositifs d'alerte ou d'arbitrage sont en place pour traiter les éventuelles dérives au bon niveau.</v>
      </c>
      <c r="H51" s="621"/>
      <c r="I51" s="621"/>
      <c r="J51" s="621"/>
      <c r="K51" s="621"/>
      <c r="L51" s="621"/>
      <c r="M51" s="621"/>
      <c r="N51" s="622"/>
      <c r="O51" s="631"/>
      <c r="P51" s="631"/>
      <c r="Q51" s="631"/>
      <c r="R51" s="631"/>
      <c r="S51" s="634"/>
      <c r="T51" s="634"/>
      <c r="U51" s="634"/>
      <c r="V51" s="635"/>
      <c r="W51" s="356">
        <f>IFERROR(IF(N51=Suppl!$E$65,0,IF(N51=Suppl!$E$66,1/2/(COUNTIFS($N:$N,"Exigences"&amp;"*")+COUNTIFS($N:$N,"Non"&amp;"*")),IF(N51=Suppl!$E$67,1/(COUNTIFS($N:$N,"Exigences"&amp;"*")+COUNTIFS($N:$N,"Non"&amp;"*")),0))),0)</f>
        <v>0</v>
      </c>
      <c r="X51" s="30"/>
      <c r="Y51" s="30"/>
      <c r="Z51" s="30"/>
      <c r="AA51" s="30"/>
      <c r="AB51" s="30"/>
      <c r="AC51" s="30"/>
      <c r="AD51" s="30"/>
      <c r="AE51" s="30"/>
      <c r="AF51" s="30"/>
      <c r="AG51" s="30"/>
      <c r="AH51" s="311"/>
      <c r="AI51" s="30"/>
    </row>
    <row r="52" spans="1:35" ht="41.4" x14ac:dyDescent="0.3">
      <c r="A52" s="311"/>
      <c r="B52" s="30"/>
      <c r="C52" s="30" t="str">
        <f t="shared" si="0"/>
        <v>8</v>
      </c>
      <c r="D52" s="32">
        <f t="shared" si="4"/>
        <v>5</v>
      </c>
      <c r="E52" s="32" t="str">
        <f t="shared" si="5"/>
        <v>851</v>
      </c>
      <c r="F52" s="143" t="s">
        <v>27</v>
      </c>
      <c r="G52" s="144" t="str">
        <f>VLOOKUP(E52,BDD!$A$2:$N$567,MATCH(G$24,BDD!$A$1:$P$1,0),FALSE)</f>
        <v>Une phase préalable de planification est réalisée par l'équipe projet. Elle permet de s'assurer de la cohérence entre les travaux à réaliser, les délais et les ressources disponibles.</v>
      </c>
      <c r="H52" s="149" t="str">
        <f>IF(VLOOKUP($E52,BDD!$A$2:$N$567,MATCH($H$23,BDD!$A$1:$P$1,0),FALSE)=H$24,V8_Projets!H$24,"")</f>
        <v>N1</v>
      </c>
      <c r="I52" s="150" t="str">
        <f>IF(VLOOKUP($E52,BDD!$A$2:$N$567,MATCH($H$23,BDD!$A$1:$P$1,0),FALSE)=I$24,V8_Projets!I$24,"")</f>
        <v/>
      </c>
      <c r="J52" s="150" t="str">
        <f>IF(VLOOKUP($E52,BDD!$A$2:$N$567,MATCH($H$23,BDD!$A$1:$P$1,0),FALSE)=J$24,V8_Projets!J$24,"")</f>
        <v/>
      </c>
      <c r="K52" s="150" t="str">
        <f>IF(VLOOKUP($E52,BDD!$A$2:$N$567,MATCH($H$23,BDD!$A$1:$P$1,0),FALSE)=K$24,V8_Projets!K$24,"")</f>
        <v/>
      </c>
      <c r="L52" s="151" t="str">
        <f>IF(VLOOKUP($E52,BDD!$A$2:$N$567,MATCH($H$23,BDD!$A$1:$P$1,0),FALSE)=L$24,V8_Projets!L$24,"")</f>
        <v/>
      </c>
      <c r="M52" s="63">
        <f t="shared" ref="M52:M56" si="9">IF(N52="Exigences partiellement respectées",1,IF(N52="Exigences respectées",2,0))</f>
        <v>0</v>
      </c>
      <c r="N52" s="144" t="str">
        <f>VLOOKUP(VLOOKUP(E52,BDD!$A$2:$P$428,15,FALSE),Suppl!$D$64:$E$68,2,FALSE)</f>
        <v>Non renseigné</v>
      </c>
      <c r="O52" s="626"/>
      <c r="P52" s="626"/>
      <c r="Q52" s="626"/>
      <c r="R52" s="626"/>
      <c r="S52" s="627">
        <f>IF(N52=Suppl!$E$65,0,IF(N52=Suppl!$E$66,1/2/(COUNTIFS($D:$D,D52,$N:$N,"Exigences"&amp;"*",G:G,"&lt;&gt;0")+COUNTIFS($D:$D,D52,$N:$N,"Non"&amp;"*",G:G,"&lt;&gt;0")),IF(N52=Suppl!$E$67,1/(COUNTIFS($D:$D,D52,$N:$N,"Exigences"&amp;"*",G:G,"&lt;&gt;0")+COUNTIFS($D:$D,D52,$N:$N,"Non"&amp;"*",G:G,"&lt;&gt;0")),0)))</f>
        <v>0</v>
      </c>
      <c r="T52" s="627"/>
      <c r="U52" s="627"/>
      <c r="V52" s="628"/>
      <c r="W52" s="356">
        <f>IFERROR(IF(N52=Suppl!$E$65,0,IF(N52=Suppl!$E$66,1/2/(COUNTIFS($N:$N,"Exigences"&amp;"*")+COUNTIFS($N:$N,"Non"&amp;"*")),IF(N52=Suppl!$E$67,1/(COUNTIFS($N:$N,"Exigences"&amp;"*")+COUNTIFS($N:$N,"Non"&amp;"*")),0))),0)</f>
        <v>0</v>
      </c>
      <c r="X52" s="30"/>
      <c r="Y52" s="30"/>
      <c r="Z52" s="30"/>
      <c r="AA52" s="30"/>
      <c r="AB52" s="30"/>
      <c r="AC52" s="30"/>
      <c r="AD52" s="30"/>
      <c r="AE52" s="30"/>
      <c r="AF52" s="30"/>
      <c r="AG52" s="30"/>
      <c r="AH52" s="311"/>
      <c r="AI52" s="30"/>
    </row>
    <row r="53" spans="1:35" ht="41.4" x14ac:dyDescent="0.3">
      <c r="A53" s="311"/>
      <c r="B53" s="30"/>
      <c r="C53" s="30" t="str">
        <f t="shared" si="0"/>
        <v>8</v>
      </c>
      <c r="D53" s="32">
        <f t="shared" si="4"/>
        <v>5</v>
      </c>
      <c r="E53" s="32" t="str">
        <f t="shared" si="5"/>
        <v>852</v>
      </c>
      <c r="F53" s="145" t="s">
        <v>28</v>
      </c>
      <c r="G53" s="146" t="str">
        <f>VLOOKUP(E53,BDD!$A$2:$N$567,MATCH(G$24,BDD!$A$1:$P$1,0),FALSE)</f>
        <v>Des indicateurs pertinents sont définis qui permettent de suivre l’avancement du projet, la consommation des ressources et d’anticiper les difficultés. Ces indicateurs sont mesurés régulièrement.</v>
      </c>
      <c r="H53" s="149" t="str">
        <f>IF(VLOOKUP($E53,BDD!$A$2:$N$567,MATCH($H$23,BDD!$A$1:$P$1,0),FALSE)=H$24,V8_Projets!H$24,"")</f>
        <v>N1</v>
      </c>
      <c r="I53" s="150" t="str">
        <f>IF(VLOOKUP($E53,BDD!$A$2:$N$567,MATCH($H$23,BDD!$A$1:$P$1,0),FALSE)=I$24,V8_Projets!I$24,"")</f>
        <v/>
      </c>
      <c r="J53" s="150" t="str">
        <f>IF(VLOOKUP($E53,BDD!$A$2:$N$567,MATCH($H$23,BDD!$A$1:$P$1,0),FALSE)=J$24,V8_Projets!J$24,"")</f>
        <v/>
      </c>
      <c r="K53" s="150" t="str">
        <f>IF(VLOOKUP($E53,BDD!$A$2:$N$567,MATCH($H$23,BDD!$A$1:$P$1,0),FALSE)=K$24,V8_Projets!K$24,"")</f>
        <v/>
      </c>
      <c r="L53" s="151" t="str">
        <f>IF(VLOOKUP($E53,BDD!$A$2:$N$567,MATCH($H$23,BDD!$A$1:$P$1,0),FALSE)=L$24,V8_Projets!L$24,"")</f>
        <v/>
      </c>
      <c r="M53" s="63">
        <f t="shared" si="9"/>
        <v>0</v>
      </c>
      <c r="N53" s="146" t="str">
        <f>VLOOKUP(VLOOKUP(E53,BDD!$A$2:$P$428,15,FALSE),Suppl!$D$64:$E$68,2,FALSE)</f>
        <v>Non renseigné</v>
      </c>
      <c r="O53" s="629"/>
      <c r="P53" s="629"/>
      <c r="Q53" s="629"/>
      <c r="R53" s="629"/>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311"/>
      <c r="AI53" s="30"/>
    </row>
    <row r="54" spans="1:35" ht="30" customHeight="1" x14ac:dyDescent="0.3">
      <c r="A54" s="311"/>
      <c r="B54" s="30"/>
      <c r="C54" s="30" t="str">
        <f t="shared" si="0"/>
        <v>8</v>
      </c>
      <c r="D54" s="32">
        <f t="shared" si="4"/>
        <v>5</v>
      </c>
      <c r="E54" s="32" t="str">
        <f t="shared" si="5"/>
        <v>853</v>
      </c>
      <c r="F54" s="143" t="s">
        <v>30</v>
      </c>
      <c r="G54" s="144" t="str">
        <f>VLOOKUP(E54,BDD!$A$2:$N$567,MATCH(G$24,BDD!$A$1:$P$1,0),FALSE)</f>
        <v>Ces indicateurs sont partagés et servent de critères de pilotage et de décision dans les comités mis en place.</v>
      </c>
      <c r="H54" s="149" t="str">
        <f>IF(VLOOKUP($E54,BDD!$A$2:$N$567,MATCH($H$23,BDD!$A$1:$P$1,0),FALSE)=H$24,V8_Projets!H$24,"")</f>
        <v/>
      </c>
      <c r="I54" s="150" t="str">
        <f>IF(VLOOKUP($E54,BDD!$A$2:$N$567,MATCH($H$23,BDD!$A$1:$P$1,0),FALSE)=I$24,V8_Projets!I$24,"")</f>
        <v>N2</v>
      </c>
      <c r="J54" s="150" t="str">
        <f>IF(VLOOKUP($E54,BDD!$A$2:$N$567,MATCH($H$23,BDD!$A$1:$P$1,0),FALSE)=J$24,V8_Projets!J$24,"")</f>
        <v/>
      </c>
      <c r="K54" s="150" t="str">
        <f>IF(VLOOKUP($E54,BDD!$A$2:$N$567,MATCH($H$23,BDD!$A$1:$P$1,0),FALSE)=K$24,V8_Projets!K$24,"")</f>
        <v/>
      </c>
      <c r="L54" s="151" t="str">
        <f>IF(VLOOKUP($E54,BDD!$A$2:$N$567,MATCH($H$23,BDD!$A$1:$P$1,0),FALSE)=L$24,V8_Projets!L$24,"")</f>
        <v/>
      </c>
      <c r="M54" s="63">
        <f t="shared" si="9"/>
        <v>0</v>
      </c>
      <c r="N54" s="144" t="str">
        <f>VLOOKUP(VLOOKUP(E54,BDD!$A$2:$P$428,15,FALSE),Suppl!$D$64:$E$68,2,FALSE)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311"/>
      <c r="AI54" s="30"/>
    </row>
    <row r="55" spans="1:35" ht="41.4" x14ac:dyDescent="0.3">
      <c r="A55" s="311"/>
      <c r="B55" s="30"/>
      <c r="C55" s="30" t="str">
        <f t="shared" si="0"/>
        <v>8</v>
      </c>
      <c r="D55" s="32">
        <f t="shared" si="4"/>
        <v>5</v>
      </c>
      <c r="E55" s="32" t="str">
        <f t="shared" si="5"/>
        <v>854</v>
      </c>
      <c r="F55" s="145" t="s">
        <v>32</v>
      </c>
      <c r="G55" s="146" t="str">
        <f>VLOOKUP(E55,BDD!$A$2:$N$567,MATCH(G$24,BDD!$A$1:$P$1,0),FALSE)</f>
        <v>L’instance de suivi opérationnel du projet examine régulièrement les indicateurs de risque et de dérive et décide des arbitrages. Si nécessaire, elle remonte les alertes jusqu’aux instances d'arbitrage adéquates (instance de pilotage, comité de direction).</v>
      </c>
      <c r="H55" s="149" t="str">
        <f>IF(VLOOKUP($E55,BDD!$A$2:$N$567,MATCH($H$23,BDD!$A$1:$P$1,0),FALSE)=H$24,V8_Projets!H$24,"")</f>
        <v/>
      </c>
      <c r="I55" s="150" t="str">
        <f>IF(VLOOKUP($E55,BDD!$A$2:$N$567,MATCH($H$23,BDD!$A$1:$P$1,0),FALSE)=I$24,V8_Projets!I$24,"")</f>
        <v/>
      </c>
      <c r="J55" s="150" t="str">
        <f>IF(VLOOKUP($E55,BDD!$A$2:$N$567,MATCH($H$23,BDD!$A$1:$P$1,0),FALSE)=J$24,V8_Projets!J$24,"")</f>
        <v>N3</v>
      </c>
      <c r="K55" s="150" t="str">
        <f>IF(VLOOKUP($E55,BDD!$A$2:$N$567,MATCH($H$23,BDD!$A$1:$P$1,0),FALSE)=K$24,V8_Projets!K$24,"")</f>
        <v/>
      </c>
      <c r="L55" s="151" t="str">
        <f>IF(VLOOKUP($E55,BDD!$A$2:$N$567,MATCH($H$23,BDD!$A$1:$P$1,0),FALSE)=L$24,V8_Projets!L$24,"")</f>
        <v/>
      </c>
      <c r="M55" s="63">
        <f t="shared" si="9"/>
        <v>0</v>
      </c>
      <c r="N55" s="146" t="str">
        <f>VLOOKUP(VLOOKUP(E55,BDD!$A$2:$P$428,15,FALSE),Suppl!$D$64:$E$68,2,FALSE)</f>
        <v>Non renseigné</v>
      </c>
      <c r="O55" s="629"/>
      <c r="P55" s="629"/>
      <c r="Q55" s="629"/>
      <c r="R55" s="629"/>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311"/>
      <c r="AI55" s="30"/>
    </row>
    <row r="56" spans="1:35" ht="30" customHeight="1" x14ac:dyDescent="0.3">
      <c r="A56" s="311"/>
      <c r="B56" s="30"/>
      <c r="C56" s="30" t="str">
        <f t="shared" si="0"/>
        <v>8</v>
      </c>
      <c r="D56" s="32">
        <f t="shared" si="4"/>
        <v>5</v>
      </c>
      <c r="E56" s="32" t="str">
        <f t="shared" si="5"/>
        <v>855</v>
      </c>
      <c r="F56" s="143" t="s">
        <v>33</v>
      </c>
      <c r="G56" s="144" t="str">
        <f>VLOOKUP(E56,BDD!$A$2:$N$567,MATCH(G$24,BDD!$A$1:$P$1,0),FALSE)</f>
        <v>L'instance de pilotage valide l'atteinte des objectifs à chacune des étapes ou itérations clés du projet/produit.</v>
      </c>
      <c r="H56" s="149" t="str">
        <f>IF(VLOOKUP($E56,BDD!$A$2:$N$567,MATCH($H$23,BDD!$A$1:$P$1,0),FALSE)=H$24,V8_Projets!H$24,"")</f>
        <v/>
      </c>
      <c r="I56" s="150" t="str">
        <f>IF(VLOOKUP($E56,BDD!$A$2:$N$567,MATCH($H$23,BDD!$A$1:$P$1,0),FALSE)=I$24,V8_Projets!I$24,"")</f>
        <v>N2</v>
      </c>
      <c r="J56" s="150" t="str">
        <f>IF(VLOOKUP($E56,BDD!$A$2:$N$567,MATCH($H$23,BDD!$A$1:$P$1,0),FALSE)=J$24,V8_Projets!J$24,"")</f>
        <v/>
      </c>
      <c r="K56" s="150" t="str">
        <f>IF(VLOOKUP($E56,BDD!$A$2:$N$567,MATCH($H$23,BDD!$A$1:$P$1,0),FALSE)=K$24,V8_Projets!K$24,"")</f>
        <v/>
      </c>
      <c r="L56" s="151" t="str">
        <f>IF(VLOOKUP($E56,BDD!$A$2:$N$567,MATCH($H$23,BDD!$A$1:$P$1,0),FALSE)=L$24,V8_Projets!L$24,"")</f>
        <v/>
      </c>
      <c r="M56" s="63">
        <f t="shared" si="9"/>
        <v>0</v>
      </c>
      <c r="N56" s="144" t="str">
        <f>VLOOKUP(VLOOKUP(E56,BDD!$A$2:$P$428,15,FALSE),Suppl!$D$64:$E$68,2,FALSE)</f>
        <v>Non renseigné</v>
      </c>
      <c r="O56" s="651"/>
      <c r="P56" s="629"/>
      <c r="Q56" s="629"/>
      <c r="R56" s="629"/>
      <c r="S56" s="627">
        <f>IF(N56=Suppl!$E$65,0,IF(N56=Suppl!$E$66,1/2/(COUNTIFS($D:$D,D56,$N:$N,"Exigences"&amp;"*",G:G,"&lt;&gt;0")+COUNTIFS($D:$D,D56,$N:$N,"Non"&amp;"*",G:G,"&lt;&gt;0")),IF(N56=Suppl!$E$67,1/(COUNTIFS($D:$D,D56,$N:$N,"Exigences"&amp;"*",G:G,"&lt;&gt;0")+COUNTIFS($D:$D,D56,$N:$N,"Non"&amp;"*",G:G,"&lt;&gt;0")),0)))</f>
        <v>0</v>
      </c>
      <c r="T56" s="627"/>
      <c r="U56" s="627"/>
      <c r="V56" s="628"/>
      <c r="W56" s="356">
        <f>IFERROR(IF(N56=Suppl!$E$65,0,IF(N56=Suppl!$E$66,1/2/(COUNTIFS($N:$N,"Exigences"&amp;"*")+COUNTIFS($N:$N,"Non"&amp;"*")),IF(N56=Suppl!$E$67,1/(COUNTIFS($N:$N,"Exigences"&amp;"*")+COUNTIFS($N:$N,"Non"&amp;"*")),0))),0)</f>
        <v>0</v>
      </c>
      <c r="X56" s="30"/>
      <c r="Y56" s="30"/>
      <c r="Z56" s="30"/>
      <c r="AA56" s="30"/>
      <c r="AB56" s="30"/>
      <c r="AC56" s="30"/>
      <c r="AD56" s="30"/>
      <c r="AE56" s="30"/>
      <c r="AF56" s="30"/>
      <c r="AG56" s="30"/>
      <c r="AH56" s="311"/>
      <c r="AI56" s="30"/>
    </row>
    <row r="57" spans="1:35" ht="30" customHeight="1" x14ac:dyDescent="0.3">
      <c r="A57" s="311"/>
      <c r="B57" s="30"/>
      <c r="C57" s="30" t="str">
        <f t="shared" si="0"/>
        <v>8</v>
      </c>
      <c r="D57" s="32">
        <f t="shared" si="4"/>
        <v>6</v>
      </c>
      <c r="E57" s="32" t="str">
        <f t="shared" si="5"/>
        <v>866</v>
      </c>
      <c r="F57" s="191" t="s">
        <v>556</v>
      </c>
      <c r="G57" s="192" t="str">
        <f>VLOOKUP(E59,BDD!$A$2:$N$567,6,FALSE)</f>
        <v>Validation(s) du produit ou de la solution</v>
      </c>
      <c r="H57" s="190"/>
      <c r="I57" s="135"/>
      <c r="J57" s="135"/>
      <c r="K57" s="135"/>
      <c r="L57" s="136"/>
      <c r="M57" s="137"/>
      <c r="N57" s="138"/>
      <c r="O57" s="630">
        <v>0</v>
      </c>
      <c r="P57" s="630"/>
      <c r="Q57" s="630"/>
      <c r="R57" s="630"/>
      <c r="S57" s="632">
        <f>SUMIFS(S:S,$D:$D,D57,$N:$N,"Exigences"&amp;"*")</f>
        <v>0</v>
      </c>
      <c r="T57" s="632"/>
      <c r="U57" s="632"/>
      <c r="V57" s="633"/>
      <c r="W57" s="356">
        <f>IFERROR(IF(N57=Suppl!$E$65,0,IF(N57=Suppl!$E$66,1/2/(COUNTIFS($N:$N,"Exigences"&amp;"*")+COUNTIFS($N:$N,"Non"&amp;"*")),IF(N57=Suppl!$E$67,1/(COUNTIFS($N:$N,"Exigences"&amp;"*")+COUNTIFS($N:$N,"Non"&amp;"*")),0))),0)</f>
        <v>0</v>
      </c>
      <c r="X57" s="30"/>
      <c r="Y57" s="30"/>
      <c r="Z57" s="30"/>
      <c r="AA57" s="30"/>
      <c r="AB57" s="30"/>
      <c r="AC57" s="30"/>
      <c r="AD57" s="30"/>
      <c r="AE57" s="30"/>
      <c r="AF57" s="30"/>
      <c r="AG57" s="30"/>
      <c r="AH57" s="311"/>
      <c r="AI57" s="30"/>
    </row>
    <row r="58" spans="1:35" ht="30" customHeight="1" x14ac:dyDescent="0.3">
      <c r="A58" s="311"/>
      <c r="B58" s="30"/>
      <c r="C58" s="30" t="str">
        <f t="shared" si="0"/>
        <v>8</v>
      </c>
      <c r="D58" s="32">
        <f t="shared" si="4"/>
        <v>6</v>
      </c>
      <c r="E58" s="32" t="str">
        <f t="shared" si="5"/>
        <v>861</v>
      </c>
      <c r="F58" s="211" t="s">
        <v>550</v>
      </c>
      <c r="G58" s="193" t="str">
        <f>VLOOKUP(E60,BDD!$A$2:$N$567,7,FALSE)</f>
        <v>Les produits ou solutions développés dans le cadre du projet font l'objet d'un processus de validation formel.</v>
      </c>
      <c r="H58" s="139"/>
      <c r="I58" s="139"/>
      <c r="J58" s="139"/>
      <c r="K58" s="139"/>
      <c r="L58" s="140"/>
      <c r="M58" s="141"/>
      <c r="N58" s="142"/>
      <c r="O58" s="631"/>
      <c r="P58" s="631"/>
      <c r="Q58" s="631"/>
      <c r="R58" s="631"/>
      <c r="S58" s="634"/>
      <c r="T58" s="634"/>
      <c r="U58" s="634"/>
      <c r="V58" s="635"/>
      <c r="W58" s="356">
        <f>IFERROR(IF(N58=Suppl!$E$65,0,IF(N58=Suppl!$E$66,1/2/(COUNTIFS($N:$N,"Exigences"&amp;"*")+COUNTIFS($N:$N,"Non"&amp;"*")),IF(N58=Suppl!$E$67,1/(COUNTIFS($N:$N,"Exigences"&amp;"*")+COUNTIFS($N:$N,"Non"&amp;"*")),0))),0)</f>
        <v>0</v>
      </c>
      <c r="X58" s="30"/>
      <c r="Y58" s="30"/>
      <c r="Z58" s="30"/>
      <c r="AA58" s="30"/>
      <c r="AB58" s="30"/>
      <c r="AC58" s="30"/>
      <c r="AD58" s="30"/>
      <c r="AE58" s="30"/>
      <c r="AF58" s="30"/>
      <c r="AG58" s="30"/>
      <c r="AH58" s="311"/>
      <c r="AI58" s="30"/>
    </row>
    <row r="59" spans="1:35" ht="30" customHeight="1" x14ac:dyDescent="0.3">
      <c r="A59" s="311"/>
      <c r="B59" s="30"/>
      <c r="C59" s="30" t="str">
        <f t="shared" si="0"/>
        <v>8</v>
      </c>
      <c r="D59" s="32">
        <f t="shared" si="4"/>
        <v>6</v>
      </c>
      <c r="E59" s="32" t="str">
        <f t="shared" si="5"/>
        <v>861</v>
      </c>
      <c r="F59" s="143" t="s">
        <v>27</v>
      </c>
      <c r="G59" s="144" t="str">
        <f>VLOOKUP(E59,BDD!$A$2:$N$567,MATCH(G$24,BDD!$A$1:$P$1,0),FALSE)</f>
        <v>Les activités et les responsabilités liées à la validation de la solution sont définies dans la méthode projet et mises en œuvre tout au long du projet.</v>
      </c>
      <c r="H59" s="149" t="str">
        <f>IF(VLOOKUP($E59,BDD!$A$2:$N$567,MATCH($H$23,BDD!$A$1:$P$1,0),FALSE)=H$24,V8_Projets!H$24,"")</f>
        <v>N1</v>
      </c>
      <c r="I59" s="150" t="str">
        <f>IF(VLOOKUP($E59,BDD!$A$2:$N$567,MATCH($H$23,BDD!$A$1:$P$1,0),FALSE)=I$24,V8_Projets!I$24,"")</f>
        <v/>
      </c>
      <c r="J59" s="150" t="str">
        <f>IF(VLOOKUP($E59,BDD!$A$2:$N$567,MATCH($H$23,BDD!$A$1:$P$1,0),FALSE)=J$24,V8_Projets!J$24,"")</f>
        <v/>
      </c>
      <c r="K59" s="150" t="str">
        <f>IF(VLOOKUP($E59,BDD!$A$2:$N$567,MATCH($H$23,BDD!$A$1:$P$1,0),FALSE)=K$24,V8_Projets!K$24,"")</f>
        <v/>
      </c>
      <c r="L59" s="151" t="str">
        <f>IF(VLOOKUP($E59,BDD!$A$2:$N$567,MATCH($H$23,BDD!$A$1:$P$1,0),FALSE)=L$24,V8_Projets!L$24,"")</f>
        <v/>
      </c>
      <c r="M59" s="63">
        <f t="shared" ref="M59:M63" si="10">IF(N59="Exigences partiellement respectées",1,IF(N59="Exigences respectées",2,0))</f>
        <v>0</v>
      </c>
      <c r="N59" s="144" t="str">
        <f>VLOOKUP(VLOOKUP(E59,BDD!$A$2:$P$428,15,FALSE),Suppl!$D$64:$E$68,2,FALSE)</f>
        <v>Non renseigné</v>
      </c>
      <c r="O59" s="626"/>
      <c r="P59" s="626"/>
      <c r="Q59" s="626"/>
      <c r="R59" s="626"/>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311"/>
      <c r="AI59" s="30"/>
    </row>
    <row r="60" spans="1:35" ht="30" customHeight="1" x14ac:dyDescent="0.3">
      <c r="A60" s="311"/>
      <c r="B60" s="30"/>
      <c r="C60" s="30" t="str">
        <f t="shared" si="0"/>
        <v>8</v>
      </c>
      <c r="D60" s="32">
        <f t="shared" si="4"/>
        <v>6</v>
      </c>
      <c r="E60" s="32" t="str">
        <f t="shared" si="5"/>
        <v>862</v>
      </c>
      <c r="F60" s="145" t="s">
        <v>28</v>
      </c>
      <c r="G60" s="146" t="str">
        <f>VLOOKUP(E60,BDD!$A$2:$N$567,MATCH(G$24,BDD!$A$1:$P$1,0),FALSE)</f>
        <v>La méthode employée dans les phases de test et de validation est définie et appliquée.</v>
      </c>
      <c r="H60" s="149" t="str">
        <f>IF(VLOOKUP($E60,BDD!$A$2:$N$567,MATCH($H$23,BDD!$A$1:$P$1,0),FALSE)=H$24,V8_Projets!H$24,"")</f>
        <v/>
      </c>
      <c r="I60" s="150" t="str">
        <f>IF(VLOOKUP($E60,BDD!$A$2:$N$567,MATCH($H$23,BDD!$A$1:$P$1,0),FALSE)=I$24,V8_Projets!I$24,"")</f>
        <v>N2</v>
      </c>
      <c r="J60" s="150" t="str">
        <f>IF(VLOOKUP($E60,BDD!$A$2:$N$567,MATCH($H$23,BDD!$A$1:$P$1,0),FALSE)=J$24,V8_Projets!J$24,"")</f>
        <v/>
      </c>
      <c r="K60" s="150" t="str">
        <f>IF(VLOOKUP($E60,BDD!$A$2:$N$567,MATCH($H$23,BDD!$A$1:$P$1,0),FALSE)=K$24,V8_Projets!K$24,"")</f>
        <v/>
      </c>
      <c r="L60" s="151" t="str">
        <f>IF(VLOOKUP($E60,BDD!$A$2:$N$567,MATCH($H$23,BDD!$A$1:$P$1,0),FALSE)=L$24,V8_Projets!L$24,"")</f>
        <v/>
      </c>
      <c r="M60" s="63">
        <f t="shared" si="10"/>
        <v>0</v>
      </c>
      <c r="N60" s="146" t="str">
        <f>VLOOKUP(VLOOKUP(E60,BDD!$A$2:$P$428,15,FALSE),Suppl!$D$64:$E$68,2,FALSE)</f>
        <v>Non renseigné</v>
      </c>
      <c r="O60" s="629"/>
      <c r="P60" s="629"/>
      <c r="Q60" s="629"/>
      <c r="R60" s="629"/>
      <c r="S60" s="627">
        <f>IF(N60=Suppl!$E$65,0,IF(N60=Suppl!$E$66,1/2/(COUNTIFS($D:$D,D60,$N:$N,"Exigences"&amp;"*",G:G,"&lt;&gt;0")+COUNTIFS($D:$D,D60,$N:$N,"Non"&amp;"*",G:G,"&lt;&gt;0")),IF(N60=Suppl!$E$67,1/(COUNTIFS($D:$D,D60,$N:$N,"Exigences"&amp;"*",G:G,"&lt;&gt;0")+COUNTIFS($D:$D,D60,$N:$N,"Non"&amp;"*",G:G,"&lt;&gt;0")),0)))</f>
        <v>0</v>
      </c>
      <c r="T60" s="627"/>
      <c r="U60" s="627"/>
      <c r="V60" s="628"/>
      <c r="W60" s="356">
        <f>IFERROR(IF(N60=Suppl!$E$65,0,IF(N60=Suppl!$E$66,1/2/(COUNTIFS($N:$N,"Exigences"&amp;"*")+COUNTIFS($N:$N,"Non"&amp;"*")),IF(N60=Suppl!$E$67,1/(COUNTIFS($N:$N,"Exigences"&amp;"*")+COUNTIFS($N:$N,"Non"&amp;"*")),0))),0)</f>
        <v>0</v>
      </c>
      <c r="X60" s="30"/>
      <c r="Y60" s="30"/>
      <c r="Z60" s="30"/>
      <c r="AA60" s="30"/>
      <c r="AB60" s="30"/>
      <c r="AC60" s="30"/>
      <c r="AD60" s="30"/>
      <c r="AE60" s="30"/>
      <c r="AF60" s="30"/>
      <c r="AG60" s="30"/>
      <c r="AH60" s="311"/>
      <c r="AI60" s="30"/>
    </row>
    <row r="61" spans="1:35" ht="41.4" x14ac:dyDescent="0.3">
      <c r="A61" s="311"/>
      <c r="B61" s="30"/>
      <c r="C61" s="30" t="str">
        <f t="shared" si="0"/>
        <v>8</v>
      </c>
      <c r="D61" s="32">
        <f t="shared" si="4"/>
        <v>6</v>
      </c>
      <c r="E61" s="32" t="str">
        <f t="shared" si="5"/>
        <v>863</v>
      </c>
      <c r="F61" s="143" t="s">
        <v>30</v>
      </c>
      <c r="G61" s="144" t="str">
        <f>VLOOKUP(E61,BDD!$A$2:$N$567,MATCH(G$24,BDD!$A$1:$P$1,0),FALSE)</f>
        <v>Le respect des exigences fonctionnelles et non fonctionnelles (techniques, cybersécurité, performance conformité, etc.) fait l'objet d'une validation formelle avant tout déploiement.</v>
      </c>
      <c r="H61" s="149" t="str">
        <f>IF(VLOOKUP($E61,BDD!$A$2:$N$567,MATCH($H$23,BDD!$A$1:$P$1,0),FALSE)=H$24,V8_Projets!H$24,"")</f>
        <v/>
      </c>
      <c r="I61" s="150" t="str">
        <f>IF(VLOOKUP($E61,BDD!$A$2:$N$567,MATCH($H$23,BDD!$A$1:$P$1,0),FALSE)=I$24,V8_Projets!I$24,"")</f>
        <v>N2</v>
      </c>
      <c r="J61" s="150" t="str">
        <f>IF(VLOOKUP($E61,BDD!$A$2:$N$567,MATCH($H$23,BDD!$A$1:$P$1,0),FALSE)=J$24,V8_Projets!J$24,"")</f>
        <v/>
      </c>
      <c r="K61" s="150" t="str">
        <f>IF(VLOOKUP($E61,BDD!$A$2:$N$567,MATCH($H$23,BDD!$A$1:$P$1,0),FALSE)=K$24,V8_Projets!K$24,"")</f>
        <v/>
      </c>
      <c r="L61" s="151" t="str">
        <f>IF(VLOOKUP($E61,BDD!$A$2:$N$567,MATCH($H$23,BDD!$A$1:$P$1,0),FALSE)=L$24,V8_Projets!L$24,"")</f>
        <v/>
      </c>
      <c r="M61" s="63">
        <f t="shared" si="10"/>
        <v>0</v>
      </c>
      <c r="N61" s="144" t="str">
        <f>VLOOKUP(VLOOKUP(E61,BDD!$A$2:$P$428,15,FALSE),Suppl!$D$64:$E$68,2,FALSE)</f>
        <v>Non renseigné</v>
      </c>
      <c r="O61" s="629"/>
      <c r="P61" s="629"/>
      <c r="Q61" s="629"/>
      <c r="R61" s="629"/>
      <c r="S61" s="627">
        <f>IF(N61=Suppl!$E$65,0,IF(N61=Suppl!$E$66,1/2/(COUNTIFS($D:$D,D61,$N:$N,"Exigences"&amp;"*",G:G,"&lt;&gt;0")+COUNTIFS($D:$D,D61,$N:$N,"Non"&amp;"*",G:G,"&lt;&gt;0")),IF(N61=Suppl!$E$67,1/(COUNTIFS($D:$D,D61,$N:$N,"Exigences"&amp;"*",G:G,"&lt;&gt;0")+COUNTIFS($D:$D,D61,$N:$N,"Non"&amp;"*",G:G,"&lt;&gt;0")),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311"/>
      <c r="AI61" s="30"/>
    </row>
    <row r="62" spans="1:35" ht="30" customHeight="1" x14ac:dyDescent="0.3">
      <c r="A62" s="311"/>
      <c r="B62" s="30"/>
      <c r="C62" s="30" t="str">
        <f t="shared" si="0"/>
        <v>8</v>
      </c>
      <c r="D62" s="32">
        <f t="shared" si="4"/>
        <v>6</v>
      </c>
      <c r="E62" s="32" t="str">
        <f t="shared" si="5"/>
        <v>864</v>
      </c>
      <c r="F62" s="145" t="s">
        <v>32</v>
      </c>
      <c r="G62" s="146" t="str">
        <f>VLOOKUP(E62,BDD!$A$2:$N$567,MATCH(G$24,BDD!$A$1:$P$1,0),FALSE)</f>
        <v>Le « reste à faire » (fonctionnalités, exigences, anomalies, etc.) fait l'objet d'un suivi jusqu'à sa résolution ou sa clôture.</v>
      </c>
      <c r="H62" s="149" t="str">
        <f>IF(VLOOKUP($E62,BDD!$A$2:$N$567,MATCH($H$23,BDD!$A$1:$P$1,0),FALSE)=H$24,V8_Projets!H$24,"")</f>
        <v/>
      </c>
      <c r="I62" s="150" t="str">
        <f>IF(VLOOKUP($E62,BDD!$A$2:$N$567,MATCH($H$23,BDD!$A$1:$P$1,0),FALSE)=I$24,V8_Projets!I$24,"")</f>
        <v/>
      </c>
      <c r="J62" s="150" t="str">
        <f>IF(VLOOKUP($E62,BDD!$A$2:$N$567,MATCH($H$23,BDD!$A$1:$P$1,0),FALSE)=J$24,V8_Projets!J$24,"")</f>
        <v>N3</v>
      </c>
      <c r="K62" s="150" t="str">
        <f>IF(VLOOKUP($E62,BDD!$A$2:$N$567,MATCH($H$23,BDD!$A$1:$P$1,0),FALSE)=K$24,V8_Projets!K$24,"")</f>
        <v/>
      </c>
      <c r="L62" s="151" t="str">
        <f>IF(VLOOKUP($E62,BDD!$A$2:$N$567,MATCH($H$23,BDD!$A$1:$P$1,0),FALSE)=L$24,V8_Projets!L$24,"")</f>
        <v/>
      </c>
      <c r="M62" s="63">
        <f t="shared" si="10"/>
        <v>0</v>
      </c>
      <c r="N62" s="146" t="str">
        <f>VLOOKUP(VLOOKUP(E62,BDD!$A$2:$P$428,15,FALSE),Suppl!$D$64:$E$68,2,FALSE)</f>
        <v>Non renseigné</v>
      </c>
      <c r="O62" s="629"/>
      <c r="P62" s="629"/>
      <c r="Q62" s="629"/>
      <c r="R62" s="629"/>
      <c r="S62" s="627">
        <f>IF(N62=Suppl!$E$65,0,IF(N62=Suppl!$E$66,1/2/(COUNTIFS($D:$D,D62,$N:$N,"Exigences"&amp;"*",G:G,"&lt;&gt;0")+COUNTIFS($D:$D,D62,$N:$N,"Non"&amp;"*",G:G,"&lt;&gt;0")),IF(N62=Suppl!$E$67,1/(COUNTIFS($D:$D,D62,$N:$N,"Exigences"&amp;"*",G:G,"&lt;&gt;0")+COUNTIFS($D:$D,D62,$N:$N,"Non"&amp;"*",G:G,"&lt;&gt;0")),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311"/>
      <c r="AI62" s="30"/>
    </row>
    <row r="63" spans="1:35" ht="30" customHeight="1" x14ac:dyDescent="0.3">
      <c r="A63" s="311"/>
      <c r="B63" s="30"/>
      <c r="C63" s="30" t="str">
        <f t="shared" si="0"/>
        <v>8</v>
      </c>
      <c r="D63" s="32">
        <f t="shared" si="4"/>
        <v>6</v>
      </c>
      <c r="E63" s="32" t="str">
        <f t="shared" si="5"/>
        <v>865</v>
      </c>
      <c r="F63" s="143" t="s">
        <v>33</v>
      </c>
      <c r="G63" s="144" t="str">
        <f>VLOOKUP(E63,BDD!$A$2:$N$567,MATCH(G$24,BDD!$A$1:$P$1,0),FALSE)</f>
        <v>La solution ou le produit fait l'objet d'une validation par les instances de gouvernance ad-hoc prévues par la politique IT (DPO, RSSI, Architecte IT, ESG).</v>
      </c>
      <c r="H63" s="149" t="str">
        <f>IF(VLOOKUP($E63,BDD!$A$2:$N$567,MATCH($H$23,BDD!$A$1:$P$1,0),FALSE)=H$24,V8_Projets!H$24,"")</f>
        <v/>
      </c>
      <c r="I63" s="150" t="str">
        <f>IF(VLOOKUP($E63,BDD!$A$2:$N$567,MATCH($H$23,BDD!$A$1:$P$1,0),FALSE)=I$24,V8_Projets!I$24,"")</f>
        <v/>
      </c>
      <c r="J63" s="150" t="str">
        <f>IF(VLOOKUP($E63,BDD!$A$2:$N$567,MATCH($H$23,BDD!$A$1:$P$1,0),FALSE)=J$24,V8_Projets!J$24,"")</f>
        <v>N3</v>
      </c>
      <c r="K63" s="150" t="str">
        <f>IF(VLOOKUP($E63,BDD!$A$2:$N$567,MATCH($H$23,BDD!$A$1:$P$1,0),FALSE)=K$24,V8_Projets!K$24,"")</f>
        <v/>
      </c>
      <c r="L63" s="151" t="str">
        <f>IF(VLOOKUP($E63,BDD!$A$2:$N$567,MATCH($H$23,BDD!$A$1:$P$1,0),FALSE)=L$24,V8_Projets!L$24,"")</f>
        <v/>
      </c>
      <c r="M63" s="63">
        <f t="shared" si="10"/>
        <v>0</v>
      </c>
      <c r="N63" s="144" t="str">
        <f>VLOOKUP(VLOOKUP(E63,BDD!$A$2:$P$428,15,FALSE),Suppl!$D$64:$E$68,2,FALSE)</f>
        <v>Non renseigné</v>
      </c>
      <c r="O63" s="629"/>
      <c r="P63" s="629"/>
      <c r="Q63" s="629"/>
      <c r="R63" s="629"/>
      <c r="S63" s="627">
        <f>IF(N63=Suppl!$E$65,0,IF(N63=Suppl!$E$66,1/2/(COUNTIFS($D:$D,D63,$N:$N,"Exigences"&amp;"*",G:G,"&lt;&gt;0")+COUNTIFS($D:$D,D63,$N:$N,"Non"&amp;"*",G:G,"&lt;&gt;0")),IF(N63=Suppl!$E$67,1/(COUNTIFS($D:$D,D63,$N:$N,"Exigences"&amp;"*",G:G,"&lt;&gt;0")+COUNTIFS($D:$D,D63,$N:$N,"Non"&amp;"*",G:G,"&lt;&gt;0")),0)))</f>
        <v>0</v>
      </c>
      <c r="T63" s="627"/>
      <c r="U63" s="627"/>
      <c r="V63" s="628"/>
      <c r="W63" s="356">
        <f>IFERROR(IF(N63=Suppl!$E$65,0,IF(N63=Suppl!$E$66,1/2/(COUNTIFS($N:$N,"Exigences"&amp;"*")+COUNTIFS($N:$N,"Non"&amp;"*")),IF(N63=Suppl!$E$67,1/(COUNTIFS($N:$N,"Exigences"&amp;"*")+COUNTIFS($N:$N,"Non"&amp;"*")),0))),0)</f>
        <v>0</v>
      </c>
      <c r="X63" s="30"/>
      <c r="Y63" s="30"/>
      <c r="Z63" s="30"/>
      <c r="AA63" s="30"/>
      <c r="AB63" s="30"/>
      <c r="AC63" s="30"/>
      <c r="AD63" s="30"/>
      <c r="AE63" s="30"/>
      <c r="AF63" s="30"/>
      <c r="AG63" s="30"/>
      <c r="AH63" s="311"/>
      <c r="AI63" s="30"/>
    </row>
    <row r="64" spans="1:35" ht="30" customHeight="1" x14ac:dyDescent="0.3">
      <c r="A64" s="311"/>
      <c r="B64" s="30"/>
      <c r="C64" s="30" t="str">
        <f t="shared" si="0"/>
        <v>8</v>
      </c>
      <c r="D64" s="32">
        <f t="shared" si="4"/>
        <v>7</v>
      </c>
      <c r="E64" s="32" t="str">
        <f t="shared" si="5"/>
        <v>877</v>
      </c>
      <c r="F64" s="191" t="s">
        <v>557</v>
      </c>
      <c r="G64" s="192" t="str">
        <f>VLOOKUP(E66,BDD!$A$2:$N$567,6,FALSE)</f>
        <v>Bilan de projet SI</v>
      </c>
      <c r="H64" s="190"/>
      <c r="I64" s="135"/>
      <c r="J64" s="135"/>
      <c r="K64" s="135"/>
      <c r="L64" s="136"/>
      <c r="M64" s="137"/>
      <c r="N64" s="138"/>
      <c r="O64" s="630">
        <v>0</v>
      </c>
      <c r="P64" s="630"/>
      <c r="Q64" s="630"/>
      <c r="R64" s="630"/>
      <c r="S64" s="632">
        <f>SUMIFS(S:S,$D:$D,D64,$N:$N,"Exigences"&amp;"*")</f>
        <v>0</v>
      </c>
      <c r="T64" s="632"/>
      <c r="U64" s="632"/>
      <c r="V64" s="633"/>
      <c r="W64" s="356">
        <f>IFERROR(IF(N64=Suppl!$E$65,0,IF(N64=Suppl!$E$66,1/2/(COUNTIFS($N:$N,"Exigences"&amp;"*")+COUNTIFS($N:$N,"Non"&amp;"*")),IF(N64=Suppl!$E$67,1/(COUNTIFS($N:$N,"Exigences"&amp;"*")+COUNTIFS($N:$N,"Non"&amp;"*")),0))),0)</f>
        <v>0</v>
      </c>
      <c r="X64" s="30"/>
      <c r="Y64" s="30"/>
      <c r="Z64" s="30"/>
      <c r="AA64" s="30"/>
      <c r="AB64" s="30"/>
      <c r="AC64" s="30"/>
      <c r="AD64" s="30"/>
      <c r="AE64" s="30"/>
      <c r="AF64" s="30"/>
      <c r="AG64" s="30"/>
      <c r="AH64" s="311"/>
      <c r="AI64" s="30"/>
    </row>
    <row r="65" spans="1:35" ht="30" customHeight="1" x14ac:dyDescent="0.3">
      <c r="A65" s="311"/>
      <c r="B65" s="30"/>
      <c r="C65" s="30" t="str">
        <f t="shared" si="0"/>
        <v>8</v>
      </c>
      <c r="D65" s="32">
        <f t="shared" si="4"/>
        <v>7</v>
      </c>
      <c r="E65" s="32" t="str">
        <f t="shared" si="5"/>
        <v>871</v>
      </c>
      <c r="F65" s="211" t="s">
        <v>550</v>
      </c>
      <c r="G65" s="193" t="str">
        <f>VLOOKUP(E67,BDD!$A$2:$N$567,7,FALSE)</f>
        <v>L’équipe responsable organise un bilan de projet </v>
      </c>
      <c r="H65" s="139"/>
      <c r="I65" s="139"/>
      <c r="J65" s="139"/>
      <c r="K65" s="139"/>
      <c r="L65" s="140"/>
      <c r="M65" s="141"/>
      <c r="N65" s="142"/>
      <c r="O65" s="631"/>
      <c r="P65" s="631"/>
      <c r="Q65" s="631"/>
      <c r="R65" s="631"/>
      <c r="S65" s="634"/>
      <c r="T65" s="634"/>
      <c r="U65" s="634"/>
      <c r="V65" s="635"/>
      <c r="W65" s="356">
        <f>IFERROR(IF(N65=Suppl!$E$65,0,IF(N65=Suppl!$E$66,1/2/(COUNTIFS($N:$N,"Exigences"&amp;"*")+COUNTIFS($N:$N,"Non"&amp;"*")),IF(N65=Suppl!$E$67,1/(COUNTIFS($N:$N,"Exigences"&amp;"*")+COUNTIFS($N:$N,"Non"&amp;"*")),0))),0)</f>
        <v>0</v>
      </c>
      <c r="X65" s="30"/>
      <c r="Y65" s="30"/>
      <c r="Z65" s="30"/>
      <c r="AA65" s="30"/>
      <c r="AB65" s="30"/>
      <c r="AC65" s="30"/>
      <c r="AD65" s="30"/>
      <c r="AE65" s="30"/>
      <c r="AF65" s="30"/>
      <c r="AG65" s="30"/>
      <c r="AH65" s="311"/>
      <c r="AI65" s="30"/>
    </row>
    <row r="66" spans="1:35" ht="41.4" x14ac:dyDescent="0.3">
      <c r="A66" s="311"/>
      <c r="B66" s="30"/>
      <c r="C66" s="30" t="str">
        <f t="shared" si="0"/>
        <v>8</v>
      </c>
      <c r="D66" s="32">
        <f t="shared" si="4"/>
        <v>7</v>
      </c>
      <c r="E66" s="32" t="str">
        <f t="shared" si="5"/>
        <v>871</v>
      </c>
      <c r="F66" s="143" t="s">
        <v>27</v>
      </c>
      <c r="G66" s="144" t="str">
        <f>VLOOKUP(E66,BDD!$A$2:$N$567,MATCH(G$24,BDD!$A$1:$P$1,0),FALSE)</f>
        <v>Le bilan de projet SI fournit une vision partagée des coûts, des délais et du niveau d’atteinte des objectifs opérationnels (réussites, difficultés, échecs, capitalisation des progrès, identification de plans d'action d'amélioration).</v>
      </c>
      <c r="H66" s="149" t="str">
        <f>IF(VLOOKUP($E66,BDD!$A$2:$N$567,MATCH($H$23,BDD!$A$1:$P$1,0),FALSE)=H$24,V8_Projets!H$24,"")</f>
        <v/>
      </c>
      <c r="I66" s="150" t="str">
        <f>IF(VLOOKUP($E66,BDD!$A$2:$N$567,MATCH($H$23,BDD!$A$1:$P$1,0),FALSE)=I$24,V8_Projets!I$24,"")</f>
        <v>N2</v>
      </c>
      <c r="J66" s="150" t="str">
        <f>IF(VLOOKUP($E66,BDD!$A$2:$N$567,MATCH($H$23,BDD!$A$1:$P$1,0),FALSE)=J$24,V8_Projets!J$24,"")</f>
        <v/>
      </c>
      <c r="K66" s="150" t="str">
        <f>IF(VLOOKUP($E66,BDD!$A$2:$N$567,MATCH($H$23,BDD!$A$1:$P$1,0),FALSE)=K$24,V8_Projets!K$24,"")</f>
        <v/>
      </c>
      <c r="L66" s="151" t="str">
        <f>IF(VLOOKUP($E66,BDD!$A$2:$N$567,MATCH($H$23,BDD!$A$1:$P$1,0),FALSE)=L$24,V8_Projets!L$24,"")</f>
        <v/>
      </c>
      <c r="M66" s="63">
        <f t="shared" ref="M66:M68" si="11">IF(N66="Exigences partiellement respectées",1,IF(N66="Exigences respectées",2,0))</f>
        <v>0</v>
      </c>
      <c r="N66" s="144" t="str">
        <f>VLOOKUP(VLOOKUP(E66,BDD!$A$2:$P$428,15,FALSE),Suppl!$D$64:$E$68,2,FALSE)</f>
        <v>Non renseigné</v>
      </c>
      <c r="O66" s="626"/>
      <c r="P66" s="626"/>
      <c r="Q66" s="626"/>
      <c r="R66" s="626"/>
      <c r="S66" s="627">
        <f>IF(N66=Suppl!$E$65,0,IF(N66=Suppl!$E$66,1/2/(COUNTIFS($D:$D,D66,$N:$N,"Exigences"&amp;"*",G:G,"&lt;&gt;0")+COUNTIFS($D:$D,D66,$N:$N,"Non"&amp;"*",G:G,"&lt;&gt;0")),IF(N66=Suppl!$E$67,1/(COUNTIFS($D:$D,D66,$N:$N,"Exigences"&amp;"*",G:G,"&lt;&gt;0")+COUNTIFS($D:$D,D66,$N:$N,"Non"&amp;"*",G:G,"&lt;&gt;0")),0)))</f>
        <v>0</v>
      </c>
      <c r="T66" s="627"/>
      <c r="U66" s="627"/>
      <c r="V66" s="628"/>
      <c r="W66" s="356">
        <f>IFERROR(IF(N66=Suppl!$E$65,0,IF(N66=Suppl!$E$66,1/2/(COUNTIFS($N:$N,"Exigences"&amp;"*")+COUNTIFS($N:$N,"Non"&amp;"*")),IF(N66=Suppl!$E$67,1/(COUNTIFS($N:$N,"Exigences"&amp;"*")+COUNTIFS($N:$N,"Non"&amp;"*")),0))),0)</f>
        <v>0</v>
      </c>
      <c r="X66" s="30"/>
      <c r="Y66" s="30"/>
      <c r="Z66" s="30"/>
      <c r="AA66" s="30"/>
      <c r="AB66" s="30"/>
      <c r="AC66" s="30"/>
      <c r="AD66" s="30"/>
      <c r="AE66" s="30"/>
      <c r="AF66" s="30"/>
      <c r="AG66" s="30"/>
      <c r="AH66" s="311"/>
      <c r="AI66" s="30"/>
    </row>
    <row r="67" spans="1:35" ht="41.4" x14ac:dyDescent="0.3">
      <c r="A67" s="311"/>
      <c r="B67" s="30"/>
      <c r="C67" s="30" t="str">
        <f t="shared" si="0"/>
        <v>8</v>
      </c>
      <c r="D67" s="32">
        <f t="shared" si="4"/>
        <v>7</v>
      </c>
      <c r="E67" s="32" t="str">
        <f t="shared" si="5"/>
        <v>872</v>
      </c>
      <c r="F67" s="145" t="s">
        <v>28</v>
      </c>
      <c r="G67" s="146" t="str">
        <f>VLOOKUP(E67,BDD!$A$2:$N$567,MATCH(G$24,BDD!$A$1:$P$1,0),FALSE)</f>
        <v>Le bilan de projet SI  permet de vérifier qu’il ne reste aucune tâche résiduelle (donc de coût supplémentaire) liée aux désinstallations, aux décommissionnements, aux formations, etc.</v>
      </c>
      <c r="H67" s="149" t="str">
        <f>IF(VLOOKUP($E67,BDD!$A$2:$N$567,MATCH($H$23,BDD!$A$1:$P$1,0),FALSE)=H$24,V8_Projets!H$24,"")</f>
        <v/>
      </c>
      <c r="I67" s="150" t="str">
        <f>IF(VLOOKUP($E67,BDD!$A$2:$N$567,MATCH($H$23,BDD!$A$1:$P$1,0),FALSE)=I$24,V8_Projets!I$24,"")</f>
        <v>N2</v>
      </c>
      <c r="J67" s="150" t="str">
        <f>IF(VLOOKUP($E67,BDD!$A$2:$N$567,MATCH($H$23,BDD!$A$1:$P$1,0),FALSE)=J$24,V8_Projets!J$24,"")</f>
        <v/>
      </c>
      <c r="K67" s="150" t="str">
        <f>IF(VLOOKUP($E67,BDD!$A$2:$N$567,MATCH($H$23,BDD!$A$1:$P$1,0),FALSE)=K$24,V8_Projets!K$24,"")</f>
        <v/>
      </c>
      <c r="L67" s="151" t="str">
        <f>IF(VLOOKUP($E67,BDD!$A$2:$N$567,MATCH($H$23,BDD!$A$1:$P$1,0),FALSE)=L$24,V8_Projets!L$24,"")</f>
        <v/>
      </c>
      <c r="M67" s="63">
        <f t="shared" si="11"/>
        <v>0</v>
      </c>
      <c r="N67" s="146" t="str">
        <f>VLOOKUP(VLOOKUP(E67,BDD!$A$2:$P$428,15,FALSE),Suppl!$D$64:$E$68,2,FALSE)</f>
        <v>Non renseigné</v>
      </c>
      <c r="O67" s="629"/>
      <c r="P67" s="629"/>
      <c r="Q67" s="629"/>
      <c r="R67" s="629"/>
      <c r="S67" s="627">
        <f>IF(N67=Suppl!$E$65,0,IF(N67=Suppl!$E$66,1/2/(COUNTIFS($D:$D,D67,$N:$N,"Exigences"&amp;"*",G:G,"&lt;&gt;0")+COUNTIFS($D:$D,D67,$N:$N,"Non"&amp;"*",G:G,"&lt;&gt;0")),IF(N67=Suppl!$E$67,1/(COUNTIFS($D:$D,D67,$N:$N,"Exigences"&amp;"*",G:G,"&lt;&gt;0")+COUNTIFS($D:$D,D67,$N:$N,"Non"&amp;"*",G:G,"&lt;&gt;0")),0)))</f>
        <v>0</v>
      </c>
      <c r="T67" s="627"/>
      <c r="U67" s="627"/>
      <c r="V67" s="628"/>
      <c r="W67" s="356">
        <f>IFERROR(IF(N67=Suppl!$E$65,0,IF(N67=Suppl!$E$66,1/2/(COUNTIFS($N:$N,"Exigences"&amp;"*")+COUNTIFS($N:$N,"Non"&amp;"*")),IF(N67=Suppl!$E$67,1/(COUNTIFS($N:$N,"Exigences"&amp;"*")+COUNTIFS($N:$N,"Non"&amp;"*")),0))),0)</f>
        <v>0</v>
      </c>
      <c r="X67" s="30"/>
      <c r="Y67" s="30"/>
      <c r="Z67" s="30"/>
      <c r="AA67" s="30"/>
      <c r="AB67" s="30"/>
      <c r="AC67" s="30"/>
      <c r="AD67" s="30"/>
      <c r="AE67" s="30"/>
      <c r="AF67" s="30"/>
      <c r="AG67" s="30"/>
      <c r="AH67" s="311"/>
      <c r="AI67" s="30"/>
    </row>
    <row r="68" spans="1:35" ht="30" customHeight="1" x14ac:dyDescent="0.3">
      <c r="A68" s="311"/>
      <c r="B68" s="30"/>
      <c r="C68" s="30" t="str">
        <f t="shared" si="0"/>
        <v>8</v>
      </c>
      <c r="D68" s="32">
        <f t="shared" si="4"/>
        <v>7</v>
      </c>
      <c r="E68" s="32" t="str">
        <f t="shared" si="5"/>
        <v>873</v>
      </c>
      <c r="F68" s="143" t="s">
        <v>30</v>
      </c>
      <c r="G68" s="144" t="str">
        <f>VLOOKUP(E68,BDD!$A$2:$N$567,MATCH(G$24,BDD!$A$1:$P$1,0),FALSE)</f>
        <v>À l’issue d’une période préalablement définie, un bilan du business case du projet est réalisé avec les parties prenantes, y compris les acteurs externes.</v>
      </c>
      <c r="H68" s="149" t="str">
        <f>IF(VLOOKUP($E68,BDD!$A$2:$N$567,MATCH($H$23,BDD!$A$1:$P$1,0),FALSE)=H$24,V8_Projets!H$24,"")</f>
        <v/>
      </c>
      <c r="I68" s="150" t="str">
        <f>IF(VLOOKUP($E68,BDD!$A$2:$N$567,MATCH($H$23,BDD!$A$1:$P$1,0),FALSE)=I$24,V8_Projets!I$24,"")</f>
        <v/>
      </c>
      <c r="J68" s="150" t="str">
        <f>IF(VLOOKUP($E68,BDD!$A$2:$N$567,MATCH($H$23,BDD!$A$1:$P$1,0),FALSE)=J$24,V8_Projets!J$24,"")</f>
        <v/>
      </c>
      <c r="K68" s="150" t="str">
        <f>IF(VLOOKUP($E68,BDD!$A$2:$N$567,MATCH($H$23,BDD!$A$1:$P$1,0),FALSE)=K$24,V8_Projets!K$24,"")</f>
        <v>N4</v>
      </c>
      <c r="L68" s="151" t="str">
        <f>IF(VLOOKUP($E68,BDD!$A$2:$N$567,MATCH($H$23,BDD!$A$1:$P$1,0),FALSE)=L$24,V8_Projets!L$24,"")</f>
        <v/>
      </c>
      <c r="M68" s="63">
        <f t="shared" si="11"/>
        <v>0</v>
      </c>
      <c r="N68" s="144" t="str">
        <f>VLOOKUP(VLOOKUP(E68,BDD!$A$2:$P$428,15,FALSE),Suppl!$D$64:$E$68,2,FALSE)</f>
        <v>Non renseigné</v>
      </c>
      <c r="O68" s="647"/>
      <c r="P68" s="636"/>
      <c r="Q68" s="636"/>
      <c r="R68" s="636"/>
      <c r="S68" s="624">
        <f>IF(N68=Suppl!$E$65,0,IF(N68=Suppl!$E$66,1/2/(COUNTIFS($D:$D,D68,$N:$N,"Exigences"&amp;"*",G:G,"&lt;&gt;0")+COUNTIFS($D:$D,D68,$N:$N,"Non"&amp;"*",G:G,"&lt;&gt;0")),IF(N68=Suppl!$E$67,1/(COUNTIFS($D:$D,D68,$N:$N,"Exigences"&amp;"*",G:G,"&lt;&gt;0")+COUNTIFS($D:$D,D68,$N:$N,"Non"&amp;"*",G:G,"&lt;&gt;0")),0)))</f>
        <v>0</v>
      </c>
      <c r="T68" s="624"/>
      <c r="U68" s="624"/>
      <c r="V68" s="625"/>
      <c r="W68" s="356">
        <f>IFERROR(IF(N68=Suppl!$E$65,0,IF(N68=Suppl!$E$66,1/2/(COUNTIFS($N:$N,"Exigences"&amp;"*")+COUNTIFS($N:$N,"Non"&amp;"*")),IF(N68=Suppl!$E$67,1/(COUNTIFS($N:$N,"Exigences"&amp;"*")+COUNTIFS($N:$N,"Non"&amp;"*")),0))),0)</f>
        <v>0</v>
      </c>
      <c r="X68" s="30"/>
      <c r="Y68" s="30"/>
      <c r="Z68" s="30"/>
      <c r="AA68" s="30"/>
      <c r="AB68" s="30"/>
      <c r="AC68" s="30"/>
      <c r="AD68" s="30"/>
      <c r="AE68" s="30"/>
      <c r="AF68" s="30"/>
      <c r="AG68" s="30"/>
      <c r="AH68" s="311"/>
      <c r="AI68" s="30"/>
    </row>
    <row r="69" spans="1:35" ht="30" customHeight="1" x14ac:dyDescent="0.3">
      <c r="A69" s="311"/>
      <c r="B69" s="30"/>
      <c r="C69" s="30"/>
      <c r="D69" s="32"/>
      <c r="E69" s="32"/>
      <c r="F69" s="244"/>
      <c r="G69" s="241"/>
      <c r="H69" s="32"/>
      <c r="I69" s="32"/>
      <c r="J69" s="32"/>
      <c r="K69" s="32"/>
      <c r="L69" s="32"/>
      <c r="M69" s="32"/>
      <c r="N69" s="241"/>
      <c r="O69" s="227"/>
      <c r="P69" s="227"/>
      <c r="Q69" s="227"/>
      <c r="R69" s="227"/>
      <c r="S69" s="228"/>
      <c r="T69" s="228"/>
      <c r="U69" s="228"/>
      <c r="V69" s="228"/>
      <c r="W69" s="30"/>
      <c r="X69" s="30"/>
      <c r="Y69" s="30"/>
      <c r="Z69" s="30"/>
      <c r="AA69" s="30"/>
      <c r="AB69" s="30"/>
      <c r="AC69" s="30"/>
      <c r="AD69" s="30"/>
      <c r="AE69" s="30"/>
      <c r="AF69" s="30"/>
      <c r="AG69" s="30"/>
      <c r="AH69" s="311"/>
      <c r="AI69" s="30"/>
    </row>
    <row r="70" spans="1:35" ht="30" customHeight="1" x14ac:dyDescent="0.3">
      <c r="A70" s="311" t="s">
        <v>164</v>
      </c>
      <c r="B70" s="311"/>
      <c r="C70" s="311"/>
      <c r="D70" s="311"/>
      <c r="E70" s="311"/>
      <c r="F70" s="311"/>
      <c r="G70" s="316"/>
      <c r="H70" s="316"/>
      <c r="I70" s="316"/>
      <c r="J70" s="316"/>
      <c r="K70" s="316"/>
      <c r="L70" s="316"/>
      <c r="M70" s="316"/>
      <c r="N70" s="311"/>
      <c r="O70" s="311"/>
      <c r="P70" s="311"/>
      <c r="Q70" s="311"/>
      <c r="R70" s="311"/>
      <c r="S70" s="311"/>
      <c r="T70" s="311"/>
      <c r="U70" s="311"/>
      <c r="V70" s="311"/>
      <c r="W70" s="319"/>
      <c r="X70" s="311"/>
      <c r="Y70" s="311"/>
      <c r="Z70" s="311"/>
      <c r="AA70" s="311"/>
      <c r="AB70" s="311"/>
      <c r="AC70" s="311"/>
      <c r="AD70" s="311"/>
      <c r="AE70" s="311"/>
      <c r="AF70" s="311"/>
      <c r="AG70" s="311"/>
      <c r="AH70" s="311" t="s">
        <v>164</v>
      </c>
      <c r="AI70" s="30"/>
    </row>
  </sheetData>
  <sheetProtection algorithmName="SHA-512" hashValue="sL5y33oXm+DE+8r01jxsKulNu7Alzf/NkynV1d0H0qvhIvwHVuw6O3Mf+5MwiVbVHOwXP2Ejrd8TarpaCFTDCQ==" saltValue="OSTA5ONwhexPobykxRrlXQ=="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82">
    <mergeCell ref="AD7:AD10"/>
    <mergeCell ref="O21:R21"/>
    <mergeCell ref="O22:R22"/>
    <mergeCell ref="O24:R24"/>
    <mergeCell ref="S24:V24"/>
    <mergeCell ref="O20:R20"/>
    <mergeCell ref="O25:R26"/>
    <mergeCell ref="S25:V26"/>
    <mergeCell ref="O27:R27"/>
    <mergeCell ref="S27:V27"/>
    <mergeCell ref="O28:R28"/>
    <mergeCell ref="S28:V28"/>
    <mergeCell ref="O29:R30"/>
    <mergeCell ref="S29:V30"/>
    <mergeCell ref="O31:R31"/>
    <mergeCell ref="S31:V31"/>
    <mergeCell ref="O37:R38"/>
    <mergeCell ref="S37:V38"/>
    <mergeCell ref="O32:R32"/>
    <mergeCell ref="S32:V32"/>
    <mergeCell ref="O33:R33"/>
    <mergeCell ref="S33:V33"/>
    <mergeCell ref="O34:R34"/>
    <mergeCell ref="S34:V34"/>
    <mergeCell ref="O39:R39"/>
    <mergeCell ref="S39:V39"/>
    <mergeCell ref="O40:R40"/>
    <mergeCell ref="S40:V40"/>
    <mergeCell ref="O35:R35"/>
    <mergeCell ref="S35:V35"/>
    <mergeCell ref="O36:R36"/>
    <mergeCell ref="S36:V36"/>
    <mergeCell ref="O44:R45"/>
    <mergeCell ref="S44:V45"/>
    <mergeCell ref="O41:R41"/>
    <mergeCell ref="S41:V41"/>
    <mergeCell ref="O42:R42"/>
    <mergeCell ref="S42:V42"/>
    <mergeCell ref="O43:R43"/>
    <mergeCell ref="S43:V43"/>
    <mergeCell ref="O49:R49"/>
    <mergeCell ref="S49:V49"/>
    <mergeCell ref="O46:R46"/>
    <mergeCell ref="S46:V46"/>
    <mergeCell ref="O47:R47"/>
    <mergeCell ref="S47:V47"/>
    <mergeCell ref="O48:R48"/>
    <mergeCell ref="S48:V48"/>
    <mergeCell ref="O57:R58"/>
    <mergeCell ref="S57:V58"/>
    <mergeCell ref="O53:R53"/>
    <mergeCell ref="S53:V53"/>
    <mergeCell ref="O54:R54"/>
    <mergeCell ref="S54:V54"/>
    <mergeCell ref="O55:R55"/>
    <mergeCell ref="S55:V55"/>
    <mergeCell ref="O68:R68"/>
    <mergeCell ref="S68:V68"/>
    <mergeCell ref="O64:R65"/>
    <mergeCell ref="S64:V65"/>
    <mergeCell ref="O61:R61"/>
    <mergeCell ref="S61:V61"/>
    <mergeCell ref="O62:R62"/>
    <mergeCell ref="S62:V62"/>
    <mergeCell ref="O63:R63"/>
    <mergeCell ref="S63:V63"/>
    <mergeCell ref="G45:N45"/>
    <mergeCell ref="G51:N51"/>
    <mergeCell ref="O66:R66"/>
    <mergeCell ref="S66:V66"/>
    <mergeCell ref="O67:R67"/>
    <mergeCell ref="S67:V67"/>
    <mergeCell ref="O59:R59"/>
    <mergeCell ref="S59:V59"/>
    <mergeCell ref="O60:R60"/>
    <mergeCell ref="S60:V60"/>
    <mergeCell ref="O56:R56"/>
    <mergeCell ref="S56:V56"/>
    <mergeCell ref="O50:R51"/>
    <mergeCell ref="S50:V51"/>
    <mergeCell ref="O52:R52"/>
    <mergeCell ref="S52:V52"/>
  </mergeCells>
  <conditionalFormatting sqref="G13:G19 G5:G11 G22">
    <cfRule type="expression" dxfId="75" priority="18">
      <formula>$G5&lt;&gt;""</formula>
    </cfRule>
  </conditionalFormatting>
  <conditionalFormatting sqref="H27:L44 H46:L50 H52:L69">
    <cfRule type="expression" dxfId="74" priority="19">
      <formula>AND($N27="Non évalué",H27&lt;&gt;"")</formula>
    </cfRule>
    <cfRule type="expression" dxfId="73" priority="20">
      <formula>AND($N27="Exigences non respectées",H27&lt;&gt;"")</formula>
    </cfRule>
    <cfRule type="expression" dxfId="72" priority="21">
      <formula>AND($N27="Exigences partiellement respectées",H27&lt;&gt;"")</formula>
    </cfRule>
    <cfRule type="expression" dxfId="71" priority="22">
      <formula>AND($N27="Exigences respectées",H27&lt;&gt;"")</formula>
    </cfRule>
  </conditionalFormatting>
  <conditionalFormatting sqref="O8:U12">
    <cfRule type="cellIs" dxfId="70" priority="9" operator="equal">
      <formula>3</formula>
    </cfRule>
    <cfRule type="cellIs" dxfId="69" priority="10" operator="equal">
      <formula>2</formula>
    </cfRule>
    <cfRule type="cellIs" dxfId="68" priority="11" operator="equal">
      <formula>1</formula>
    </cfRule>
  </conditionalFormatting>
  <conditionalFormatting sqref="O13:U13">
    <cfRule type="cellIs" dxfId="67" priority="6" operator="equal">
      <formula>3</formula>
    </cfRule>
    <cfRule type="cellIs" dxfId="66" priority="7" operator="equal">
      <formula>2</formula>
    </cfRule>
    <cfRule type="cellIs" dxfId="65" priority="8" operator="equal">
      <formula>1</formula>
    </cfRule>
  </conditionalFormatting>
  <conditionalFormatting sqref="O14:U14">
    <cfRule type="cellIs" dxfId="64" priority="3" operator="equal">
      <formula>3</formula>
    </cfRule>
    <cfRule type="cellIs" dxfId="63" priority="4" operator="equal">
      <formula>2</formula>
    </cfRule>
    <cfRule type="cellIs" dxfId="62" priority="5" operator="equal">
      <formula>1</formula>
    </cfRule>
  </conditionalFormatting>
  <conditionalFormatting sqref="G20:G21">
    <cfRule type="expression" dxfId="61" priority="2">
      <formula>$G20&lt;&gt;""</formula>
    </cfRule>
  </conditionalFormatting>
  <conditionalFormatting sqref="O20:R20">
    <cfRule type="cellIs" dxfId="60" priority="1" operator="notEqual">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F177C21-67A9-4508-95B7-76798974ECAE}">
          <x14:formula1>
            <xm:f>Suppl!$E$65:$E$69</xm:f>
          </x14:formula1>
          <xm:sqref>W17 W8:W14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3C903-9FBE-4E5B-BD13-7577FF83CBFC}">
  <sheetPr codeName="Feuil43">
    <tabColor rgb="FF2858AE"/>
  </sheetPr>
  <dimension ref="A1:P118"/>
  <sheetViews>
    <sheetView showGridLines="0" showRowColHeaders="0" zoomScale="67" zoomScaleNormal="111" workbookViewId="0">
      <selection activeCell="J79" sqref="J79"/>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98"/>
      <c r="B1" s="299" t="s">
        <v>566</v>
      </c>
      <c r="C1" s="300"/>
      <c r="D1" s="300"/>
      <c r="E1" s="300"/>
      <c r="F1" s="300"/>
      <c r="G1" s="298"/>
      <c r="H1" s="301"/>
      <c r="I1" s="301"/>
      <c r="J1" s="302" t="str">
        <f>VLOOKUP($E$12,BDD!$A$2:$N$567,3,FALSE)</f>
        <v>Services</v>
      </c>
      <c r="K1" s="301"/>
      <c r="L1" s="298"/>
      <c r="M1" s="298"/>
      <c r="N1" s="298"/>
      <c r="O1" s="298"/>
      <c r="P1" s="298"/>
    </row>
    <row r="2" spans="1:16" ht="45" customHeight="1" x14ac:dyDescent="0.3">
      <c r="A2" s="298"/>
      <c r="B2" s="298"/>
      <c r="C2" s="298"/>
      <c r="D2" s="298"/>
      <c r="E2" s="298"/>
      <c r="F2" s="298"/>
      <c r="G2" s="298"/>
      <c r="H2" s="298"/>
      <c r="I2" s="298"/>
      <c r="J2" s="303" t="str">
        <f>VLOOKUP($E$12,BDD!$A$2:$N$567,4,FALSE)</f>
        <v>Proposer des services conformes aux attentes des clients</v>
      </c>
      <c r="K2" s="298"/>
      <c r="L2" s="298"/>
      <c r="M2" s="298"/>
      <c r="N2" s="298"/>
      <c r="O2" s="298"/>
      <c r="P2" s="298"/>
    </row>
    <row r="3" spans="1:16" ht="18" x14ac:dyDescent="0.35">
      <c r="A3" s="298"/>
      <c r="B3" s="68"/>
      <c r="C3" s="68"/>
      <c r="D3" s="68"/>
      <c r="E3" s="68"/>
      <c r="F3" s="68"/>
      <c r="G3" s="69" t="str">
        <f>IF(Suppl!B64=2,"Le vecteur n'est pas utilisé","")</f>
        <v/>
      </c>
      <c r="H3" s="69"/>
      <c r="I3" s="69"/>
      <c r="J3" s="69"/>
      <c r="K3" s="69"/>
      <c r="L3" s="70"/>
      <c r="M3" s="68"/>
      <c r="N3" s="68"/>
      <c r="O3" s="68"/>
      <c r="P3" s="298"/>
    </row>
    <row r="4" spans="1:16" x14ac:dyDescent="0.3">
      <c r="A4" s="298"/>
      <c r="B4" s="68"/>
      <c r="C4" s="68"/>
      <c r="D4" s="68"/>
      <c r="E4" s="68"/>
      <c r="F4" s="68"/>
      <c r="G4" s="68"/>
      <c r="H4" s="68"/>
      <c r="I4" s="68"/>
      <c r="J4" s="68"/>
      <c r="K4" s="68"/>
      <c r="L4" s="68"/>
      <c r="M4" s="68"/>
      <c r="N4" s="68"/>
      <c r="O4" s="68"/>
      <c r="P4" s="298"/>
    </row>
    <row r="5" spans="1:16" ht="25.8" x14ac:dyDescent="0.5">
      <c r="A5" s="304"/>
      <c r="B5" s="74"/>
      <c r="C5" s="68" t="str">
        <f>IF(LEFT(RIGHT($B$1,2),1)=" ",RIGHT($B$1,1),RIGHT($B$1,2))</f>
        <v>9</v>
      </c>
      <c r="D5" s="68">
        <f>IF(LEFT(F5,14)="Bonne pratique",D4+1,D4)</f>
        <v>1</v>
      </c>
      <c r="E5" s="71"/>
      <c r="F5" s="208" t="s">
        <v>499</v>
      </c>
      <c r="G5" s="75"/>
      <c r="H5" s="205"/>
      <c r="I5" s="73"/>
      <c r="J5" s="73" t="str">
        <f>VLOOKUP(E12,BDD!$A$2:$N$567,6,FALSE)</f>
        <v>Offre de service SI</v>
      </c>
      <c r="K5" s="72"/>
      <c r="L5" s="75"/>
      <c r="M5" s="75"/>
      <c r="N5" s="75"/>
      <c r="O5" s="74"/>
      <c r="P5" s="304"/>
    </row>
    <row r="6" spans="1:16" x14ac:dyDescent="0.3">
      <c r="A6" s="298"/>
      <c r="B6" s="68"/>
      <c r="C6" s="68" t="str">
        <f t="shared" ref="C6:C69" si="0">IF(LEFT(RIGHT($B$1,2),1)=" ",RIGHT($B$1,1),RIGHT($B$1,2))</f>
        <v>9</v>
      </c>
      <c r="D6" s="68">
        <f>IF(LEFT(F6,14)="Bonne pratique",D5+1,D5)</f>
        <v>1</v>
      </c>
      <c r="E6" s="68"/>
      <c r="F6" s="68"/>
      <c r="G6" s="68"/>
      <c r="H6" s="68"/>
      <c r="I6" s="68"/>
      <c r="J6" s="68"/>
      <c r="K6" s="68"/>
      <c r="L6" s="68"/>
      <c r="M6" s="68"/>
      <c r="N6" s="68"/>
      <c r="O6" s="68"/>
      <c r="P6" s="298"/>
    </row>
    <row r="7" spans="1:16" ht="23.4" customHeight="1" x14ac:dyDescent="0.35">
      <c r="A7" s="305"/>
      <c r="B7" s="76"/>
      <c r="C7" s="68" t="str">
        <f t="shared" si="0"/>
        <v>9</v>
      </c>
      <c r="D7" s="68">
        <f t="shared" ref="D7:D67" si="1">IF(LEFT(F7,14)="Bonne pratique",D6+1,D6)</f>
        <v>1</v>
      </c>
      <c r="E7" s="76"/>
      <c r="F7" s="76"/>
      <c r="G7" s="76"/>
      <c r="H7" s="76"/>
      <c r="I7" s="77"/>
      <c r="J7" s="207" t="str">
        <f>IFERROR(_xlfn.TEXTBEFORE(VLOOKUP(E12,BDD!$A$2:$N$567,7,FALSE)," ",30),VLOOKUP(E12,BDD!$A$2:$N$567,7,FALSE))</f>
        <v xml:space="preserve">L'offre de services numériques proposée est claire et connue. </v>
      </c>
      <c r="K7" s="77"/>
      <c r="L7" s="76"/>
      <c r="M7" s="76"/>
      <c r="N7" s="76"/>
      <c r="O7" s="76"/>
      <c r="P7" s="305"/>
    </row>
    <row r="8" spans="1:16" ht="18" x14ac:dyDescent="0.35">
      <c r="A8" s="298"/>
      <c r="B8" s="68"/>
      <c r="C8" s="68" t="str">
        <f t="shared" si="0"/>
        <v>9</v>
      </c>
      <c r="D8" s="68">
        <f t="shared" si="1"/>
        <v>1</v>
      </c>
      <c r="E8" s="68"/>
      <c r="F8" s="68"/>
      <c r="G8" s="68"/>
      <c r="H8" s="68"/>
      <c r="I8" s="68"/>
      <c r="J8" s="207" t="str">
        <f>IFERROR(_xlfn.TEXTAFTER(VLOOKUP(E12,BDD!$A$2:$N$567,7,FALSE)," ",30),"")</f>
        <v/>
      </c>
      <c r="K8" s="68"/>
      <c r="L8" s="68"/>
      <c r="M8" s="68"/>
      <c r="N8" s="68"/>
      <c r="O8" s="68"/>
      <c r="P8" s="298"/>
    </row>
    <row r="9" spans="1:16" x14ac:dyDescent="0.3">
      <c r="A9" s="298"/>
      <c r="B9" s="68"/>
      <c r="C9" s="68" t="str">
        <f t="shared" si="0"/>
        <v>9</v>
      </c>
      <c r="D9" s="68">
        <f t="shared" si="1"/>
        <v>1</v>
      </c>
      <c r="E9" s="68"/>
      <c r="F9" s="68"/>
      <c r="G9" s="78"/>
      <c r="H9" s="78"/>
      <c r="I9" s="78"/>
      <c r="J9" s="78"/>
      <c r="K9" s="78"/>
      <c r="L9" s="78"/>
      <c r="M9" s="618" t="s">
        <v>92</v>
      </c>
      <c r="N9" s="618"/>
      <c r="O9" s="68"/>
      <c r="P9" s="298"/>
    </row>
    <row r="10" spans="1:16" ht="33" x14ac:dyDescent="0.3">
      <c r="A10" s="298"/>
      <c r="B10" s="68"/>
      <c r="C10" s="68" t="str">
        <f t="shared" si="0"/>
        <v>9</v>
      </c>
      <c r="D10" s="68">
        <f t="shared" si="1"/>
        <v>1</v>
      </c>
      <c r="E10" s="68"/>
      <c r="F10" s="79"/>
      <c r="G10" s="80" t="s">
        <v>561</v>
      </c>
      <c r="H10" s="80" t="s">
        <v>82</v>
      </c>
      <c r="I10" s="126" t="s">
        <v>21</v>
      </c>
      <c r="J10" s="80" t="s">
        <v>84</v>
      </c>
      <c r="K10" s="80" t="s">
        <v>549</v>
      </c>
      <c r="L10" s="78"/>
      <c r="M10" s="81" t="s">
        <v>86</v>
      </c>
      <c r="N10" s="82" t="s">
        <v>87</v>
      </c>
      <c r="O10" s="68"/>
      <c r="P10" s="298"/>
    </row>
    <row r="11" spans="1:16" x14ac:dyDescent="0.3">
      <c r="A11" s="298"/>
      <c r="B11" s="68"/>
      <c r="C11" s="68" t="str">
        <f t="shared" si="0"/>
        <v>9</v>
      </c>
      <c r="D11" s="68">
        <f t="shared" si="1"/>
        <v>1</v>
      </c>
      <c r="E11" s="68"/>
      <c r="F11" s="68"/>
      <c r="G11" s="83"/>
      <c r="H11" s="83"/>
      <c r="I11" s="83"/>
      <c r="J11" s="68"/>
      <c r="K11" s="83"/>
      <c r="L11" s="68"/>
      <c r="M11" s="68"/>
      <c r="N11" s="68"/>
      <c r="O11" s="68"/>
      <c r="P11" s="298"/>
    </row>
    <row r="12" spans="1:16" ht="130.05000000000001" customHeight="1" x14ac:dyDescent="0.3">
      <c r="A12" s="298"/>
      <c r="B12" s="68"/>
      <c r="C12" s="68" t="str">
        <f t="shared" si="0"/>
        <v>9</v>
      </c>
      <c r="D12" s="68">
        <f t="shared" si="1"/>
        <v>1</v>
      </c>
      <c r="E12" s="84" t="str">
        <f>C12&amp;D12&amp;RIGHT(F12,1)</f>
        <v>911</v>
      </c>
      <c r="F12" s="66" t="s">
        <v>27</v>
      </c>
      <c r="G12" s="67" t="str">
        <f>IFERROR(IF(VLOOKUP($E12,BDD!$A$1:$S$567,MATCH(G$10,BDD!$A$1:$P$1,0),FALSE)=0,"",VLOOKUP($E12,BDD!$A$1:$S$567,MATCH(G$10,BDD!$A$1:$P$1,0),FALSE)),"")</f>
        <v>La DSI a élaboré son offre de services techniques.</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
      <c r="L12" s="68"/>
      <c r="M12" s="87"/>
      <c r="N12" s="87"/>
      <c r="O12" s="68"/>
      <c r="P12" s="298"/>
    </row>
    <row r="13" spans="1:16" ht="130.05000000000001" customHeight="1" x14ac:dyDescent="0.3">
      <c r="A13" s="298"/>
      <c r="B13" s="68"/>
      <c r="C13" s="68" t="str">
        <f t="shared" si="0"/>
        <v>9</v>
      </c>
      <c r="D13" s="68">
        <f t="shared" si="1"/>
        <v>1</v>
      </c>
      <c r="E13" s="84" t="str">
        <f t="shared" ref="E13:E82" si="2">C13&amp;D13&amp;RIGHT(F13,1)</f>
        <v>912</v>
      </c>
      <c r="F13" s="94" t="s">
        <v>28</v>
      </c>
      <c r="G13" s="65" t="str">
        <f>IFERROR(IF(VLOOKUP($E13,BDD!$A$1:$S$567,MATCH(G$10,BDD!$A$1:$P$1,0),FALSE)=0,"",VLOOKUP($E13,BDD!$A$1:$S$567,MATCH(G$10,BDD!$A$1:$P$1,0),FALSE)),"")</f>
        <v xml:space="preserve">L'offre de services a été définie avec les clients de la DSI en associant les utilisateurs finaux à son élaboration. </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xml:space="preserve">• La DSI co-construit le catalogue de services avec ses clients sur la base de son offre de services techniques. </v>
      </c>
      <c r="L13" s="68"/>
      <c r="M13" s="90"/>
      <c r="N13" s="90"/>
      <c r="O13" s="68"/>
      <c r="P13" s="298"/>
    </row>
    <row r="14" spans="1:16" ht="130.05000000000001" customHeight="1" x14ac:dyDescent="0.3">
      <c r="A14" s="298"/>
      <c r="B14" s="68"/>
      <c r="C14" s="68" t="str">
        <f t="shared" si="0"/>
        <v>9</v>
      </c>
      <c r="D14" s="68">
        <f t="shared" si="1"/>
        <v>1</v>
      </c>
      <c r="E14" s="84" t="str">
        <f t="shared" si="2"/>
        <v>913</v>
      </c>
      <c r="F14" s="66" t="s">
        <v>30</v>
      </c>
      <c r="G14" s="67" t="str">
        <f>IFERROR(IF(VLOOKUP($E14,BDD!$A$1:$S$567,MATCH(G$10,BDD!$A$1:$P$1,0),FALSE)=0,"",VLOOKUP($E14,BDD!$A$1:$S$567,MATCH(G$10,BDD!$A$1:$P$1,0),FALSE)),"")</f>
        <v xml:space="preserve">L'offre de services présente les services, leurs conditions d’utilisation, les processus d'affectation ainsi que les unités d'œuvre permettant de les quantifier. </v>
      </c>
      <c r="H14" s="85" t="str">
        <f>IF(VLOOKUP(E14,BDD!$A$1:$S$567,15,FALSE)=0,"Critère non évalué","")</f>
        <v>Critère non évalué</v>
      </c>
      <c r="I14" s="66" t="str">
        <f>IFERROR(IF(VLOOKUP($E14,BDD!$A$1:$S$567,MATCH(I$10,BDD!$A$1:$P$1,0),FALSE)=0,"",VLOOKUP($E14,BDD!$A$1:$S$567,MATCH(I$10,BDD!$A$1:$P$1,0),FALSE)),"")</f>
        <v>N3</v>
      </c>
      <c r="J14" s="86"/>
      <c r="K14" s="67" t="str">
        <f>IFERROR(IF(VLOOKUP($E14,BDD!$A$1:$S$567,MATCH(K$10,BDD!$A$1:$P$1,0),FALSE)=0,"",VLOOKUP($E14,BDD!$A$1:$S$567,MATCH(K$10,BDD!$A$1:$P$1,0),FALSE)),"")</f>
        <v>• Cette description doit être intelligible et concertée avec le client.</v>
      </c>
      <c r="L14" s="68"/>
      <c r="M14" s="87"/>
      <c r="N14" s="87"/>
      <c r="O14" s="68"/>
      <c r="P14" s="298"/>
    </row>
    <row r="15" spans="1:16" ht="130.05000000000001" customHeight="1" x14ac:dyDescent="0.3">
      <c r="A15" s="298"/>
      <c r="B15" s="68"/>
      <c r="C15" s="68" t="str">
        <f t="shared" si="0"/>
        <v>9</v>
      </c>
      <c r="D15" s="68">
        <f t="shared" si="1"/>
        <v>1</v>
      </c>
      <c r="E15" s="84" t="str">
        <f t="shared" si="2"/>
        <v>914</v>
      </c>
      <c r="F15" s="64" t="s">
        <v>32</v>
      </c>
      <c r="G15" s="65" t="str">
        <f>IFERROR(IF(VLOOKUP($E15,BDD!$A$1:$S$567,MATCH(G$10,BDD!$A$1:$P$1,0),FALSE)=0,"",VLOOKUP($E15,BDD!$A$1:$S$567,MATCH(G$10,BDD!$A$1:$P$1,0),FALSE)),"")</f>
        <v xml:space="preserve">L'offre de services fait l’objet d’une actualisation régulière, basée sur les besoins de l'entreprise identifiés par un travail de veille, avec une attention particulière portée à la gestion de l’obsolescence. </v>
      </c>
      <c r="H15" s="88" t="str">
        <f>IF(VLOOKUP(E15,BDD!$A$1:$S$567,15,FALSE)=0,"Critère non évalué","")</f>
        <v>Critère non évalué</v>
      </c>
      <c r="I15" s="64" t="str">
        <f>IFERROR(IF(VLOOKUP($E15,BDD!$A$1:$S$567,MATCH(I$10,BDD!$A$1:$P$1,0),FALSE)=0,"",VLOOKUP($E15,BDD!$A$1:$S$567,MATCH(I$10,BDD!$A$1:$P$1,0),FALSE)),"")</f>
        <v>N4</v>
      </c>
      <c r="J15" s="91"/>
      <c r="K15" s="65" t="str">
        <f>IFERROR(IF(VLOOKUP($E15,BDD!$A$1:$S$567,MATCH(K$10,BDD!$A$1:$P$1,0),FALSE)=0,"",VLOOKUP($E15,BDD!$A$1:$S$567,MATCH(K$10,BDD!$A$1:$P$1,0),FALSE)),"")</f>
        <v>• Cette actualisation doit être effectuée en collaboration ou concertation avec le client, au moins une fois par an.</v>
      </c>
      <c r="L15" s="68"/>
      <c r="M15" s="90"/>
      <c r="N15" s="90"/>
      <c r="O15" s="68"/>
      <c r="P15" s="298"/>
    </row>
    <row r="16" spans="1:16" ht="130.05000000000001" customHeight="1" x14ac:dyDescent="0.3">
      <c r="A16" s="298"/>
      <c r="B16" s="68"/>
      <c r="C16" s="68" t="str">
        <f t="shared" si="0"/>
        <v>9</v>
      </c>
      <c r="D16" s="68">
        <f t="shared" si="1"/>
        <v>1</v>
      </c>
      <c r="E16" s="84" t="str">
        <f t="shared" si="2"/>
        <v>915</v>
      </c>
      <c r="F16" s="66" t="s">
        <v>33</v>
      </c>
      <c r="G16" s="67" t="str">
        <f>IFERROR(IF(VLOOKUP($E16,BDD!$A$1:$S$567,MATCH(G$10,BDD!$A$1:$P$1,0),FALSE)=0,"",VLOOKUP($E16,BDD!$A$1:$S$567,MATCH(G$10,BDD!$A$1:$P$1,0),FALSE)),"")</f>
        <v>Les coûts de chaque service ainsi que leur décomposition sont connus et suivis, et leur évolution est régulièrement communiquée aux clients.</v>
      </c>
      <c r="H16" s="85" t="str">
        <f>IF(VLOOKUP(E16,BDD!$A$1:$S$567,15,FALSE)=0,"Critère non évalué","")</f>
        <v>Critère non évalué</v>
      </c>
      <c r="I16" s="66" t="str">
        <f>IFERROR(IF(VLOOKUP($E16,BDD!$A$1:$S$567,MATCH(I$10,BDD!$A$1:$P$1,0),FALSE)=0,"",VLOOKUP($E16,BDD!$A$1:$S$567,MATCH(I$10,BDD!$A$1:$P$1,0),FALSE)),"")</f>
        <v>N4</v>
      </c>
      <c r="J16" s="86"/>
      <c r="K16" s="67" t="str">
        <f>IFERROR(IF(VLOOKUP($E16,BDD!$A$1:$S$567,MATCH(K$10,BDD!$A$1:$P$1,0),FALSE)=0,"",VLOOKUP($E16,BDD!$A$1:$S$567,MATCH(K$10,BDD!$A$1:$P$1,0),FALSE)),"")</f>
        <v>• La qualité de cette communication est un élément essentiel dans la relation contractuelle interne.</v>
      </c>
      <c r="L16" s="68"/>
      <c r="M16" s="82"/>
      <c r="N16" s="82"/>
      <c r="O16" s="68"/>
      <c r="P16" s="298"/>
    </row>
    <row r="17" spans="1:16" ht="130.05000000000001" customHeight="1" x14ac:dyDescent="0.3">
      <c r="A17" s="298"/>
      <c r="B17" s="68"/>
      <c r="C17" s="68" t="str">
        <f t="shared" si="0"/>
        <v>9</v>
      </c>
      <c r="D17" s="68">
        <f t="shared" si="1"/>
        <v>1</v>
      </c>
      <c r="E17" s="84" t="str">
        <f t="shared" si="2"/>
        <v>916</v>
      </c>
      <c r="F17" s="64" t="s">
        <v>34</v>
      </c>
      <c r="G17" s="96" t="str">
        <f>IFERROR(IF(VLOOKUP($E17,BDD!$A$1:$S$567,MATCH(G$10,BDD!$A$1:$P$1,0),FALSE)=0,"",VLOOKUP($E17,BDD!$A$1:$S$567,MATCH(G$10,BDD!$A$1:$P$1,0),FALSE)),"")</f>
        <v>La DSI est capable de relier les services délivrés avec les processus ou usages métiers auxquels ils se rattachent.</v>
      </c>
      <c r="H17" s="92" t="str">
        <f>IF(VLOOKUP(E17,BDD!$A$1:$S$567,15,FALSE)=0,"Critère non évalué","")</f>
        <v>Critère non évalué</v>
      </c>
      <c r="I17" s="64" t="str">
        <f>IFERROR(IF(VLOOKUP($E17,BDD!$A$1:$S$567,MATCH(I$10,BDD!$A$1:$P$1,0),FALSE)=0,"",VLOOKUP($E17,BDD!$A$1:$S$567,MATCH(I$10,BDD!$A$1:$P$1,0),FALSE)),"")</f>
        <v>N4</v>
      </c>
      <c r="J17" s="206"/>
      <c r="K17" s="96" t="str">
        <f>IFERROR(IF(VLOOKUP($E17,BDD!$A$1:$S$567,MATCH(K$10,BDD!$A$1:$P$1,0),FALSE)=0,"",VLOOKUP($E17,BDD!$A$1:$S$567,MATCH(K$10,BDD!$A$1:$P$1,0),FALSE)),"")</f>
        <v/>
      </c>
      <c r="L17" s="68"/>
      <c r="M17" s="90"/>
      <c r="N17" s="90"/>
      <c r="O17" s="68"/>
      <c r="P17" s="298"/>
    </row>
    <row r="18" spans="1:16" ht="130.05000000000001" hidden="1" customHeight="1" x14ac:dyDescent="0.3">
      <c r="A18" s="298"/>
      <c r="B18" s="68"/>
      <c r="C18" s="68" t="str">
        <f t="shared" si="0"/>
        <v>9</v>
      </c>
      <c r="D18" s="68">
        <f t="shared" si="1"/>
        <v>1</v>
      </c>
      <c r="E18" s="84" t="str">
        <f t="shared" si="2"/>
        <v>917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c>
      <c r="J18" s="86"/>
      <c r="K18" s="67" t="str">
        <f>IFERROR(IF(VLOOKUP($E18,BDD!$A$1:$S$567,MATCH(K$10,BDD!$A$1:$P$1,0),FALSE)=0,"",VLOOKUP($E18,BDD!$A$1:$S$567,MATCH(K$10,BDD!$A$1:$P$1,0),FALSE)),"")</f>
        <v/>
      </c>
      <c r="L18" s="68"/>
      <c r="M18" s="82"/>
      <c r="N18" s="82"/>
      <c r="O18" s="68"/>
      <c r="P18" s="298"/>
    </row>
    <row r="19" spans="1:16" ht="18" x14ac:dyDescent="0.35">
      <c r="A19" s="298"/>
      <c r="B19" s="68"/>
      <c r="C19" s="68" t="str">
        <f t="shared" si="0"/>
        <v>9</v>
      </c>
      <c r="D19" s="68">
        <f t="shared" si="1"/>
        <v>1</v>
      </c>
      <c r="E19" s="84" t="str">
        <f t="shared" si="2"/>
        <v>91</v>
      </c>
      <c r="F19" s="68"/>
      <c r="G19" s="69" t="str">
        <f>IF(Suppl!B80=2,"Le vecteur n'est pas utilisé","")</f>
        <v/>
      </c>
      <c r="H19" s="69"/>
      <c r="I19" s="69"/>
      <c r="J19" s="69"/>
      <c r="K19" s="69"/>
      <c r="L19" s="70"/>
      <c r="M19" s="68"/>
      <c r="N19" s="68"/>
      <c r="O19" s="68"/>
      <c r="P19" s="298"/>
    </row>
    <row r="20" spans="1:16" x14ac:dyDescent="0.3">
      <c r="A20" s="298"/>
      <c r="B20" s="68"/>
      <c r="C20" s="68" t="str">
        <f t="shared" si="0"/>
        <v>9</v>
      </c>
      <c r="D20" s="68">
        <f>IF(LEFT(F20,14)="Bonne pratique",D19+1,D19)</f>
        <v>1</v>
      </c>
      <c r="E20" s="84" t="str">
        <f t="shared" si="2"/>
        <v>91</v>
      </c>
      <c r="F20" s="68"/>
      <c r="G20" s="68"/>
      <c r="H20" s="68"/>
      <c r="I20" s="68"/>
      <c r="J20" s="68"/>
      <c r="K20" s="68"/>
      <c r="L20" s="68"/>
      <c r="M20" s="68"/>
      <c r="N20" s="68"/>
      <c r="O20" s="68"/>
      <c r="P20" s="298"/>
    </row>
    <row r="21" spans="1:16" ht="25.8" x14ac:dyDescent="0.5">
      <c r="A21" s="304"/>
      <c r="B21" s="74"/>
      <c r="C21" s="68" t="str">
        <f t="shared" si="0"/>
        <v>9</v>
      </c>
      <c r="D21" s="68">
        <f t="shared" si="1"/>
        <v>2</v>
      </c>
      <c r="E21" s="84" t="str">
        <f t="shared" si="2"/>
        <v>922</v>
      </c>
      <c r="F21" s="208" t="s">
        <v>500</v>
      </c>
      <c r="G21" s="75"/>
      <c r="H21" s="205"/>
      <c r="I21" s="73"/>
      <c r="J21" s="73" t="str">
        <f>VLOOKUP(E28,BDD!$A$2:$N$567,6,FALSE)</f>
        <v>Demande client</v>
      </c>
      <c r="K21" s="72"/>
      <c r="L21" s="75"/>
      <c r="M21" s="75"/>
      <c r="N21" s="75"/>
      <c r="O21" s="74"/>
      <c r="P21" s="304"/>
    </row>
    <row r="22" spans="1:16" x14ac:dyDescent="0.3">
      <c r="A22" s="298"/>
      <c r="B22" s="68"/>
      <c r="C22" s="68" t="str">
        <f t="shared" si="0"/>
        <v>9</v>
      </c>
      <c r="D22" s="68">
        <f t="shared" si="1"/>
        <v>2</v>
      </c>
      <c r="E22" s="84" t="str">
        <f t="shared" si="2"/>
        <v>92</v>
      </c>
      <c r="F22" s="68"/>
      <c r="G22" s="68"/>
      <c r="H22" s="68"/>
      <c r="I22" s="68"/>
      <c r="J22" s="68"/>
      <c r="K22" s="68"/>
      <c r="L22" s="68"/>
      <c r="M22" s="68"/>
      <c r="N22" s="68"/>
      <c r="O22" s="68"/>
      <c r="P22" s="298"/>
    </row>
    <row r="23" spans="1:16" ht="18" x14ac:dyDescent="0.35">
      <c r="A23" s="305"/>
      <c r="B23" s="76"/>
      <c r="C23" s="68" t="str">
        <f t="shared" si="0"/>
        <v>9</v>
      </c>
      <c r="D23" s="68">
        <f t="shared" si="1"/>
        <v>2</v>
      </c>
      <c r="E23" s="84" t="str">
        <f t="shared" si="2"/>
        <v>92</v>
      </c>
      <c r="F23" s="76"/>
      <c r="G23" s="76"/>
      <c r="H23" s="76"/>
      <c r="I23" s="77"/>
      <c r="J23" s="207" t="str">
        <f>IFERROR(_xlfn.TEXTBEFORE(VLOOKUP(E28,BDD!$A$2:$N$567,7,FALSE)," ",30),VLOOKUP(E28,BDD!$A$2:$N$567,7,FALSE))</f>
        <v>La DSI a mis en place un processus de gestion structuré de la demande client pour les services existants (Run).</v>
      </c>
      <c r="K23" s="77"/>
      <c r="L23" s="76"/>
      <c r="M23" s="76"/>
      <c r="N23" s="76"/>
      <c r="O23" s="76"/>
      <c r="P23" s="305"/>
    </row>
    <row r="24" spans="1:16" ht="18" x14ac:dyDescent="0.35">
      <c r="A24" s="298"/>
      <c r="B24" s="68"/>
      <c r="C24" s="68" t="str">
        <f t="shared" si="0"/>
        <v>9</v>
      </c>
      <c r="D24" s="68">
        <f t="shared" si="1"/>
        <v>2</v>
      </c>
      <c r="E24" s="84" t="str">
        <f t="shared" si="2"/>
        <v>92</v>
      </c>
      <c r="F24" s="68"/>
      <c r="G24" s="68"/>
      <c r="H24" s="68"/>
      <c r="I24" s="68"/>
      <c r="J24" s="207" t="str">
        <f>IFERROR(_xlfn.TEXTAFTER(VLOOKUP(E28,BDD!$A$2:$N$567,7,FALSE)," ",30),"")</f>
        <v/>
      </c>
      <c r="K24" s="68"/>
      <c r="L24" s="68"/>
      <c r="M24" s="68"/>
      <c r="N24" s="68"/>
      <c r="O24" s="68"/>
      <c r="P24" s="298"/>
    </row>
    <row r="25" spans="1:16" x14ac:dyDescent="0.3">
      <c r="A25" s="298"/>
      <c r="B25" s="68"/>
      <c r="C25" s="68" t="str">
        <f t="shared" si="0"/>
        <v>9</v>
      </c>
      <c r="D25" s="68">
        <f t="shared" si="1"/>
        <v>2</v>
      </c>
      <c r="E25" s="84" t="str">
        <f t="shared" si="2"/>
        <v>92</v>
      </c>
      <c r="F25" s="68"/>
      <c r="G25" s="68"/>
      <c r="H25" s="68"/>
      <c r="I25" s="68"/>
      <c r="J25" s="78"/>
      <c r="K25" s="68"/>
      <c r="L25" s="68"/>
      <c r="M25" s="619" t="s">
        <v>92</v>
      </c>
      <c r="N25" s="619"/>
      <c r="O25" s="68"/>
      <c r="P25" s="298"/>
    </row>
    <row r="26" spans="1:16" ht="33" x14ac:dyDescent="0.3">
      <c r="A26" s="298"/>
      <c r="B26" s="68"/>
      <c r="C26" s="68" t="str">
        <f t="shared" si="0"/>
        <v>9</v>
      </c>
      <c r="D26" s="68">
        <f t="shared" si="1"/>
        <v>2</v>
      </c>
      <c r="E26" s="84" t="str">
        <f t="shared" si="2"/>
        <v>92</v>
      </c>
      <c r="F26" s="93"/>
      <c r="G26" s="80" t="s">
        <v>561</v>
      </c>
      <c r="H26" s="80" t="s">
        <v>82</v>
      </c>
      <c r="I26" s="80" t="s">
        <v>83</v>
      </c>
      <c r="J26" s="80" t="s">
        <v>84</v>
      </c>
      <c r="K26" s="80" t="s">
        <v>85</v>
      </c>
      <c r="L26" s="78"/>
      <c r="M26" s="81" t="s">
        <v>86</v>
      </c>
      <c r="N26" s="82" t="s">
        <v>87</v>
      </c>
      <c r="O26" s="68"/>
      <c r="P26" s="298"/>
    </row>
    <row r="27" spans="1:16" x14ac:dyDescent="0.3">
      <c r="A27" s="298"/>
      <c r="B27" s="68"/>
      <c r="C27" s="68" t="str">
        <f t="shared" si="0"/>
        <v>9</v>
      </c>
      <c r="D27" s="68">
        <f t="shared" si="1"/>
        <v>2</v>
      </c>
      <c r="E27" s="84" t="str">
        <f t="shared" si="2"/>
        <v>92</v>
      </c>
      <c r="F27" s="68"/>
      <c r="G27" s="83"/>
      <c r="H27" s="83"/>
      <c r="I27" s="83"/>
      <c r="J27" s="68"/>
      <c r="K27" s="83"/>
      <c r="L27" s="68"/>
      <c r="M27" s="68"/>
      <c r="N27" s="68"/>
      <c r="O27" s="68"/>
      <c r="P27" s="298"/>
    </row>
    <row r="28" spans="1:16" ht="130.05000000000001" customHeight="1" x14ac:dyDescent="0.3">
      <c r="A28" s="298"/>
      <c r="B28" s="68"/>
      <c r="C28" s="68" t="str">
        <f t="shared" si="0"/>
        <v>9</v>
      </c>
      <c r="D28" s="68">
        <f t="shared" si="1"/>
        <v>2</v>
      </c>
      <c r="E28" s="84" t="str">
        <f t="shared" si="2"/>
        <v>921</v>
      </c>
      <c r="F28" s="66" t="s">
        <v>27</v>
      </c>
      <c r="G28" s="67" t="str">
        <f>IFERROR(IF(VLOOKUP($E28,BDD!$A$1:$S$567,MATCH(G$10,BDD!$A$1:$P$1,0),FALSE)=0,"",VLOOKUP($E28,BDD!$A$1:$S$567,MATCH(G$10,BDD!$A$1:$P$1,0),FALSE)),"")</f>
        <v>La DSI rencontre régulièrement ses clients pour identifier et actualiser leurs besoins et attentes.</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La fréquence minimale de ces rencontres est d’une fois par an.</v>
      </c>
      <c r="L28" s="68"/>
      <c r="M28" s="87"/>
      <c r="N28" s="87"/>
      <c r="O28" s="68"/>
      <c r="P28" s="298"/>
    </row>
    <row r="29" spans="1:16" ht="130.05000000000001" customHeight="1" x14ac:dyDescent="0.3">
      <c r="A29" s="298"/>
      <c r="B29" s="68"/>
      <c r="C29" s="68" t="str">
        <f t="shared" si="0"/>
        <v>9</v>
      </c>
      <c r="D29" s="68">
        <f t="shared" si="1"/>
        <v>2</v>
      </c>
      <c r="E29" s="84" t="str">
        <f t="shared" si="2"/>
        <v>922</v>
      </c>
      <c r="F29" s="94" t="s">
        <v>28</v>
      </c>
      <c r="G29" s="65" t="str">
        <f>IFERROR(IF(VLOOKUP($E29,BDD!$A$1:$S$567,MATCH(G$10,BDD!$A$1:$P$1,0),FALSE)=0,"",VLOOKUP($E29,BDD!$A$1:$S$567,MATCH(G$10,BDD!$A$1:$P$1,0),FALSE)),"")</f>
        <v>Des indicateurs de suivi sont définis, ils font l’objet d’un reporting et d’échanges réguliers et formalisés avec les métiers, leur offrant une vision claire des services qui leur sont délivrés.</v>
      </c>
      <c r="H29" s="88" t="str">
        <f>IF(VLOOKUP(E29,BDD!$A$1:$S$567,15,FALSE)=0,"Critère non évalué","")</f>
        <v>Critère non évalué</v>
      </c>
      <c r="I29" s="64" t="str">
        <f>IFERROR(IF(VLOOKUP($E29,BDD!$A$1:$S$567,MATCH(I$10,BDD!$A$1:$P$1,0),FALSE)=0,"",VLOOKUP($E29,BDD!$A$1:$S$567,MATCH(I$10,BDD!$A$1:$P$1,0),FALSE)),"")</f>
        <v>N3</v>
      </c>
      <c r="J29" s="89"/>
      <c r="K29" s="65" t="str">
        <f>IFERROR(IF(VLOOKUP($E29,BDD!$A$1:$S$567,MATCH(K$10,BDD!$A$1:$P$1,0),FALSE)=0,"",VLOOKUP($E29,BDD!$A$1:$S$567,MATCH(K$10,BDD!$A$1:$P$1,0),FALSE)),"")</f>
        <v>• Les métiers disposent d’une vision de bout en bout et la DSI leur communique les outils ou indicateurs pour qu'ils puissent vérifier que les services délivrés sont conformes aux engagements pris.
• Le tableau de bord associé au contrat permet d’assurer une communication permanente avec le client. Sa fréquence est adaptée au service et doit être régulière pour qu’il soit un véritable outil de pilotage conjoint.
• La sensibilisation des métiers clients aux coûts de services leur permet de mieux comprendre la valeur ajoutée du service.</v>
      </c>
      <c r="L29" s="68"/>
      <c r="M29" s="90"/>
      <c r="N29" s="90"/>
      <c r="O29" s="68"/>
      <c r="P29" s="298"/>
    </row>
    <row r="30" spans="1:16" ht="130.05000000000001" customHeight="1" x14ac:dyDescent="0.3">
      <c r="A30" s="298"/>
      <c r="B30" s="68"/>
      <c r="C30" s="68" t="str">
        <f t="shared" si="0"/>
        <v>9</v>
      </c>
      <c r="D30" s="68">
        <f t="shared" si="1"/>
        <v>2</v>
      </c>
      <c r="E30" s="84" t="str">
        <f t="shared" si="2"/>
        <v>923</v>
      </c>
      <c r="F30" s="66" t="s">
        <v>30</v>
      </c>
      <c r="G30" s="67" t="str">
        <f>IFERROR(IF(VLOOKUP($E30,BDD!$A$1:$S$567,MATCH(G$10,BDD!$A$1:$P$1,0),FALSE)=0,"",VLOOKUP($E30,BDD!$A$1:$S$567,MATCH(G$10,BDD!$A$1:$P$1,0),FALSE)),"")</f>
        <v>La DSI réalise des benchmarks lui permettant de comparer son offre de services à celle d’autres entreprises du même secteur d’activité et de taille comparable, voire même à l’offre de prestataires externes.</v>
      </c>
      <c r="H30" s="85" t="str">
        <f>IF(VLOOKUP(E30,BDD!$A$1:$S$567,15,FALSE)=0,"Critère non évalué","")</f>
        <v>Critère non évalué</v>
      </c>
      <c r="I30" s="66" t="str">
        <f>IFERROR(IF(VLOOKUP($E30,BDD!$A$1:$S$567,MATCH(I$10,BDD!$A$1:$P$1,0),FALSE)=0,"",VLOOKUP($E30,BDD!$A$1:$S$567,MATCH(I$10,BDD!$A$1:$P$1,0),FALSE)),"")</f>
        <v>N5</v>
      </c>
      <c r="J30" s="86"/>
      <c r="K30" s="67" t="str">
        <f>IFERROR(IF(VLOOKUP($E30,BDD!$A$1:$S$567,MATCH(K$10,BDD!$A$1:$P$1,0),FALSE)=0,"",VLOOKUP($E30,BDD!$A$1:$S$567,MATCH(K$10,BDD!$A$1:$P$1,0),FALSE)),"")</f>
        <v>• Dans les faits, cette démarche vise à questionner la capacité de la DSI à maîtriser ses coûts et à les autoévaluer. 
• Cf : Modèle de pilotage économique et écologique de l’IT, Cigref, 2022</v>
      </c>
      <c r="L30" s="68"/>
      <c r="M30" s="87"/>
      <c r="N30" s="87"/>
      <c r="O30" s="68"/>
      <c r="P30" s="298"/>
    </row>
    <row r="31" spans="1:16" ht="130.05000000000001" hidden="1" customHeight="1" x14ac:dyDescent="0.3">
      <c r="A31" s="298"/>
      <c r="B31" s="68"/>
      <c r="C31" s="68" t="str">
        <f t="shared" si="0"/>
        <v>9</v>
      </c>
      <c r="D31" s="68">
        <f t="shared" si="1"/>
        <v>2</v>
      </c>
      <c r="E31" s="84" t="str">
        <f t="shared" si="2"/>
        <v>924</v>
      </c>
      <c r="F31" s="64" t="s">
        <v>32</v>
      </c>
      <c r="G31" s="65" t="str">
        <f>IFERROR(IF(VLOOKUP($E31,BDD!$A$1:$S$567,MATCH(G$10,BDD!$A$1:$P$1,0),FALSE)=0,"",VLOOKUP($E31,BDD!$A$1:$S$567,MATCH(G$10,BDD!$A$1:$P$1,0),FALSE)),"")</f>
        <v/>
      </c>
      <c r="H31" s="88" t="str">
        <f>IF(VLOOKUP(E31,BDD!$A$1:$S$567,15,FALSE)=0,"Critère non évalué","")</f>
        <v>Critère non évalué</v>
      </c>
      <c r="I31" s="64" t="str">
        <f>IFERROR(IF(VLOOKUP($E31,BDD!$A$1:$S$567,MATCH(I$10,BDD!$A$1:$P$1,0),FALSE)=0,"",VLOOKUP($E31,BDD!$A$1:$S$567,MATCH(I$10,BDD!$A$1:$P$1,0),FALSE)),"")</f>
        <v/>
      </c>
      <c r="J31" s="91"/>
      <c r="K31" s="65" t="str">
        <f>IFERROR(IF(VLOOKUP($E31,BDD!$A$1:$S$567,MATCH(K$10,BDD!$A$1:$P$1,0),FALSE)=0,"",VLOOKUP($E31,BDD!$A$1:$S$567,MATCH(K$10,BDD!$A$1:$P$1,0),FALSE)),"")</f>
        <v/>
      </c>
      <c r="L31" s="68"/>
      <c r="M31" s="90"/>
      <c r="N31" s="90"/>
      <c r="O31" s="68"/>
      <c r="P31" s="298"/>
    </row>
    <row r="32" spans="1:16" ht="130.05000000000001" hidden="1" customHeight="1" x14ac:dyDescent="0.3">
      <c r="A32" s="298"/>
      <c r="B32" s="68"/>
      <c r="C32" s="68" t="str">
        <f t="shared" si="0"/>
        <v>9</v>
      </c>
      <c r="D32" s="68">
        <f t="shared" si="1"/>
        <v>2</v>
      </c>
      <c r="E32" s="84" t="str">
        <f t="shared" si="2"/>
        <v>925</v>
      </c>
      <c r="F32" s="66" t="s">
        <v>33</v>
      </c>
      <c r="G32" s="67" t="str">
        <f>IFERROR(IF(VLOOKUP($E32,BDD!$A$1:$S$567,MATCH(G$10,BDD!$A$1:$P$1,0),FALSE)=0,"",VLOOKUP($E32,BDD!$A$1:$S$567,MATCH(G$10,BDD!$A$1:$P$1,0),FALSE)),"")</f>
        <v/>
      </c>
      <c r="H32" s="85" t="str">
        <f>IF(VLOOKUP(E32,BDD!$A$1:$S$567,15,FALSE)=0,"Critère non évalué","")</f>
        <v>Critère non évalué</v>
      </c>
      <c r="I32" s="66" t="str">
        <f>IFERROR(IF(VLOOKUP($E32,BDD!$A$1:$S$567,MATCH(I$10,BDD!$A$1:$P$1,0),FALSE)=0,"",VLOOKUP($E32,BDD!$A$1:$S$567,MATCH(I$10,BDD!$A$1:$P$1,0),FALSE)),"")</f>
        <v/>
      </c>
      <c r="J32" s="86"/>
      <c r="K32" s="67" t="str">
        <f>IFERROR(IF(VLOOKUP($E32,BDD!$A$1:$S$567,MATCH(K$10,BDD!$A$1:$P$1,0),FALSE)=0,"",VLOOKUP($E32,BDD!$A$1:$S$567,MATCH(K$10,BDD!$A$1:$P$1,0),FALSE)),"")</f>
        <v/>
      </c>
      <c r="L32" s="68"/>
      <c r="M32" s="82"/>
      <c r="N32" s="82"/>
      <c r="O32" s="68"/>
      <c r="P32" s="298"/>
    </row>
    <row r="33" spans="1:16" ht="130.05000000000001" hidden="1" customHeight="1" x14ac:dyDescent="0.3">
      <c r="A33" s="298"/>
      <c r="B33" s="68"/>
      <c r="C33" s="68" t="str">
        <f t="shared" si="0"/>
        <v>9</v>
      </c>
      <c r="D33" s="68">
        <f t="shared" si="1"/>
        <v>2</v>
      </c>
      <c r="E33" s="84" t="str">
        <f t="shared" si="2"/>
        <v>926</v>
      </c>
      <c r="F33" s="64" t="s">
        <v>34</v>
      </c>
      <c r="G33" s="65" t="str">
        <f>IFERROR(IF(VLOOKUP($E33,BDD!$A$1:$S$567,MATCH(G$10,BDD!$A$1:$P$1,0),FALSE)=0,"",VLOOKUP($E33,BDD!$A$1:$S$567,MATCH(G$10,BDD!$A$1:$P$1,0),FALSE)),"")</f>
        <v/>
      </c>
      <c r="H33" s="92" t="str">
        <f>IF(VLOOKUP(E33,BDD!$A$1:$S$567,15,FALSE)=0,"Critère non évalué","")</f>
        <v>Critère non évalué</v>
      </c>
      <c r="I33" s="64" t="str">
        <f>IFERROR(IF(VLOOKUP($E33,BDD!$A$1:$S$567,MATCH(I$10,BDD!$A$1:$P$1,0),FALSE)=0,"",VLOOKUP($E33,BDD!$A$1:$S$567,MATCH(I$10,BDD!$A$1:$P$1,0),FALSE)),"")</f>
        <v/>
      </c>
      <c r="J33" s="89"/>
      <c r="K33" s="65" t="str">
        <f>IFERROR(IF(VLOOKUP($E33,BDD!$A$1:$S$567,MATCH(K$10,BDD!$A$1:$P$1,0),FALSE)=0,"",VLOOKUP($E33,BDD!$A$1:$S$567,MATCH(K$10,BDD!$A$1:$P$1,0),FALSE)),"")</f>
        <v/>
      </c>
      <c r="L33" s="68"/>
      <c r="M33" s="90"/>
      <c r="N33" s="90"/>
      <c r="O33" s="68"/>
      <c r="P33" s="298"/>
    </row>
    <row r="34" spans="1:16" ht="130.05000000000001" hidden="1" customHeight="1" x14ac:dyDescent="0.3">
      <c r="A34" s="298"/>
      <c r="B34" s="68"/>
      <c r="C34" s="68" t="str">
        <f t="shared" si="0"/>
        <v>9</v>
      </c>
      <c r="D34" s="68">
        <f t="shared" si="1"/>
        <v>2</v>
      </c>
      <c r="E34" s="84" t="str">
        <f t="shared" si="2"/>
        <v>927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c>
      <c r="J34" s="86"/>
      <c r="K34" s="67" t="str">
        <f>IFERROR(IF(VLOOKUP($E34,BDD!$A$1:$S$567,MATCH(K$10,BDD!$A$1:$P$1,0),FALSE)=0,"",VLOOKUP($E34,BDD!$A$1:$S$567,MATCH(K$10,BDD!$A$1:$P$1,0),FALSE)),"")</f>
        <v/>
      </c>
      <c r="L34" s="68"/>
      <c r="M34" s="82"/>
      <c r="N34" s="82"/>
      <c r="O34" s="68"/>
      <c r="P34" s="298"/>
    </row>
    <row r="35" spans="1:16" ht="18" x14ac:dyDescent="0.35">
      <c r="A35" s="298"/>
      <c r="B35" s="68"/>
      <c r="C35" s="68" t="str">
        <f t="shared" si="0"/>
        <v>9</v>
      </c>
      <c r="D35" s="68">
        <f t="shared" si="1"/>
        <v>2</v>
      </c>
      <c r="E35" s="84" t="str">
        <f t="shared" si="2"/>
        <v>92</v>
      </c>
      <c r="F35" s="68"/>
      <c r="G35" s="69" t="str">
        <f>IF(Suppl!B96=2,"Le vecteur n'est pas utilisé","")</f>
        <v/>
      </c>
      <c r="H35" s="69"/>
      <c r="I35" s="68"/>
      <c r="J35" s="69"/>
      <c r="K35" s="69"/>
      <c r="L35" s="70"/>
      <c r="M35" s="68"/>
      <c r="N35" s="68"/>
      <c r="O35" s="68"/>
      <c r="P35" s="298"/>
    </row>
    <row r="36" spans="1:16" x14ac:dyDescent="0.3">
      <c r="A36" s="298"/>
      <c r="B36" s="68"/>
      <c r="C36" s="68" t="str">
        <f t="shared" si="0"/>
        <v>9</v>
      </c>
      <c r="D36" s="68">
        <f>IF(LEFT(F36,14)="Bonne pratique",D35+1,D35)</f>
        <v>2</v>
      </c>
      <c r="E36" s="84" t="str">
        <f t="shared" si="2"/>
        <v>92</v>
      </c>
      <c r="F36" s="68"/>
      <c r="G36" s="68"/>
      <c r="H36" s="68"/>
      <c r="I36" s="68"/>
      <c r="J36" s="68"/>
      <c r="K36" s="68"/>
      <c r="L36" s="68"/>
      <c r="M36" s="68"/>
      <c r="N36" s="68"/>
      <c r="O36" s="68"/>
      <c r="P36" s="298"/>
    </row>
    <row r="37" spans="1:16" ht="25.8" x14ac:dyDescent="0.5">
      <c r="A37" s="304"/>
      <c r="B37" s="74"/>
      <c r="C37" s="68" t="str">
        <f t="shared" si="0"/>
        <v>9</v>
      </c>
      <c r="D37" s="68">
        <f t="shared" si="1"/>
        <v>3</v>
      </c>
      <c r="E37" s="84" t="str">
        <f t="shared" si="2"/>
        <v>933</v>
      </c>
      <c r="F37" s="208" t="s">
        <v>501</v>
      </c>
      <c r="G37" s="75"/>
      <c r="H37" s="205"/>
      <c r="I37" s="73"/>
      <c r="J37" s="73" t="str">
        <f>VLOOKUP(E44,BDD!$A$2:$N$567,6,FALSE)</f>
        <v>Contrats de services</v>
      </c>
      <c r="K37" s="72"/>
      <c r="L37" s="75"/>
      <c r="M37" s="75"/>
      <c r="N37" s="75"/>
      <c r="O37" s="74"/>
      <c r="P37" s="304"/>
    </row>
    <row r="38" spans="1:16" x14ac:dyDescent="0.3">
      <c r="A38" s="298"/>
      <c r="B38" s="68"/>
      <c r="C38" s="68" t="str">
        <f t="shared" si="0"/>
        <v>9</v>
      </c>
      <c r="D38" s="68">
        <f t="shared" si="1"/>
        <v>3</v>
      </c>
      <c r="E38" s="84" t="str">
        <f t="shared" si="2"/>
        <v>93</v>
      </c>
      <c r="F38" s="68"/>
      <c r="G38" s="68"/>
      <c r="H38" s="68"/>
      <c r="I38" s="68"/>
      <c r="J38" s="68"/>
      <c r="K38" s="68"/>
      <c r="L38" s="68"/>
      <c r="M38" s="68"/>
      <c r="N38" s="68"/>
      <c r="O38" s="68"/>
      <c r="P38" s="298"/>
    </row>
    <row r="39" spans="1:16" ht="18" x14ac:dyDescent="0.35">
      <c r="A39" s="305"/>
      <c r="B39" s="76"/>
      <c r="C39" s="68" t="str">
        <f t="shared" si="0"/>
        <v>9</v>
      </c>
      <c r="D39" s="68">
        <f t="shared" si="1"/>
        <v>3</v>
      </c>
      <c r="E39" s="84" t="str">
        <f t="shared" si="2"/>
        <v>93</v>
      </c>
      <c r="F39" s="76"/>
      <c r="G39" s="76"/>
      <c r="H39" s="76"/>
      <c r="I39" s="77"/>
      <c r="J39" s="207" t="str">
        <f>IFERROR(_xlfn.TEXTBEFORE(VLOOKUP(E44,BDD!$A$2:$N$567,7,FALSE)," ",30),VLOOKUP(E44,BDD!$A$2:$N$567,7,FALSE))</f>
        <v>La DSI a mis en place des contrats de services.</v>
      </c>
      <c r="K39" s="77"/>
      <c r="L39" s="76"/>
      <c r="M39" s="76"/>
      <c r="N39" s="76"/>
      <c r="O39" s="76"/>
      <c r="P39" s="305"/>
    </row>
    <row r="40" spans="1:16" ht="18" x14ac:dyDescent="0.35">
      <c r="A40" s="298"/>
      <c r="B40" s="68"/>
      <c r="C40" s="68" t="str">
        <f t="shared" si="0"/>
        <v>9</v>
      </c>
      <c r="D40" s="68">
        <f t="shared" si="1"/>
        <v>3</v>
      </c>
      <c r="E40" s="84" t="str">
        <f t="shared" si="2"/>
        <v>93</v>
      </c>
      <c r="F40" s="68"/>
      <c r="G40" s="68"/>
      <c r="H40" s="68"/>
      <c r="I40" s="68"/>
      <c r="J40" s="207" t="str">
        <f>IFERROR(_xlfn.TEXTAFTER(VLOOKUP(E44,BDD!$A$2:$N$567,7,FALSE)," ",30),"")</f>
        <v/>
      </c>
      <c r="K40" s="68"/>
      <c r="L40" s="68"/>
      <c r="M40" s="68"/>
      <c r="N40" s="68"/>
      <c r="O40" s="68"/>
      <c r="P40" s="298"/>
    </row>
    <row r="41" spans="1:16" x14ac:dyDescent="0.3">
      <c r="A41" s="298"/>
      <c r="B41" s="68"/>
      <c r="C41" s="68" t="str">
        <f t="shared" si="0"/>
        <v>9</v>
      </c>
      <c r="D41" s="68">
        <f t="shared" si="1"/>
        <v>3</v>
      </c>
      <c r="E41" s="84" t="str">
        <f t="shared" si="2"/>
        <v>93</v>
      </c>
      <c r="F41" s="68"/>
      <c r="G41" s="68"/>
      <c r="H41" s="68"/>
      <c r="I41" s="68"/>
      <c r="J41" s="78"/>
      <c r="K41" s="68"/>
      <c r="L41" s="68"/>
      <c r="M41" s="619" t="s">
        <v>92</v>
      </c>
      <c r="N41" s="619"/>
      <c r="O41" s="68"/>
      <c r="P41" s="298"/>
    </row>
    <row r="42" spans="1:16" ht="33" x14ac:dyDescent="0.3">
      <c r="A42" s="298"/>
      <c r="B42" s="68"/>
      <c r="C42" s="68" t="str">
        <f t="shared" si="0"/>
        <v>9</v>
      </c>
      <c r="D42" s="68">
        <f t="shared" si="1"/>
        <v>3</v>
      </c>
      <c r="E42" s="84" t="str">
        <f t="shared" si="2"/>
        <v>93</v>
      </c>
      <c r="F42" s="79"/>
      <c r="G42" s="80" t="s">
        <v>561</v>
      </c>
      <c r="H42" s="80" t="s">
        <v>82</v>
      </c>
      <c r="I42" s="80" t="s">
        <v>83</v>
      </c>
      <c r="J42" s="80" t="s">
        <v>84</v>
      </c>
      <c r="K42" s="80" t="s">
        <v>85</v>
      </c>
      <c r="L42" s="78"/>
      <c r="M42" s="81" t="s">
        <v>86</v>
      </c>
      <c r="N42" s="82" t="s">
        <v>87</v>
      </c>
      <c r="O42" s="68"/>
      <c r="P42" s="298"/>
    </row>
    <row r="43" spans="1:16" x14ac:dyDescent="0.3">
      <c r="A43" s="298"/>
      <c r="B43" s="68"/>
      <c r="C43" s="68" t="str">
        <f t="shared" si="0"/>
        <v>9</v>
      </c>
      <c r="D43" s="68">
        <f t="shared" si="1"/>
        <v>3</v>
      </c>
      <c r="E43" s="84" t="str">
        <f t="shared" si="2"/>
        <v>93</v>
      </c>
      <c r="F43" s="68"/>
      <c r="G43" s="83"/>
      <c r="H43" s="83"/>
      <c r="I43" s="83"/>
      <c r="J43" s="68"/>
      <c r="K43" s="83"/>
      <c r="L43" s="68"/>
      <c r="M43" s="68"/>
      <c r="N43" s="68"/>
      <c r="O43" s="68"/>
      <c r="P43" s="298"/>
    </row>
    <row r="44" spans="1:16" ht="130.05000000000001" customHeight="1" x14ac:dyDescent="0.3">
      <c r="A44" s="298"/>
      <c r="B44" s="68"/>
      <c r="C44" s="68" t="str">
        <f t="shared" si="0"/>
        <v>9</v>
      </c>
      <c r="D44" s="68">
        <f t="shared" si="1"/>
        <v>3</v>
      </c>
      <c r="E44" s="84" t="str">
        <f t="shared" si="2"/>
        <v>931</v>
      </c>
      <c r="F44" s="66" t="s">
        <v>27</v>
      </c>
      <c r="G44" s="67" t="str">
        <f>IFERROR(IF(VLOOKUP($E44,BDD!$A$1:$S$567,MATCH(G$10,BDD!$A$1:$P$1,0),FALSE)=0,"",VLOOKUP($E44,BDD!$A$1:$S$567,MATCH(G$10,BDD!$A$1:$P$1,0),FALSE)),"")</f>
        <v>Les engagements de niveau de service ou Service level agreement (SLA) sont partagés avec les clients.</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c>
      <c r="L44" s="68"/>
      <c r="M44" s="87"/>
      <c r="N44" s="87"/>
      <c r="O44" s="68"/>
      <c r="P44" s="298"/>
    </row>
    <row r="45" spans="1:16" ht="130.05000000000001" customHeight="1" x14ac:dyDescent="0.3">
      <c r="A45" s="298"/>
      <c r="B45" s="68"/>
      <c r="C45" s="68" t="str">
        <f t="shared" si="0"/>
        <v>9</v>
      </c>
      <c r="D45" s="68">
        <f t="shared" si="1"/>
        <v>3</v>
      </c>
      <c r="E45" s="84" t="str">
        <f t="shared" si="2"/>
        <v>932</v>
      </c>
      <c r="F45" s="94" t="s">
        <v>28</v>
      </c>
      <c r="G45" s="65" t="str">
        <f>IFERROR(IF(VLOOKUP($E45,BDD!$A$1:$S$567,MATCH(G$10,BDD!$A$1:$P$1,0),FALSE)=0,"",VLOOKUP($E45,BDD!$A$1:$S$567,MATCH(G$10,BDD!$A$1:$P$1,0),FALSE)),"")</f>
        <v>Les services délivrés à une fonction de l’entreprise ou à un processus particulier sont regroupés dans un contrat de services passé entre la DSI et l’entité concernée.</v>
      </c>
      <c r="H45" s="88" t="str">
        <f>IF(VLOOKUP(E45,BDD!$A$1:$S$567,15,FALSE)=0,"Critère non évalué","")</f>
        <v>Critère non évalué</v>
      </c>
      <c r="I45" s="64" t="str">
        <f>IFERROR(IF(VLOOKUP($E45,BDD!$A$1:$S$567,MATCH(I$10,BDD!$A$1:$P$1,0),FALSE)=0,"",VLOOKUP($E45,BDD!$A$1:$S$567,MATCH(I$10,BDD!$A$1:$P$1,0),FALSE)),"")</f>
        <v>N2</v>
      </c>
      <c r="J45" s="89"/>
      <c r="K45" s="65" t="str">
        <f>IFERROR(IF(VLOOKUP($E45,BDD!$A$1:$S$567,MATCH(K$10,BDD!$A$1:$P$1,0),FALSE)=0,"",VLOOKUP($E45,BDD!$A$1:$S$567,MATCH(K$10,BDD!$A$1:$P$1,0),FALSE)),"")</f>
        <v>• La DSI a notamment défini avec les utilisateurs, dans ses contrats de services, la durée et la plage horaire de l’interruption acceptable, et le processus de décision de passage en mode dégradé en cas d’interruption prolongée. On doit s’assurer que le contrat de services est en cohérence avec la gestion de crise et avec les plans de continuité d’activité (PCA) et de reprise d’activité (PRA). Cf Critère 3 de la bonne pratique 5 de ce vecteur.</v>
      </c>
      <c r="L45" s="68"/>
      <c r="M45" s="90"/>
      <c r="N45" s="90"/>
      <c r="O45" s="68"/>
      <c r="P45" s="298"/>
    </row>
    <row r="46" spans="1:16" ht="130.05000000000001" customHeight="1" x14ac:dyDescent="0.3">
      <c r="A46" s="298"/>
      <c r="B46" s="68"/>
      <c r="C46" s="68" t="str">
        <f t="shared" si="0"/>
        <v>9</v>
      </c>
      <c r="D46" s="68">
        <f t="shared" si="1"/>
        <v>3</v>
      </c>
      <c r="E46" s="84" t="str">
        <f t="shared" si="2"/>
        <v>933</v>
      </c>
      <c r="F46" s="66" t="s">
        <v>30</v>
      </c>
      <c r="G46" s="67" t="str">
        <f>IFERROR(IF(VLOOKUP($E46,BDD!$A$1:$S$567,MATCH(G$10,BDD!$A$1:$P$1,0),FALSE)=0,"",VLOOKUP($E46,BDD!$A$1:$S$567,MATCH(G$10,BDD!$A$1:$P$1,0),FALSE)),"")</f>
        <v>Les niveaux de service convenus avec les clients de la DSI et avec les métiers sont déclinés dans les contrats de sous-traitance.</v>
      </c>
      <c r="H46" s="85" t="str">
        <f>IF(VLOOKUP(E46,BDD!$A$1:$S$567,15,FALSE)=0,"Critère non évalué","")</f>
        <v>Critère non évalué</v>
      </c>
      <c r="I46" s="66" t="str">
        <f>IFERROR(IF(VLOOKUP($E46,BDD!$A$1:$S$567,MATCH(I$10,BDD!$A$1:$P$1,0),FALSE)=0,"",VLOOKUP($E46,BDD!$A$1:$S$567,MATCH(I$10,BDD!$A$1:$P$1,0),FALSE)),"")</f>
        <v>N3</v>
      </c>
      <c r="J46" s="86"/>
      <c r="K46" s="67" t="str">
        <f>IFERROR(IF(VLOOKUP($E46,BDD!$A$1:$S$567,MATCH(K$10,BDD!$A$1:$P$1,0),FALSE)=0,"",VLOOKUP($E46,BDD!$A$1:$S$567,MATCH(K$10,BDD!$A$1:$P$1,0),FALSE)),"")</f>
        <v/>
      </c>
      <c r="L46" s="68"/>
      <c r="M46" s="87"/>
      <c r="N46" s="87"/>
      <c r="O46" s="68"/>
      <c r="P46" s="298"/>
    </row>
    <row r="47" spans="1:16" ht="120" customHeight="1" x14ac:dyDescent="0.3">
      <c r="A47" s="298"/>
      <c r="B47" s="68"/>
      <c r="C47" s="68" t="str">
        <f t="shared" si="0"/>
        <v>9</v>
      </c>
      <c r="D47" s="68">
        <f t="shared" si="1"/>
        <v>3</v>
      </c>
      <c r="E47" s="84" t="str">
        <f t="shared" si="2"/>
        <v>934</v>
      </c>
      <c r="F47" s="64" t="s">
        <v>32</v>
      </c>
      <c r="G47" s="96" t="str">
        <f>IFERROR(IF(VLOOKUP($E47,BDD!$A$1:$S$567,MATCH(G$10,BDD!$A$1:$P$1,0),FALSE)=0,"",VLOOKUP($E47,BDD!$A$1:$S$567,MATCH(G$10,BDD!$A$1:$P$1,0),FALSE)),"")</f>
        <v>Les contrats de services sont rédigés avec les clients de la DSI et font formellement apparaître les accords respectifs. Leur formulation est intelligible par les deux parties.</v>
      </c>
      <c r="H47" s="210" t="str">
        <f>IF(VLOOKUP(E47,BDD!$A$1:$S$567,15,FALSE)=0,"Critère non évalué","")</f>
        <v>Critère non évalué</v>
      </c>
      <c r="I47" s="64" t="str">
        <f>IFERROR(IF(VLOOKUP($E47,BDD!$A$1:$S$567,MATCH(I$10,BDD!$A$1:$P$1,0),FALSE)=0,"",VLOOKUP($E47,BDD!$A$1:$S$567,MATCH(I$10,BDD!$A$1:$P$1,0),FALSE)),"")</f>
        <v>N4</v>
      </c>
      <c r="J47" s="95"/>
      <c r="K47" s="96" t="str">
        <f>IFERROR(IF(VLOOKUP($E47,BDD!$A$1:$S$567,MATCH(K$10,BDD!$A$1:$P$1,0),FALSE)=0,"",VLOOKUP($E47,BDD!$A$1:$S$567,MATCH(K$10,BDD!$A$1:$P$1,0),FALSE)),"")</f>
        <v>• Il s’agit de formaliser un accord de collaboration où chacun connaît les enjeux de l’autre et accepte ses contraintes.</v>
      </c>
      <c r="L47" s="68"/>
      <c r="M47" s="90"/>
      <c r="N47" s="90"/>
      <c r="O47" s="68"/>
      <c r="P47" s="298"/>
    </row>
    <row r="48" spans="1:16" ht="130.05000000000001" customHeight="1" x14ac:dyDescent="0.3">
      <c r="A48" s="298"/>
      <c r="B48" s="68"/>
      <c r="C48" s="68" t="str">
        <f t="shared" si="0"/>
        <v>9</v>
      </c>
      <c r="D48" s="68">
        <f t="shared" si="1"/>
        <v>3</v>
      </c>
      <c r="E48" s="84" t="str">
        <f t="shared" si="2"/>
        <v>935</v>
      </c>
      <c r="F48" s="66" t="s">
        <v>33</v>
      </c>
      <c r="G48" s="67" t="str">
        <f>IFERROR(IF(VLOOKUP($E48,BDD!$A$1:$S$567,MATCH(G$10,BDD!$A$1:$P$1,0),FALSE)=0,"",VLOOKUP($E48,BDD!$A$1:$S$567,MATCH(G$10,BDD!$A$1:$P$1,0),FALSE)),"")</f>
        <v>Le contrat fait figurer l’objectif et les attentes du client ainsi que les devoirs et obligations de chaque partie prenante.</v>
      </c>
      <c r="H48" s="85" t="str">
        <f>IF(VLOOKUP(E48,BDD!$A$1:$S$567,15,FALSE)=0,"Critère non évalué","")</f>
        <v>Critère non évalué</v>
      </c>
      <c r="I48" s="66" t="str">
        <f>IFERROR(IF(VLOOKUP($E48,BDD!$A$1:$S$567,MATCH(I$10,BDD!$A$1:$P$1,0),FALSE)=0,"",VLOOKUP($E48,BDD!$A$1:$S$567,MATCH(I$10,BDD!$A$1:$P$1,0),FALSE)),"")</f>
        <v>N4</v>
      </c>
      <c r="J48" s="86"/>
      <c r="K48" s="67" t="str">
        <f>IFERROR(IF(VLOOKUP($E48,BDD!$A$1:$S$567,MATCH(K$10,BDD!$A$1:$P$1,0),FALSE)=0,"",VLOOKUP($E48,BDD!$A$1:$S$567,MATCH(K$10,BDD!$A$1:$P$1,0),FALSE)),"")</f>
        <v>• La prise en compte des aspects réglementaires est à intégrer également.</v>
      </c>
      <c r="L48" s="68"/>
      <c r="M48" s="87"/>
      <c r="N48" s="87"/>
      <c r="O48" s="68"/>
      <c r="P48" s="298"/>
    </row>
    <row r="49" spans="1:16" ht="120" customHeight="1" x14ac:dyDescent="0.3">
      <c r="A49" s="298"/>
      <c r="B49" s="68"/>
      <c r="C49" s="68" t="str">
        <f t="shared" si="0"/>
        <v>9</v>
      </c>
      <c r="D49" s="68">
        <f t="shared" si="1"/>
        <v>3</v>
      </c>
      <c r="E49" s="84" t="str">
        <f t="shared" si="2"/>
        <v>936</v>
      </c>
      <c r="F49" s="64" t="s">
        <v>34</v>
      </c>
      <c r="G49" s="96" t="str">
        <f>IFERROR(IF(VLOOKUP($E49,BDD!$A$1:$S$567,MATCH(G$10,BDD!$A$1:$P$1,0),FALSE)=0,"",VLOOKUP($E49,BDD!$A$1:$S$567,MATCH(G$10,BDD!$A$1:$P$1,0),FALSE)),"")</f>
        <v xml:space="preserve">Le contrat est régulièrement actualisé, tant en termes de type de services que de structure de coûts. </v>
      </c>
      <c r="H49" s="210" t="str">
        <f>IF(VLOOKUP(E49,BDD!$A$1:$S$567,15,FALSE)=0,"Critère non évalué","")</f>
        <v>Critère non évalué</v>
      </c>
      <c r="I49" s="64" t="str">
        <f>IFERROR(IF(VLOOKUP($E49,BDD!$A$1:$S$567,MATCH(I$10,BDD!$A$1:$P$1,0),FALSE)=0,"",VLOOKUP($E49,BDD!$A$1:$S$567,MATCH(I$10,BDD!$A$1:$P$1,0),FALSE)),"")</f>
        <v>N5</v>
      </c>
      <c r="J49" s="95"/>
      <c r="K49" s="96" t="str">
        <f>IFERROR(IF(VLOOKUP($E49,BDD!$A$1:$S$567,MATCH(K$10,BDD!$A$1:$P$1,0),FALSE)=0,"",VLOOKUP($E49,BDD!$A$1:$S$567,MATCH(K$10,BDD!$A$1:$P$1,0),FALSE)),"")</f>
        <v/>
      </c>
      <c r="L49" s="68"/>
      <c r="M49" s="90"/>
      <c r="N49" s="90"/>
      <c r="O49" s="68"/>
      <c r="P49" s="298"/>
    </row>
    <row r="50" spans="1:16" ht="130.05000000000001" hidden="1" customHeight="1" x14ac:dyDescent="0.3">
      <c r="A50" s="298"/>
      <c r="B50" s="68"/>
      <c r="C50" s="68" t="str">
        <f t="shared" si="0"/>
        <v>9</v>
      </c>
      <c r="D50" s="68">
        <f t="shared" si="1"/>
        <v>3</v>
      </c>
      <c r="E50" s="84" t="str">
        <f t="shared" si="2"/>
        <v>937</v>
      </c>
      <c r="F50" s="66" t="s">
        <v>36</v>
      </c>
      <c r="G50" s="67" t="str">
        <f>IFERROR(IF(VLOOKUP($E50,BDD!$A$1:$S$567,MATCH(G$10,BDD!$A$1:$P$1,0),FALSE)=0,"",VLOOKUP($E50,BDD!$A$1:$S$567,MATCH(G$10,BDD!$A$1:$P$1,0),FALSE)),"")</f>
        <v/>
      </c>
      <c r="H50" s="85" t="str">
        <f>IF(VLOOKUP(E50,BDD!$A$1:$S$567,15,FALSE)=0,"Critère non évalué","")</f>
        <v>Critère non évalué</v>
      </c>
      <c r="I50" s="66" t="str">
        <f>IFERROR(IF(VLOOKUP($E50,BDD!$A$1:$S$567,MATCH(I$10,BDD!$A$1:$P$1,0),FALSE)=0,"",VLOOKUP($E50,BDD!$A$1:$S$567,MATCH(I$10,BDD!$A$1:$P$1,0),FALSE)),"")</f>
        <v/>
      </c>
      <c r="J50" s="86"/>
      <c r="K50" s="67" t="str">
        <f>IFERROR(IF(VLOOKUP($E50,BDD!$A$1:$S$567,MATCH(K$10,BDD!$A$1:$P$1,0),FALSE)=0,"",VLOOKUP($E50,BDD!$A$1:$S$567,MATCH(K$10,BDD!$A$1:$P$1,0),FALSE)),"")</f>
        <v/>
      </c>
      <c r="L50" s="68"/>
      <c r="M50" s="87"/>
      <c r="N50" s="87"/>
      <c r="O50" s="68"/>
      <c r="P50" s="298"/>
    </row>
    <row r="51" spans="1:16" ht="18" x14ac:dyDescent="0.35">
      <c r="A51" s="298"/>
      <c r="B51" s="68"/>
      <c r="C51" s="68" t="str">
        <f t="shared" si="0"/>
        <v>9</v>
      </c>
      <c r="D51" s="68"/>
      <c r="E51" s="84"/>
      <c r="F51" s="68"/>
      <c r="G51" s="69"/>
      <c r="H51" s="69"/>
      <c r="I51" s="69"/>
      <c r="J51" s="69"/>
      <c r="K51" s="69"/>
      <c r="L51" s="70"/>
      <c r="M51" s="68"/>
      <c r="N51" s="68"/>
      <c r="O51" s="68"/>
      <c r="P51" s="298"/>
    </row>
    <row r="52" spans="1:16" x14ac:dyDescent="0.3">
      <c r="A52" s="298"/>
      <c r="B52" s="68"/>
      <c r="C52" s="68" t="str">
        <f t="shared" si="0"/>
        <v>9</v>
      </c>
      <c r="D52" s="68">
        <f>IF(LEFT(F52,14)="Bonne pratique",D48+1,D48)</f>
        <v>3</v>
      </c>
      <c r="E52" s="84" t="str">
        <f t="shared" si="2"/>
        <v>93</v>
      </c>
      <c r="F52" s="68"/>
      <c r="G52" s="68"/>
      <c r="H52" s="68"/>
      <c r="I52" s="68"/>
      <c r="J52" s="68"/>
      <c r="K52" s="68"/>
      <c r="L52" s="68"/>
      <c r="M52" s="68"/>
      <c r="N52" s="68"/>
      <c r="O52" s="68"/>
      <c r="P52" s="298"/>
    </row>
    <row r="53" spans="1:16" ht="25.8" x14ac:dyDescent="0.5">
      <c r="A53" s="304"/>
      <c r="B53" s="74"/>
      <c r="C53" s="68" t="str">
        <f t="shared" si="0"/>
        <v>9</v>
      </c>
      <c r="D53" s="68">
        <f t="shared" si="1"/>
        <v>4</v>
      </c>
      <c r="E53" s="84" t="str">
        <f t="shared" si="2"/>
        <v>944</v>
      </c>
      <c r="F53" s="208" t="s">
        <v>502</v>
      </c>
      <c r="G53" s="75"/>
      <c r="H53" s="205"/>
      <c r="I53" s="73"/>
      <c r="J53" s="73" t="str">
        <f>VLOOKUP(E60,BDD!$A$2:$N$567,6,FALSE)</f>
        <v>Activité de production</v>
      </c>
      <c r="K53" s="72"/>
      <c r="L53" s="75"/>
      <c r="M53" s="75"/>
      <c r="N53" s="75"/>
      <c r="O53" s="74"/>
      <c r="P53" s="304"/>
    </row>
    <row r="54" spans="1:16" x14ac:dyDescent="0.3">
      <c r="A54" s="298"/>
      <c r="B54" s="68"/>
      <c r="C54" s="68" t="str">
        <f t="shared" si="0"/>
        <v>9</v>
      </c>
      <c r="D54" s="68">
        <f t="shared" si="1"/>
        <v>4</v>
      </c>
      <c r="E54" s="84" t="str">
        <f t="shared" si="2"/>
        <v>94</v>
      </c>
      <c r="F54" s="68"/>
      <c r="G54" s="68"/>
      <c r="H54" s="68"/>
      <c r="I54" s="68"/>
      <c r="J54" s="68"/>
      <c r="K54" s="68"/>
      <c r="L54" s="68"/>
      <c r="M54" s="68"/>
      <c r="N54" s="68"/>
      <c r="O54" s="68"/>
      <c r="P54" s="298"/>
    </row>
    <row r="55" spans="1:16" ht="18" x14ac:dyDescent="0.35">
      <c r="A55" s="305"/>
      <c r="B55" s="76"/>
      <c r="C55" s="68" t="str">
        <f t="shared" si="0"/>
        <v>9</v>
      </c>
      <c r="D55" s="68">
        <f t="shared" si="1"/>
        <v>4</v>
      </c>
      <c r="E55" s="84" t="str">
        <f t="shared" si="2"/>
        <v>94</v>
      </c>
      <c r="F55" s="76"/>
      <c r="G55" s="76"/>
      <c r="H55" s="76"/>
      <c r="I55" s="77"/>
      <c r="J55" s="207" t="str">
        <f>IFERROR(_xlfn.TEXTBEFORE(VLOOKUP(E60,BDD!$A$2:$N$567,7,FALSE)," ",30),VLOOKUP(E60,BDD!$A$2:$N$567,7,FALSE))</f>
        <v>La DSI pilote ses activités de production et de support à l’aide d’un tableau de bord.</v>
      </c>
      <c r="K55" s="77"/>
      <c r="L55" s="76"/>
      <c r="M55" s="76"/>
      <c r="N55" s="76"/>
      <c r="O55" s="76"/>
      <c r="P55" s="305"/>
    </row>
    <row r="56" spans="1:16" ht="18" x14ac:dyDescent="0.35">
      <c r="A56" s="298"/>
      <c r="B56" s="68"/>
      <c r="C56" s="68" t="str">
        <f t="shared" si="0"/>
        <v>9</v>
      </c>
      <c r="D56" s="68">
        <f t="shared" si="1"/>
        <v>4</v>
      </c>
      <c r="E56" s="84" t="str">
        <f t="shared" si="2"/>
        <v>94</v>
      </c>
      <c r="F56" s="68"/>
      <c r="G56" s="68"/>
      <c r="H56" s="68"/>
      <c r="I56" s="68"/>
      <c r="J56" s="207" t="str">
        <f>IFERROR(_xlfn.TEXTAFTER(VLOOKUP(E60,BDD!$A$2:$N$567,7,FALSE)," ",30),"")</f>
        <v/>
      </c>
      <c r="K56" s="68"/>
      <c r="L56" s="68"/>
      <c r="M56" s="68"/>
      <c r="N56" s="68"/>
      <c r="O56" s="68"/>
      <c r="P56" s="298"/>
    </row>
    <row r="57" spans="1:16" x14ac:dyDescent="0.3">
      <c r="A57" s="298"/>
      <c r="B57" s="68"/>
      <c r="C57" s="68" t="str">
        <f t="shared" si="0"/>
        <v>9</v>
      </c>
      <c r="D57" s="68">
        <f t="shared" si="1"/>
        <v>4</v>
      </c>
      <c r="E57" s="84" t="str">
        <f t="shared" si="2"/>
        <v>94</v>
      </c>
      <c r="F57" s="68"/>
      <c r="G57" s="68"/>
      <c r="H57" s="68"/>
      <c r="I57" s="68"/>
      <c r="J57" s="78"/>
      <c r="K57" s="68"/>
      <c r="L57" s="68"/>
      <c r="M57" s="619" t="s">
        <v>92</v>
      </c>
      <c r="N57" s="619"/>
      <c r="O57" s="68"/>
      <c r="P57" s="298"/>
    </row>
    <row r="58" spans="1:16" ht="33" x14ac:dyDescent="0.3">
      <c r="A58" s="298"/>
      <c r="B58" s="68"/>
      <c r="C58" s="68" t="str">
        <f t="shared" si="0"/>
        <v>9</v>
      </c>
      <c r="D58" s="68">
        <f t="shared" si="1"/>
        <v>4</v>
      </c>
      <c r="E58" s="84" t="str">
        <f t="shared" si="2"/>
        <v>94</v>
      </c>
      <c r="F58" s="79"/>
      <c r="G58" s="80" t="s">
        <v>561</v>
      </c>
      <c r="H58" s="80" t="s">
        <v>82</v>
      </c>
      <c r="I58" s="80" t="s">
        <v>83</v>
      </c>
      <c r="J58" s="80" t="s">
        <v>84</v>
      </c>
      <c r="K58" s="80" t="s">
        <v>85</v>
      </c>
      <c r="L58" s="78"/>
      <c r="M58" s="81" t="s">
        <v>86</v>
      </c>
      <c r="N58" s="82" t="s">
        <v>87</v>
      </c>
      <c r="O58" s="68"/>
      <c r="P58" s="298"/>
    </row>
    <row r="59" spans="1:16" x14ac:dyDescent="0.3">
      <c r="A59" s="298"/>
      <c r="B59" s="68"/>
      <c r="C59" s="68" t="str">
        <f t="shared" si="0"/>
        <v>9</v>
      </c>
      <c r="D59" s="68">
        <f t="shared" si="1"/>
        <v>4</v>
      </c>
      <c r="E59" s="84" t="str">
        <f t="shared" si="2"/>
        <v>94</v>
      </c>
      <c r="F59" s="68"/>
      <c r="G59" s="83"/>
      <c r="H59" s="83"/>
      <c r="I59" s="83"/>
      <c r="J59" s="68"/>
      <c r="K59" s="83"/>
      <c r="L59" s="68"/>
      <c r="M59" s="68"/>
      <c r="N59" s="68"/>
      <c r="O59" s="68"/>
      <c r="P59" s="298"/>
    </row>
    <row r="60" spans="1:16" ht="130.05000000000001" customHeight="1" x14ac:dyDescent="0.3">
      <c r="A60" s="298"/>
      <c r="B60" s="68"/>
      <c r="C60" s="68" t="str">
        <f t="shared" si="0"/>
        <v>9</v>
      </c>
      <c r="D60" s="68">
        <f t="shared" si="1"/>
        <v>4</v>
      </c>
      <c r="E60" s="84" t="str">
        <f t="shared" si="2"/>
        <v>941</v>
      </c>
      <c r="F60" s="66" t="s">
        <v>27</v>
      </c>
      <c r="G60" s="67" t="str">
        <f>IFERROR(IF(VLOOKUP($E60,BDD!$A$1:$S$567,MATCH(G$10,BDD!$A$1:$P$1,0),FALSE)=0,"",VLOOKUP($E60,BDD!$A$1:$S$567,MATCH(G$10,BDD!$A$1:$P$1,0),FALSE)),"")</f>
        <v>La DSI a mis en place des ressources et des outils pour gérer et superviser la production, les changements, les configurations, les incidents et les problèmes, les données, les environnements, etc.</v>
      </c>
      <c r="H60" s="85" t="str">
        <f>IF(VLOOKUP(E60,BDD!$A$1:$S$567,15,FALSE)=0,"Critère non évalué","")</f>
        <v>Critère non évalué</v>
      </c>
      <c r="I60" s="66" t="str">
        <f>IFERROR(IF(VLOOKUP($E60,BDD!$A$1:$S$567,MATCH(I$10,BDD!$A$1:$P$1,0),FALSE)=0,"",VLOOKUP($E60,BDD!$A$1:$S$567,MATCH(I$10,BDD!$A$1:$P$1,0),FALSE)),"")</f>
        <v>N1</v>
      </c>
      <c r="J60" s="86"/>
      <c r="K60" s="67" t="str">
        <f>IFERROR(IF(VLOOKUP($E60,BDD!$A$1:$S$567,MATCH(K$10,BDD!$A$1:$P$1,0),FALSE)=0,"",VLOOKUP($E60,BDD!$A$1:$S$567,MATCH(K$10,BDD!$A$1:$P$1,0),FALSE)),"")</f>
        <v>• La DSI a décrit son organisation et cartographié ses processus internes dans ces domaines. Elle doit pouvoir justifier du pilotage de ses activités au travers de tableaux de bord ou indicateurs ou instances de pilotage. Par ailleurs, elle s’assure de la conformité aux certifications obligatoires de son secteur.</v>
      </c>
      <c r="L60" s="68"/>
      <c r="M60" s="87"/>
      <c r="N60" s="87"/>
      <c r="O60" s="68"/>
      <c r="P60" s="298"/>
    </row>
    <row r="61" spans="1:16" ht="130.05000000000001" customHeight="1" x14ac:dyDescent="0.3">
      <c r="A61" s="298"/>
      <c r="B61" s="68"/>
      <c r="C61" s="68" t="str">
        <f t="shared" si="0"/>
        <v>9</v>
      </c>
      <c r="D61" s="68">
        <f t="shared" si="1"/>
        <v>4</v>
      </c>
      <c r="E61" s="84" t="str">
        <f t="shared" si="2"/>
        <v>942</v>
      </c>
      <c r="F61" s="94" t="s">
        <v>28</v>
      </c>
      <c r="G61" s="65" t="str">
        <f>IFERROR(IF(VLOOKUP($E61,BDD!$A$1:$S$567,MATCH(G$10,BDD!$A$1:$P$1,0),FALSE)=0,"",VLOOKUP($E61,BDD!$A$1:$S$567,MATCH(G$10,BDD!$A$1:$P$1,0),FALSE)),"")</f>
        <v>La DSI maîtrise les changements programmés et les interruptions prévisibles de services.</v>
      </c>
      <c r="H61" s="88" t="str">
        <f>IF(VLOOKUP(E61,BDD!$A$1:$S$567,15,FALSE)=0,"Critère non évalué","")</f>
        <v>Critère non évalué</v>
      </c>
      <c r="I61" s="64" t="str">
        <f>IFERROR(IF(VLOOKUP($E61,BDD!$A$1:$S$567,MATCH(I$10,BDD!$A$1:$P$1,0),FALSE)=0,"",VLOOKUP($E61,BDD!$A$1:$S$567,MATCH(I$10,BDD!$A$1:$P$1,0),FALSE)),"")</f>
        <v>N2</v>
      </c>
      <c r="J61" s="89"/>
      <c r="K61" s="65" t="str">
        <f>IFERROR(IF(VLOOKUP($E61,BDD!$A$1:$S$567,MATCH(K$10,BDD!$A$1:$P$1,0),FALSE)=0,"",VLOOKUP($E61,BDD!$A$1:$S$567,MATCH(K$10,BDD!$A$1:$P$1,0),FALSE)),"")</f>
        <v>• La DSI est capable d’analyser l’impact des dégradations de performance ou des interruptions de services sur les activités de ses clients. Les travaux programmés sont convenus avec le métier.</v>
      </c>
      <c r="L61" s="68"/>
      <c r="M61" s="90"/>
      <c r="N61" s="90"/>
      <c r="O61" s="68"/>
      <c r="P61" s="298"/>
    </row>
    <row r="62" spans="1:16" ht="130.05000000000001" customHeight="1" x14ac:dyDescent="0.3">
      <c r="A62" s="298"/>
      <c r="B62" s="68"/>
      <c r="C62" s="68" t="str">
        <f t="shared" si="0"/>
        <v>9</v>
      </c>
      <c r="D62" s="68">
        <f>IF(LEFT(F62,14)="Bonne pratique",D61+1,D61)</f>
        <v>4</v>
      </c>
      <c r="E62" s="84" t="str">
        <f t="shared" si="2"/>
        <v>943</v>
      </c>
      <c r="F62" s="66" t="s">
        <v>30</v>
      </c>
      <c r="G62" s="67" t="str">
        <f>IFERROR(IF(VLOOKUP($E62,BDD!$A$1:$S$567,MATCH(G$10,BDD!$A$1:$P$1,0),FALSE)=0,"",VLOOKUP($E62,BDD!$A$1:$S$567,MATCH(G$10,BDD!$A$1:$P$1,0),FALSE)),"")</f>
        <v xml:space="preserve">La DSI communique efficacement avec ses clients en cas d’incident. </v>
      </c>
      <c r="H62" s="85" t="str">
        <f>IF(VLOOKUP(E62,BDD!$A$1:$S$567,15,FALSE)=0,"Critère non évalué","")</f>
        <v>Critère non évalué</v>
      </c>
      <c r="I62" s="66" t="str">
        <f>IFERROR(IF(VLOOKUP($E62,BDD!$A$1:$S$567,MATCH(I$10,BDD!$A$1:$P$1,0),FALSE)=0,"",VLOOKUP($E62,BDD!$A$1:$S$567,MATCH(I$10,BDD!$A$1:$P$1,0),FALSE)),"")</f>
        <v>N2</v>
      </c>
      <c r="J62" s="86"/>
      <c r="K62" s="67" t="str">
        <f>IFERROR(IF(VLOOKUP($E62,BDD!$A$1:$S$567,MATCH(K$10,BDD!$A$1:$P$1,0),FALSE)=0,"",VLOOKUP($E62,BDD!$A$1:$S$567,MATCH(K$10,BDD!$A$1:$P$1,0),FALSE)),"")</f>
        <v>• La DSI a une connaissance actualisée des organisations et réseaux d’utilisateurs potentiellement impactés par l’incident. Les moyens de communication doivent être adaptés au type d’incident.
• La DSI a mis en place des dispositifs pour se conformer aux exigences réglementaires en cas d'incident.</v>
      </c>
      <c r="L62" s="68"/>
      <c r="M62" s="87"/>
      <c r="N62" s="87"/>
      <c r="O62" s="68"/>
      <c r="P62" s="298"/>
    </row>
    <row r="63" spans="1:16" ht="130.05000000000001" hidden="1" customHeight="1" x14ac:dyDescent="0.3">
      <c r="A63" s="298"/>
      <c r="B63" s="68"/>
      <c r="C63" s="68" t="str">
        <f t="shared" si="0"/>
        <v>9</v>
      </c>
      <c r="D63" s="68">
        <f t="shared" si="1"/>
        <v>4</v>
      </c>
      <c r="E63" s="84" t="str">
        <f t="shared" si="2"/>
        <v>944</v>
      </c>
      <c r="F63" s="64" t="s">
        <v>32</v>
      </c>
      <c r="G63" s="65" t="str">
        <f>IFERROR(IF(VLOOKUP($E63,BDD!$A$1:$S$567,MATCH(G$10,BDD!$A$1:$P$1,0),FALSE)=0,"",VLOOKUP($E63,BDD!$A$1:$S$567,MATCH(G$10,BDD!$A$1:$P$1,0),FALSE)),"")</f>
        <v/>
      </c>
      <c r="H63" s="88" t="str">
        <f>IF(VLOOKUP(E63,BDD!$A$1:$S$567,15,FALSE)=0,"Critère non évalué","")</f>
        <v>Critère non évalué</v>
      </c>
      <c r="I63" s="64" t="str">
        <f>IFERROR(IF(VLOOKUP($E63,BDD!$A$1:$S$567,MATCH(I$10,BDD!$A$1:$P$1,0),FALSE)=0,"",VLOOKUP($E63,BDD!$A$1:$S$567,MATCH(I$10,BDD!$A$1:$P$1,0),FALSE)),"")</f>
        <v/>
      </c>
      <c r="J63" s="91"/>
      <c r="K63" s="65" t="str">
        <f>IFERROR(IF(VLOOKUP($E63,BDD!$A$1:$S$567,MATCH(K$10,BDD!$A$1:$P$1,0),FALSE)=0,"",VLOOKUP($E63,BDD!$A$1:$S$567,MATCH(K$10,BDD!$A$1:$P$1,0),FALSE)),"")</f>
        <v/>
      </c>
      <c r="L63" s="68"/>
      <c r="M63" s="90"/>
      <c r="N63" s="90"/>
      <c r="O63" s="68"/>
      <c r="P63" s="298"/>
    </row>
    <row r="64" spans="1:16" ht="130.05000000000001" hidden="1" customHeight="1" x14ac:dyDescent="0.3">
      <c r="A64" s="298"/>
      <c r="B64" s="68"/>
      <c r="C64" s="68" t="str">
        <f t="shared" si="0"/>
        <v>9</v>
      </c>
      <c r="D64" s="68">
        <f t="shared" si="1"/>
        <v>4</v>
      </c>
      <c r="E64" s="84" t="str">
        <f t="shared" si="2"/>
        <v>945</v>
      </c>
      <c r="F64" s="66" t="s">
        <v>33</v>
      </c>
      <c r="G64" s="67" t="str">
        <f>IFERROR(IF(VLOOKUP($E64,BDD!$A$1:$S$567,MATCH(G$10,BDD!$A$1:$P$1,0),FALSE)=0,"",VLOOKUP($E64,BDD!$A$1:$S$567,MATCH(G$10,BDD!$A$1:$P$1,0),FALSE)),"")</f>
        <v/>
      </c>
      <c r="H64" s="85" t="str">
        <f>IF(VLOOKUP(E64,BDD!$A$1:$S$567,15,FALSE)=0,"Critère non évalué","")</f>
        <v>Critère non évalué</v>
      </c>
      <c r="I64" s="66" t="str">
        <f>IFERROR(IF(VLOOKUP($E64,BDD!$A$1:$S$567,MATCH(I$10,BDD!$A$1:$P$1,0),FALSE)=0,"",VLOOKUP($E64,BDD!$A$1:$S$567,MATCH(I$10,BDD!$A$1:$P$1,0),FALSE)),"")</f>
        <v/>
      </c>
      <c r="J64" s="86"/>
      <c r="K64" s="67" t="str">
        <f>IFERROR(IF(VLOOKUP($E64,BDD!$A$1:$S$567,MATCH(K$10,BDD!$A$1:$P$1,0),FALSE)=0,"",VLOOKUP($E64,BDD!$A$1:$S$567,MATCH(K$10,BDD!$A$1:$P$1,0),FALSE)),"")</f>
        <v/>
      </c>
      <c r="L64" s="68"/>
      <c r="M64" s="82"/>
      <c r="N64" s="82"/>
      <c r="O64" s="68"/>
      <c r="P64" s="298"/>
    </row>
    <row r="65" spans="1:16" ht="130.05000000000001" hidden="1" customHeight="1" x14ac:dyDescent="0.3">
      <c r="A65" s="298"/>
      <c r="B65" s="68"/>
      <c r="C65" s="68" t="str">
        <f t="shared" si="0"/>
        <v>9</v>
      </c>
      <c r="D65" s="68">
        <f t="shared" si="1"/>
        <v>4</v>
      </c>
      <c r="E65" s="84" t="str">
        <f t="shared" si="2"/>
        <v>946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c>
      <c r="J65" s="206"/>
      <c r="K65" s="96" t="str">
        <f>IFERROR(IF(VLOOKUP($E65,BDD!$A$1:$S$567,MATCH(K$10,BDD!$A$1:$P$1,0),FALSE)=0,"",VLOOKUP($E65,BDD!$A$1:$S$567,MATCH(K$10,BDD!$A$1:$P$1,0),FALSE)),"")</f>
        <v/>
      </c>
      <c r="L65" s="68"/>
      <c r="M65" s="90"/>
      <c r="N65" s="90"/>
      <c r="O65" s="68"/>
      <c r="P65" s="298"/>
    </row>
    <row r="66" spans="1:16" ht="130.05000000000001" hidden="1" customHeight="1" x14ac:dyDescent="0.3">
      <c r="A66" s="298"/>
      <c r="B66" s="68"/>
      <c r="C66" s="68" t="str">
        <f t="shared" si="0"/>
        <v>9</v>
      </c>
      <c r="D66" s="68">
        <f t="shared" si="1"/>
        <v>4</v>
      </c>
      <c r="E66" s="84" t="str">
        <f t="shared" si="2"/>
        <v>947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c>
      <c r="J66" s="86"/>
      <c r="K66" s="67" t="str">
        <f>IFERROR(IF(VLOOKUP($E66,BDD!$A$1:$S$567,MATCH(K$10,BDD!$A$1:$P$1,0),FALSE)=0,"",VLOOKUP($E66,BDD!$A$1:$S$567,MATCH(K$10,BDD!$A$1:$P$1,0),FALSE)),"")</f>
        <v/>
      </c>
      <c r="L66" s="68"/>
      <c r="M66" s="82"/>
      <c r="N66" s="82"/>
      <c r="O66" s="68"/>
      <c r="P66" s="298"/>
    </row>
    <row r="67" spans="1:16" x14ac:dyDescent="0.3">
      <c r="A67" s="298"/>
      <c r="B67" s="68"/>
      <c r="C67" s="68" t="str">
        <f t="shared" si="0"/>
        <v>9</v>
      </c>
      <c r="D67" s="68">
        <f t="shared" si="1"/>
        <v>4</v>
      </c>
      <c r="E67" s="84" t="str">
        <f t="shared" si="2"/>
        <v>94</v>
      </c>
      <c r="F67" s="68"/>
      <c r="G67" s="68"/>
      <c r="H67" s="68"/>
      <c r="I67" s="68"/>
      <c r="J67" s="68"/>
      <c r="K67" s="68"/>
      <c r="L67" s="68"/>
      <c r="M67" s="68"/>
      <c r="N67" s="68"/>
      <c r="O67" s="68"/>
      <c r="P67" s="298"/>
    </row>
    <row r="68" spans="1:16" x14ac:dyDescent="0.3">
      <c r="A68" s="298"/>
      <c r="B68" s="68"/>
      <c r="C68" s="68" t="str">
        <f t="shared" si="0"/>
        <v>9</v>
      </c>
      <c r="D68" s="68"/>
      <c r="E68" s="84"/>
      <c r="F68" s="68"/>
      <c r="G68" s="68"/>
      <c r="H68" s="68"/>
      <c r="I68" s="68"/>
      <c r="J68" s="68"/>
      <c r="K68" s="68"/>
      <c r="L68" s="68"/>
      <c r="M68" s="68"/>
      <c r="N68" s="68"/>
      <c r="O68" s="68"/>
      <c r="P68" s="298"/>
    </row>
    <row r="69" spans="1:16" x14ac:dyDescent="0.3">
      <c r="A69" s="298"/>
      <c r="B69" s="68"/>
      <c r="C69" s="68" t="str">
        <f t="shared" si="0"/>
        <v>9</v>
      </c>
      <c r="D69" s="68"/>
      <c r="E69" s="84"/>
      <c r="F69" s="68"/>
      <c r="G69" s="68"/>
      <c r="H69" s="68"/>
      <c r="I69" s="68"/>
      <c r="J69" s="68"/>
      <c r="K69" s="68"/>
      <c r="L69" s="68"/>
      <c r="M69" s="68"/>
      <c r="N69" s="68"/>
      <c r="O69" s="68"/>
      <c r="P69" s="298"/>
    </row>
    <row r="70" spans="1:16" x14ac:dyDescent="0.3">
      <c r="A70" s="298"/>
      <c r="B70" s="68"/>
      <c r="C70" s="68" t="str">
        <f t="shared" ref="C70:C115" si="3">IF(LEFT(RIGHT($B$1,2),1)=" ",RIGHT($B$1,1),RIGHT($B$1,2))</f>
        <v>9</v>
      </c>
      <c r="D70" s="68"/>
      <c r="E70" s="84"/>
      <c r="F70" s="68"/>
      <c r="G70" s="68"/>
      <c r="H70" s="68"/>
      <c r="I70" s="68"/>
      <c r="J70" s="68"/>
      <c r="K70" s="68"/>
      <c r="L70" s="68"/>
      <c r="M70" s="68"/>
      <c r="N70" s="68"/>
      <c r="O70" s="68"/>
      <c r="P70" s="298"/>
    </row>
    <row r="71" spans="1:16" ht="25.8" x14ac:dyDescent="0.5">
      <c r="A71" s="304"/>
      <c r="B71" s="74"/>
      <c r="C71" s="68" t="str">
        <f t="shared" si="3"/>
        <v>9</v>
      </c>
      <c r="D71" s="68">
        <f>IF(LEFT(F71,14)="Bonne pratique",D67+1,D67)</f>
        <v>5</v>
      </c>
      <c r="E71" s="84" t="str">
        <f t="shared" si="2"/>
        <v>955</v>
      </c>
      <c r="F71" s="208" t="s">
        <v>503</v>
      </c>
      <c r="G71" s="75"/>
      <c r="H71" s="205"/>
      <c r="I71" s="73"/>
      <c r="J71" s="73" t="str">
        <f>VLOOKUP(E78,BDD!$A$2:$N$567,6,FALSE)</f>
        <v>Amélioration continue de services</v>
      </c>
      <c r="K71" s="72"/>
      <c r="L71" s="75"/>
      <c r="M71" s="75"/>
      <c r="N71" s="75"/>
      <c r="O71" s="74"/>
      <c r="P71" s="304"/>
    </row>
    <row r="72" spans="1:16" x14ac:dyDescent="0.3">
      <c r="A72" s="298"/>
      <c r="B72" s="68"/>
      <c r="C72" s="68" t="str">
        <f t="shared" si="3"/>
        <v>9</v>
      </c>
      <c r="D72" s="68">
        <f t="shared" ref="D72:D84" si="4">IF(LEFT(F72,14)="Bonne pratique",D71+1,D71)</f>
        <v>5</v>
      </c>
      <c r="E72" s="84" t="str">
        <f t="shared" si="2"/>
        <v>95</v>
      </c>
      <c r="F72" s="68"/>
      <c r="G72" s="68"/>
      <c r="H72" s="68"/>
      <c r="I72" s="68"/>
      <c r="J72" s="68"/>
      <c r="K72" s="68"/>
      <c r="L72" s="68"/>
      <c r="M72" s="68"/>
      <c r="N72" s="68"/>
      <c r="O72" s="68"/>
      <c r="P72" s="298"/>
    </row>
    <row r="73" spans="1:16" ht="18" x14ac:dyDescent="0.35">
      <c r="A73" s="305"/>
      <c r="B73" s="76"/>
      <c r="C73" s="68" t="str">
        <f t="shared" si="3"/>
        <v>9</v>
      </c>
      <c r="D73" s="68">
        <f t="shared" si="4"/>
        <v>5</v>
      </c>
      <c r="E73" s="84" t="str">
        <f t="shared" si="2"/>
        <v>95</v>
      </c>
      <c r="F73" s="76"/>
      <c r="G73" s="76"/>
      <c r="H73" s="76"/>
      <c r="I73" s="77"/>
      <c r="J73" s="207" t="str">
        <f>IFERROR(_xlfn.TEXTBEFORE(VLOOKUP(E78,BDD!$A$2:$N$567,7,FALSE)," ",30),VLOOKUP(E78,BDD!$A$2:$N$567,7,FALSE))</f>
        <v>La DSI a mis en place un processus d’amélioration continue basé sur la qualité perçue par l’utilisateur.</v>
      </c>
      <c r="K73" s="77"/>
      <c r="L73" s="76"/>
      <c r="M73" s="76"/>
      <c r="N73" s="76"/>
      <c r="O73" s="76"/>
      <c r="P73" s="305"/>
    </row>
    <row r="74" spans="1:16" ht="18" x14ac:dyDescent="0.35">
      <c r="A74" s="298"/>
      <c r="B74" s="68"/>
      <c r="C74" s="68" t="str">
        <f t="shared" si="3"/>
        <v>9</v>
      </c>
      <c r="D74" s="68">
        <f t="shared" si="4"/>
        <v>5</v>
      </c>
      <c r="E74" s="84" t="str">
        <f t="shared" si="2"/>
        <v>95</v>
      </c>
      <c r="F74" s="68"/>
      <c r="G74" s="68"/>
      <c r="H74" s="68"/>
      <c r="I74" s="68"/>
      <c r="J74" s="207" t="str">
        <f>IFERROR(_xlfn.TEXTAFTER(VLOOKUP(E78,BDD!$A$2:$N$567,7,FALSE)," ",30),"")</f>
        <v/>
      </c>
      <c r="K74" s="68"/>
      <c r="L74" s="68"/>
      <c r="M74" s="68"/>
      <c r="N74" s="68"/>
      <c r="O74" s="68"/>
      <c r="P74" s="298"/>
    </row>
    <row r="75" spans="1:16" x14ac:dyDescent="0.3">
      <c r="A75" s="298"/>
      <c r="B75" s="68"/>
      <c r="C75" s="68" t="str">
        <f t="shared" si="3"/>
        <v>9</v>
      </c>
      <c r="D75" s="68">
        <f t="shared" si="4"/>
        <v>5</v>
      </c>
      <c r="E75" s="84" t="str">
        <f t="shared" si="2"/>
        <v>95</v>
      </c>
      <c r="F75" s="68"/>
      <c r="G75" s="68"/>
      <c r="H75" s="68"/>
      <c r="I75" s="68"/>
      <c r="J75" s="78"/>
      <c r="K75" s="68"/>
      <c r="L75" s="68"/>
      <c r="M75" s="619" t="s">
        <v>92</v>
      </c>
      <c r="N75" s="619"/>
      <c r="O75" s="68"/>
      <c r="P75" s="298"/>
    </row>
    <row r="76" spans="1:16" ht="33" x14ac:dyDescent="0.3">
      <c r="A76" s="298"/>
      <c r="B76" s="68"/>
      <c r="C76" s="68" t="str">
        <f t="shared" si="3"/>
        <v>9</v>
      </c>
      <c r="D76" s="68">
        <f t="shared" si="4"/>
        <v>5</v>
      </c>
      <c r="E76" s="84" t="str">
        <f t="shared" si="2"/>
        <v>95</v>
      </c>
      <c r="F76" s="93"/>
      <c r="G76" s="80" t="s">
        <v>561</v>
      </c>
      <c r="H76" s="80" t="s">
        <v>82</v>
      </c>
      <c r="I76" s="80" t="s">
        <v>83</v>
      </c>
      <c r="J76" s="80" t="s">
        <v>84</v>
      </c>
      <c r="K76" s="80" t="s">
        <v>85</v>
      </c>
      <c r="L76" s="78"/>
      <c r="M76" s="81" t="s">
        <v>86</v>
      </c>
      <c r="N76" s="82" t="s">
        <v>87</v>
      </c>
      <c r="O76" s="68"/>
      <c r="P76" s="298"/>
    </row>
    <row r="77" spans="1:16" x14ac:dyDescent="0.3">
      <c r="A77" s="298"/>
      <c r="B77" s="68"/>
      <c r="C77" s="68" t="str">
        <f t="shared" si="3"/>
        <v>9</v>
      </c>
      <c r="D77" s="68">
        <f t="shared" si="4"/>
        <v>5</v>
      </c>
      <c r="E77" s="84" t="str">
        <f t="shared" si="2"/>
        <v>95</v>
      </c>
      <c r="F77" s="68"/>
      <c r="G77" s="83"/>
      <c r="H77" s="83"/>
      <c r="I77" s="83"/>
      <c r="J77" s="68"/>
      <c r="K77" s="83"/>
      <c r="L77" s="68"/>
      <c r="M77" s="68"/>
      <c r="N77" s="68"/>
      <c r="O77" s="68"/>
      <c r="P77" s="298"/>
    </row>
    <row r="78" spans="1:16" ht="130.05000000000001" customHeight="1" x14ac:dyDescent="0.3">
      <c r="A78" s="298"/>
      <c r="B78" s="68"/>
      <c r="C78" s="68" t="str">
        <f t="shared" si="3"/>
        <v>9</v>
      </c>
      <c r="D78" s="68">
        <f t="shared" si="4"/>
        <v>5</v>
      </c>
      <c r="E78" s="84" t="str">
        <f t="shared" si="2"/>
        <v>951</v>
      </c>
      <c r="F78" s="66" t="s">
        <v>27</v>
      </c>
      <c r="G78" s="67" t="str">
        <f>IFERROR(IF(VLOOKUP($E78,BDD!$A$1:$S$567,MATCH(G$10,BDD!$A$1:$P$1,0),FALSE)=0,"",VLOOKUP($E78,BDD!$A$1:$S$567,MATCH(G$10,BDD!$A$1:$P$1,0),FALSE)),"")</f>
        <v>La DSI a mis en place des outils de mesure du bon fonctionnement et de la performance de ses services, avec un processus de collecte des réclamations et incidents relatifs aux services délivrés aux clients.</v>
      </c>
      <c r="H78" s="85" t="str">
        <f>IF(VLOOKUP(E78,BDD!$A$1:$S$567,15,FALSE)=0,"Critère non évalué","")</f>
        <v>Critère non évalué</v>
      </c>
      <c r="I78" s="66" t="str">
        <f>IFERROR(IF(VLOOKUP($E78,BDD!$A$1:$S$567,MATCH(I$10,BDD!$A$1:$P$1,0),FALSE)=0,"",VLOOKUP($E78,BDD!$A$1:$S$567,MATCH(I$10,BDD!$A$1:$P$1,0),FALSE)),"")</f>
        <v>N1</v>
      </c>
      <c r="J78" s="86"/>
      <c r="K78" s="67" t="str">
        <f>IFERROR(IF(VLOOKUP($E78,BDD!$A$1:$S$567,MATCH(K$10,BDD!$A$1:$P$1,0),FALSE)=0,"",VLOOKUP($E78,BDD!$A$1:$S$567,MATCH(K$10,BDD!$A$1:$P$1,0),FALSE)),"")</f>
        <v>• La collecte des réclamations est le point de départ du processus d’amélioration continue.</v>
      </c>
      <c r="L78" s="68"/>
      <c r="M78" s="87"/>
      <c r="N78" s="87"/>
      <c r="O78" s="68"/>
      <c r="P78" s="298"/>
    </row>
    <row r="79" spans="1:16" ht="130.05000000000001" customHeight="1" x14ac:dyDescent="0.3">
      <c r="A79" s="298"/>
      <c r="B79" s="68"/>
      <c r="C79" s="68" t="str">
        <f t="shared" si="3"/>
        <v>9</v>
      </c>
      <c r="D79" s="68">
        <f t="shared" si="4"/>
        <v>5</v>
      </c>
      <c r="E79" s="84" t="str">
        <f t="shared" si="2"/>
        <v>952</v>
      </c>
      <c r="F79" s="94" t="s">
        <v>28</v>
      </c>
      <c r="G79" s="65" t="str">
        <f>IFERROR(IF(VLOOKUP($E79,BDD!$A$1:$S$567,MATCH(G$10,BDD!$A$1:$P$1,0),FALSE)=0,"",VLOOKUP($E79,BDD!$A$1:$S$567,MATCH(G$10,BDD!$A$1:$P$1,0),FALSE)),"")</f>
        <v>La DSI mesure la satisfaction des utilisateurs via des questionnaires sur la qualité du service lors de sa livraison (ex : NPS, Net Promoter Score).</v>
      </c>
      <c r="H79" s="88" t="str">
        <f>IF(VLOOKUP(E79,BDD!$A$1:$S$567,15,FALSE)=0,"Critère non évalué","")</f>
        <v>Critère non évalué</v>
      </c>
      <c r="I79" s="64" t="str">
        <f>IFERROR(IF(VLOOKUP($E79,BDD!$A$1:$S$567,MATCH(I$10,BDD!$A$1:$P$1,0),FALSE)=0,"",VLOOKUP($E79,BDD!$A$1:$S$567,MATCH(I$10,BDD!$A$1:$P$1,0),FALSE)),"")</f>
        <v>N3</v>
      </c>
      <c r="J79" s="89"/>
      <c r="K79" s="65" t="str">
        <f>IFERROR(IF(VLOOKUP($E79,BDD!$A$1:$S$567,MATCH(K$10,BDD!$A$1:$P$1,0),FALSE)=0,"",VLOOKUP($E79,BDD!$A$1:$S$567,MATCH(K$10,BDD!$A$1:$P$1,0),FALSE)),"")</f>
        <v xml:space="preserve">• De préférence, ces enquêtes doivent être réalisées par un tiers.
• Les tableaux de bord et enquêtes sont à partager avec les instances clientes. </v>
      </c>
      <c r="L79" s="68"/>
      <c r="M79" s="90"/>
      <c r="N79" s="90"/>
      <c r="O79" s="68"/>
      <c r="P79" s="298"/>
    </row>
    <row r="80" spans="1:16" ht="130.05000000000001" customHeight="1" x14ac:dyDescent="0.3">
      <c r="A80" s="298"/>
      <c r="B80" s="68"/>
      <c r="C80" s="68" t="str">
        <f t="shared" si="3"/>
        <v>9</v>
      </c>
      <c r="D80" s="68">
        <f t="shared" si="4"/>
        <v>5</v>
      </c>
      <c r="E80" s="84" t="str">
        <f t="shared" si="2"/>
        <v>953</v>
      </c>
      <c r="F80" s="66" t="s">
        <v>30</v>
      </c>
      <c r="G80" s="67" t="str">
        <f>IFERROR(IF(VLOOKUP($E80,BDD!$A$1:$S$567,MATCH(G$10,BDD!$A$1:$P$1,0),FALSE)=0,"",VLOOKUP($E80,BDD!$A$1:$S$567,MATCH(G$10,BDD!$A$1:$P$1,0),FALSE)),"")</f>
        <v>La DSI a mis en place un processus d’amélioration continue basé sur la qualité de service mesurée et perçue.</v>
      </c>
      <c r="H80" s="85" t="str">
        <f>IF(VLOOKUP(E80,BDD!$A$1:$S$567,15,FALSE)=0,"Critère non évalué","")</f>
        <v>Critère non évalué</v>
      </c>
      <c r="I80" s="66" t="str">
        <f>IFERROR(IF(VLOOKUP($E80,BDD!$A$1:$S$567,MATCH(I$10,BDD!$A$1:$P$1,0),FALSE)=0,"",VLOOKUP($E80,BDD!$A$1:$S$567,MATCH(I$10,BDD!$A$1:$P$1,0),FALSE)),"")</f>
        <v>N4</v>
      </c>
      <c r="J80" s="86"/>
      <c r="K80" s="67" t="str">
        <f>IFERROR(IF(VLOOKUP($E80,BDD!$A$1:$S$567,MATCH(K$10,BDD!$A$1:$P$1,0),FALSE)=0,"",VLOOKUP($E80,BDD!$A$1:$S$567,MATCH(K$10,BDD!$A$1:$P$1,0),FALSE)),"")</f>
        <v/>
      </c>
      <c r="L80" s="68"/>
      <c r="M80" s="87"/>
      <c r="N80" s="87"/>
      <c r="O80" s="68"/>
      <c r="P80" s="298"/>
    </row>
    <row r="81" spans="1:16" ht="130.05000000000001" customHeight="1" x14ac:dyDescent="0.3">
      <c r="A81" s="298"/>
      <c r="B81" s="68"/>
      <c r="C81" s="68" t="str">
        <f t="shared" si="3"/>
        <v>9</v>
      </c>
      <c r="D81" s="68">
        <f t="shared" si="4"/>
        <v>5</v>
      </c>
      <c r="E81" s="84" t="str">
        <f t="shared" si="2"/>
        <v>954</v>
      </c>
      <c r="F81" s="64" t="s">
        <v>32</v>
      </c>
      <c r="G81" s="65" t="str">
        <f>IFERROR(IF(VLOOKUP($E81,BDD!$A$1:$S$567,MATCH(G$10,BDD!$A$1:$P$1,0),FALSE)=0,"",VLOOKUP($E81,BDD!$A$1:$S$567,MATCH(G$10,BDD!$A$1:$P$1,0),FALSE)),"")</f>
        <v>Les réclamations ou incidents remontés et les écarts constatés par rapport aux engagements font l’objet d’analyses régulières et de dispositifs de résolution réduisant leurs occurrences futures.</v>
      </c>
      <c r="H81" s="88" t="str">
        <f>IF(VLOOKUP(E81,BDD!$A$1:$S$567,15,FALSE)=0,"Critère non évalué","")</f>
        <v>Critère non évalué</v>
      </c>
      <c r="I81" s="64" t="str">
        <f>IFERROR(IF(VLOOKUP($E81,BDD!$A$1:$S$567,MATCH(I$10,BDD!$A$1:$P$1,0),FALSE)=0,"",VLOOKUP($E81,BDD!$A$1:$S$567,MATCH(I$10,BDD!$A$1:$P$1,0),FALSE)),"")</f>
        <v>N2</v>
      </c>
      <c r="J81" s="91"/>
      <c r="K81" s="65" t="str">
        <f>IFERROR(IF(VLOOKUP($E81,BDD!$A$1:$S$567,MATCH(K$10,BDD!$A$1:$P$1,0),FALSE)=0,"",VLOOKUP($E81,BDD!$A$1:$S$567,MATCH(K$10,BDD!$A$1:$P$1,0),FALSE)),"")</f>
        <v/>
      </c>
      <c r="L81" s="68"/>
      <c r="M81" s="90"/>
      <c r="N81" s="90"/>
      <c r="O81" s="68"/>
      <c r="P81" s="298"/>
    </row>
    <row r="82" spans="1:16" ht="130.05000000000001" customHeight="1" x14ac:dyDescent="0.3">
      <c r="A82" s="298"/>
      <c r="B82" s="68"/>
      <c r="C82" s="68" t="str">
        <f t="shared" si="3"/>
        <v>9</v>
      </c>
      <c r="D82" s="68">
        <f t="shared" si="4"/>
        <v>5</v>
      </c>
      <c r="E82" s="84" t="str">
        <f t="shared" si="2"/>
        <v>955</v>
      </c>
      <c r="F82" s="66" t="s">
        <v>33</v>
      </c>
      <c r="G82" s="67" t="str">
        <f>IFERROR(IF(VLOOKUP($E82,BDD!$A$1:$S$567,MATCH(G$10,BDD!$A$1:$P$1,0),FALSE)=0,"",VLOOKUP($E82,BDD!$A$1:$S$567,MATCH(G$10,BDD!$A$1:$P$1,0),FALSE)),"")</f>
        <v>Un tableau de bord de suivi de la qualité de services est établi à partir des indicateurs mentionnés au contrat de services (performance, résolutions d’incidents, etc.).</v>
      </c>
      <c r="H82" s="85" t="str">
        <f>IF(VLOOKUP(E82,BDD!$A$1:$S$567,15,FALSE)=0,"Critère non évalué","")</f>
        <v>Critère non évalué</v>
      </c>
      <c r="I82" s="66" t="str">
        <f>IFERROR(IF(VLOOKUP($E82,BDD!$A$1:$S$567,MATCH(I$10,BDD!$A$1:$P$1,0),FALSE)=0,"",VLOOKUP($E82,BDD!$A$1:$S$567,MATCH(I$10,BDD!$A$1:$P$1,0),FALSE)),"")</f>
        <v>N3</v>
      </c>
      <c r="J82" s="86"/>
      <c r="K82" s="67" t="str">
        <f>IFERROR(IF(VLOOKUP($E82,BDD!$A$1:$S$567,MATCH(K$10,BDD!$A$1:$P$1,0),FALSE)=0,"",VLOOKUP($E82,BDD!$A$1:$S$567,MATCH(K$10,BDD!$A$1:$P$1,0),FALSE)),"")</f>
        <v>• Les indicateurs sont communiqués à travers des tableaux de bord diffusés aux acteurs responsables de la DSI et aux clients concernés.</v>
      </c>
      <c r="L82" s="68"/>
      <c r="M82" s="82"/>
      <c r="N82" s="82"/>
      <c r="O82" s="68"/>
      <c r="P82" s="298"/>
    </row>
    <row r="83" spans="1:16" ht="130.05000000000001" customHeight="1" x14ac:dyDescent="0.3">
      <c r="A83" s="298"/>
      <c r="B83" s="68"/>
      <c r="C83" s="68" t="str">
        <f t="shared" si="3"/>
        <v>9</v>
      </c>
      <c r="D83" s="68">
        <f t="shared" si="4"/>
        <v>5</v>
      </c>
      <c r="E83" s="84" t="str">
        <f>C83&amp;D83&amp;RIGHT(F83,1)</f>
        <v>956</v>
      </c>
      <c r="F83" s="64" t="s">
        <v>34</v>
      </c>
      <c r="G83" s="65" t="str">
        <f>IFERROR(IF(VLOOKUP($E83,BDD!$A$1:$S$567,MATCH(G$10,BDD!$A$1:$P$1,0),FALSE)=0,"",VLOOKUP($E83,BDD!$A$1:$S$567,MATCH(G$10,BDD!$A$1:$P$1,0),FALSE)),"")</f>
        <v>Les indicateurs de mesure de la qualité et les enquêtes de satisfaction participent à l’évolution des contrats de services.</v>
      </c>
      <c r="H83" s="88" t="str">
        <f>IF(VLOOKUP(E83,BDD!$A$1:$S$567,15,FALSE)=0,"Critère non évalué","")</f>
        <v>Critère non évalué</v>
      </c>
      <c r="I83" s="64" t="str">
        <f>IFERROR(IF(VLOOKUP($E83,BDD!$A$1:$S$567,MATCH(I$10,BDD!$A$1:$P$1,0),FALSE)=0,"",VLOOKUP($E83,BDD!$A$1:$S$567,MATCH(I$10,BDD!$A$1:$P$1,0),FALSE)),"")</f>
        <v>N4</v>
      </c>
      <c r="J83" s="91"/>
      <c r="K83" s="65" t="str">
        <f>IFERROR(IF(VLOOKUP($E83,BDD!$A$1:$S$567,MATCH(K$10,BDD!$A$1:$P$1,0),FALSE)=0,"",VLOOKUP($E83,BDD!$A$1:$S$567,MATCH(K$10,BDD!$A$1:$P$1,0),FALSE)),"")</f>
        <v>• Les points d’amélioration issus de l’enquête de satisfaction sont traités avec les clients de la DSI de manière à adapter les services.</v>
      </c>
      <c r="L83" s="68"/>
      <c r="M83" s="90"/>
      <c r="N83" s="90"/>
      <c r="O83" s="68"/>
      <c r="P83" s="298"/>
    </row>
    <row r="84" spans="1:16" ht="130.05000000000001" customHeight="1" x14ac:dyDescent="0.3">
      <c r="A84" s="298"/>
      <c r="B84" s="68"/>
      <c r="C84" s="68" t="str">
        <f t="shared" si="3"/>
        <v>9</v>
      </c>
      <c r="D84" s="68">
        <f t="shared" si="4"/>
        <v>5</v>
      </c>
      <c r="E84" s="84" t="str">
        <f>C84&amp;D84&amp;RIGHT(F84,1)</f>
        <v>957</v>
      </c>
      <c r="F84" s="66" t="s">
        <v>36</v>
      </c>
      <c r="G84" s="67" t="str">
        <f>IFERROR(IF(VLOOKUP($E84,BDD!$A$1:$S$567,MATCH(G$10,BDD!$A$1:$P$1,0),FALSE)=0,"",VLOOKUP($E84,BDD!$A$1:$S$567,MATCH(G$10,BDD!$A$1:$P$1,0),FALSE)),"")</f>
        <v>La DSI valorise la mise en œuvre d’approches innovantes dans la délivrance de ses services.</v>
      </c>
      <c r="H84" s="85" t="str">
        <f>IF(VLOOKUP(E84,BDD!$A$1:$S$567,15,FALSE)=0,"Critère non évalué","")</f>
        <v>Critère non évalué</v>
      </c>
      <c r="I84" s="66" t="str">
        <f>IFERROR(IF(VLOOKUP($E84,BDD!$A$1:$S$567,MATCH(I$10,BDD!$A$1:$P$1,0),FALSE)=0,"",VLOOKUP($E84,BDD!$A$1:$S$567,MATCH(I$10,BDD!$A$1:$P$1,0),FALSE)),"")</f>
        <v>N5</v>
      </c>
      <c r="J84" s="86"/>
      <c r="K84" s="67" t="str">
        <f>IFERROR(IF(VLOOKUP($E84,BDD!$A$1:$S$567,MATCH(K$10,BDD!$A$1:$P$1,0),FALSE)=0,"",VLOOKUP($E84,BDD!$A$1:$S$567,MATCH(K$10,BDD!$A$1:$P$1,0),FALSE)),"")</f>
        <v>• L’innovation est intégrée dans le processus d’amélioration continue. Des challenges innovation ou hackathons peuvent être co-initiés de manière à améliorer les services ou créer de nouveaux services. Les clients peuvent être sollicités pour tester des idées innovantes.</v>
      </c>
      <c r="L84" s="68"/>
      <c r="M84" s="82"/>
      <c r="N84" s="82"/>
      <c r="O84" s="68"/>
      <c r="P84" s="298"/>
    </row>
    <row r="85" spans="1:16" hidden="1" x14ac:dyDescent="0.3">
      <c r="A85" s="298"/>
      <c r="B85" s="68"/>
      <c r="C85" s="68" t="str">
        <f t="shared" si="3"/>
        <v>9</v>
      </c>
      <c r="D85" s="68"/>
      <c r="E85" s="68"/>
      <c r="F85" s="68"/>
      <c r="G85" s="68"/>
      <c r="H85" s="68"/>
      <c r="I85" s="68"/>
      <c r="J85" s="68"/>
      <c r="K85" s="68"/>
      <c r="L85" s="68"/>
      <c r="M85" s="68"/>
      <c r="N85" s="68"/>
      <c r="O85" s="68"/>
      <c r="P85" s="298"/>
    </row>
    <row r="86" spans="1:16" hidden="1" x14ac:dyDescent="0.3">
      <c r="A86" s="298"/>
      <c r="B86" s="68"/>
      <c r="C86" s="68" t="str">
        <f t="shared" si="3"/>
        <v>9</v>
      </c>
      <c r="D86" s="68"/>
      <c r="E86" s="68"/>
      <c r="F86" s="68"/>
      <c r="G86" s="68"/>
      <c r="H86" s="68"/>
      <c r="I86" s="68"/>
      <c r="J86" s="68"/>
      <c r="K86" s="68"/>
      <c r="L86" s="68"/>
      <c r="M86" s="68"/>
      <c r="N86" s="68"/>
      <c r="O86" s="68"/>
      <c r="P86" s="298"/>
    </row>
    <row r="87" spans="1:16" ht="25.8" hidden="1" x14ac:dyDescent="0.5">
      <c r="A87" s="304"/>
      <c r="B87" s="74"/>
      <c r="C87" s="68" t="str">
        <f t="shared" si="3"/>
        <v>9</v>
      </c>
      <c r="D87" s="68">
        <f>IF(LEFT(F87,14)="Bonne pratique",D83+1,D83)</f>
        <v>6</v>
      </c>
      <c r="E87" s="84" t="str">
        <f t="shared" ref="E87:E100" si="5">C87&amp;D87&amp;RIGHT(F87,1)</f>
        <v>966</v>
      </c>
      <c r="F87" s="208" t="s">
        <v>556</v>
      </c>
      <c r="G87" s="75"/>
      <c r="H87" s="205"/>
      <c r="I87" s="73"/>
      <c r="J87" s="73" t="e">
        <f>VLOOKUP(E94,BDD!$A$2:$N$567,6,FALSE)</f>
        <v>#N/A</v>
      </c>
      <c r="K87" s="72"/>
      <c r="L87" s="75"/>
      <c r="M87" s="75"/>
      <c r="N87" s="75"/>
      <c r="O87" s="74"/>
      <c r="P87" s="304"/>
    </row>
    <row r="88" spans="1:16" hidden="1" x14ac:dyDescent="0.3">
      <c r="A88" s="298"/>
      <c r="B88" s="68"/>
      <c r="C88" s="68" t="str">
        <f t="shared" si="3"/>
        <v>9</v>
      </c>
      <c r="D88" s="68">
        <f t="shared" ref="D88:D100" si="6">IF(LEFT(F88,14)="Bonne pratique",D87+1,D87)</f>
        <v>6</v>
      </c>
      <c r="E88" s="84" t="str">
        <f t="shared" si="5"/>
        <v>96</v>
      </c>
      <c r="F88" s="68"/>
      <c r="G88" s="68"/>
      <c r="H88" s="68"/>
      <c r="I88" s="68"/>
      <c r="J88" s="68"/>
      <c r="K88" s="68"/>
      <c r="L88" s="68"/>
      <c r="M88" s="68"/>
      <c r="N88" s="68"/>
      <c r="O88" s="68"/>
      <c r="P88" s="298"/>
    </row>
    <row r="89" spans="1:16" ht="18" hidden="1" x14ac:dyDescent="0.35">
      <c r="A89" s="305"/>
      <c r="B89" s="76"/>
      <c r="C89" s="68" t="str">
        <f t="shared" si="3"/>
        <v>9</v>
      </c>
      <c r="D89" s="68">
        <f t="shared" si="6"/>
        <v>6</v>
      </c>
      <c r="E89" s="84" t="str">
        <f t="shared" si="5"/>
        <v>96</v>
      </c>
      <c r="F89" s="76"/>
      <c r="G89" s="76"/>
      <c r="H89" s="76"/>
      <c r="I89" s="77"/>
      <c r="J89" s="207" t="e">
        <f>IFERROR(_xlfn.TEXTBEFORE(VLOOKUP(E94,BDD!$A$2:$N$567,7,FALSE)," ",30),VLOOKUP(E94,BDD!$A$2:$N$567,7,FALSE))</f>
        <v>#N/A</v>
      </c>
      <c r="K89" s="77"/>
      <c r="L89" s="76"/>
      <c r="M89" s="76"/>
      <c r="N89" s="76"/>
      <c r="O89" s="76"/>
      <c r="P89" s="305"/>
    </row>
    <row r="90" spans="1:16" ht="18" hidden="1" x14ac:dyDescent="0.35">
      <c r="A90" s="298"/>
      <c r="B90" s="68"/>
      <c r="C90" s="68" t="str">
        <f t="shared" si="3"/>
        <v>9</v>
      </c>
      <c r="D90" s="68">
        <f t="shared" si="6"/>
        <v>6</v>
      </c>
      <c r="E90" s="84" t="str">
        <f t="shared" si="5"/>
        <v>96</v>
      </c>
      <c r="F90" s="68"/>
      <c r="G90" s="68"/>
      <c r="H90" s="68"/>
      <c r="I90" s="68"/>
      <c r="J90" s="207" t="str">
        <f>IFERROR(_xlfn.TEXTAFTER(VLOOKUP(E94,BDD!$A$2:$N$567,7,FALSE)," ",30),"")</f>
        <v/>
      </c>
      <c r="K90" s="68"/>
      <c r="L90" s="68"/>
      <c r="M90" s="68"/>
      <c r="N90" s="68"/>
      <c r="O90" s="68"/>
      <c r="P90" s="298"/>
    </row>
    <row r="91" spans="1:16" hidden="1" x14ac:dyDescent="0.3">
      <c r="A91" s="298"/>
      <c r="B91" s="68"/>
      <c r="C91" s="68" t="str">
        <f t="shared" si="3"/>
        <v>9</v>
      </c>
      <c r="D91" s="68">
        <f t="shared" si="6"/>
        <v>6</v>
      </c>
      <c r="E91" s="84" t="str">
        <f t="shared" si="5"/>
        <v>96</v>
      </c>
      <c r="F91" s="68"/>
      <c r="G91" s="68"/>
      <c r="H91" s="68"/>
      <c r="I91" s="68"/>
      <c r="J91" s="78"/>
      <c r="K91" s="68"/>
      <c r="L91" s="68"/>
      <c r="M91" s="619" t="s">
        <v>92</v>
      </c>
      <c r="N91" s="619"/>
      <c r="O91" s="68"/>
      <c r="P91" s="298"/>
    </row>
    <row r="92" spans="1:16" ht="33" hidden="1" x14ac:dyDescent="0.3">
      <c r="A92" s="298"/>
      <c r="B92" s="68"/>
      <c r="C92" s="68" t="str">
        <f t="shared" si="3"/>
        <v>9</v>
      </c>
      <c r="D92" s="68">
        <f t="shared" si="6"/>
        <v>6</v>
      </c>
      <c r="E92" s="84" t="str">
        <f t="shared" si="5"/>
        <v>96</v>
      </c>
      <c r="F92" s="93"/>
      <c r="G92" s="80" t="s">
        <v>561</v>
      </c>
      <c r="H92" s="80" t="s">
        <v>82</v>
      </c>
      <c r="I92" s="80" t="s">
        <v>83</v>
      </c>
      <c r="J92" s="80" t="s">
        <v>84</v>
      </c>
      <c r="K92" s="80" t="s">
        <v>85</v>
      </c>
      <c r="L92" s="78"/>
      <c r="M92" s="81" t="s">
        <v>86</v>
      </c>
      <c r="N92" s="82" t="s">
        <v>87</v>
      </c>
      <c r="O92" s="68"/>
      <c r="P92" s="298"/>
    </row>
    <row r="93" spans="1:16" hidden="1" x14ac:dyDescent="0.3">
      <c r="A93" s="298"/>
      <c r="B93" s="68"/>
      <c r="C93" s="68" t="str">
        <f t="shared" si="3"/>
        <v>9</v>
      </c>
      <c r="D93" s="68">
        <f t="shared" si="6"/>
        <v>6</v>
      </c>
      <c r="E93" s="84" t="str">
        <f t="shared" si="5"/>
        <v>96</v>
      </c>
      <c r="F93" s="68"/>
      <c r="G93" s="83"/>
      <c r="H93" s="83"/>
      <c r="I93" s="83"/>
      <c r="J93" s="68"/>
      <c r="K93" s="83"/>
      <c r="L93" s="68"/>
      <c r="M93" s="68"/>
      <c r="N93" s="68"/>
      <c r="O93" s="68"/>
      <c r="P93" s="298"/>
    </row>
    <row r="94" spans="1:16" ht="130.05000000000001" hidden="1" customHeight="1" x14ac:dyDescent="0.3">
      <c r="A94" s="298"/>
      <c r="B94" s="68"/>
      <c r="C94" s="68" t="str">
        <f t="shared" si="3"/>
        <v>9</v>
      </c>
      <c r="D94" s="68">
        <f t="shared" si="6"/>
        <v>6</v>
      </c>
      <c r="E94" s="84" t="str">
        <f t="shared" si="5"/>
        <v>961</v>
      </c>
      <c r="F94" s="66" t="s">
        <v>27</v>
      </c>
      <c r="G94" s="67" t="str">
        <f>IFERROR(IF(VLOOKUP($E94,BDD!$A$1:$S$567,MATCH(G$10,BDD!$A$1:$P$1,0),FALSE)=0,"",VLOOKUP($E94,BDD!$A$1:$S$567,MATCH(G$10,BDD!$A$1:$P$1,0),FALSE)),"")</f>
        <v/>
      </c>
      <c r="H94" s="85" t="e">
        <f>IF(VLOOKUP(E94,BDD!$A$1:$S$567,15,FALSE)=0,"Critère non évalué","")</f>
        <v>#N/A</v>
      </c>
      <c r="I94" s="66" t="str">
        <f>IFERROR(IF(VLOOKUP($E94,BDD!$A$1:$S$567,MATCH(I$10,BDD!$A$1:$P$1,0),FALSE)=0,"",VLOOKUP($E94,BDD!$A$1:$S$567,MATCH(I$10,BDD!$A$1:$P$1,0),FALSE)),"")</f>
        <v/>
      </c>
      <c r="J94" s="86"/>
      <c r="K94" s="67" t="str">
        <f>IFERROR(IF(VLOOKUP($E94,BDD!$A$1:$S$567,MATCH(K$10,BDD!$A$1:$P$1,0),FALSE)=0,"",VLOOKUP($E94,BDD!$A$1:$S$567,MATCH(K$10,BDD!$A$1:$P$1,0),FALSE)),"")</f>
        <v/>
      </c>
      <c r="L94" s="68"/>
      <c r="M94" s="87"/>
      <c r="N94" s="87"/>
      <c r="O94" s="68"/>
      <c r="P94" s="298"/>
    </row>
    <row r="95" spans="1:16" ht="130.05000000000001" hidden="1" customHeight="1" x14ac:dyDescent="0.3">
      <c r="A95" s="298"/>
      <c r="B95" s="68"/>
      <c r="C95" s="68" t="str">
        <f t="shared" si="3"/>
        <v>9</v>
      </c>
      <c r="D95" s="68">
        <f t="shared" si="6"/>
        <v>6</v>
      </c>
      <c r="E95" s="84" t="str">
        <f t="shared" si="5"/>
        <v>962</v>
      </c>
      <c r="F95" s="94" t="s">
        <v>28</v>
      </c>
      <c r="G95" s="65" t="str">
        <f>IFERROR(IF(VLOOKUP($E95,BDD!$A$1:$S$567,MATCH(G$10,BDD!$A$1:$P$1,0),FALSE)=0,"",VLOOKUP($E95,BDD!$A$1:$S$567,MATCH(G$10,BDD!$A$1:$P$1,0),FALSE)),"")</f>
        <v/>
      </c>
      <c r="H95" s="88" t="e">
        <f>IF(VLOOKUP(E95,BDD!$A$1:$S$567,15,FALSE)=0,"Critère non évalué","")</f>
        <v>#N/A</v>
      </c>
      <c r="I95" s="64" t="str">
        <f>IFERROR(IF(VLOOKUP($E95,BDD!$A$1:$S$567,MATCH(I$10,BDD!$A$1:$P$1,0),FALSE)=0,"",VLOOKUP($E95,BDD!$A$1:$S$567,MATCH(I$10,BDD!$A$1:$P$1,0),FALSE)),"")</f>
        <v/>
      </c>
      <c r="J95" s="89"/>
      <c r="K95" s="65" t="str">
        <f>IFERROR(IF(VLOOKUP($E95,BDD!$A$1:$S$567,MATCH(K$10,BDD!$A$1:$P$1,0),FALSE)=0,"",VLOOKUP($E95,BDD!$A$1:$S$567,MATCH(K$10,BDD!$A$1:$P$1,0),FALSE)),"")</f>
        <v/>
      </c>
      <c r="L95" s="68"/>
      <c r="M95" s="90"/>
      <c r="N95" s="90"/>
      <c r="O95" s="68"/>
      <c r="P95" s="298"/>
    </row>
    <row r="96" spans="1:16" ht="130.05000000000001" hidden="1" customHeight="1" x14ac:dyDescent="0.3">
      <c r="A96" s="298"/>
      <c r="B96" s="68"/>
      <c r="C96" s="68" t="str">
        <f t="shared" si="3"/>
        <v>9</v>
      </c>
      <c r="D96" s="68">
        <f t="shared" si="6"/>
        <v>6</v>
      </c>
      <c r="E96" s="84" t="str">
        <f t="shared" si="5"/>
        <v>963</v>
      </c>
      <c r="F96" s="66" t="s">
        <v>30</v>
      </c>
      <c r="G96" s="67" t="str">
        <f>IFERROR(IF(VLOOKUP($E96,BDD!$A$1:$S$567,MATCH(G$10,BDD!$A$1:$P$1,0),FALSE)=0,"",VLOOKUP($E96,BDD!$A$1:$S$567,MATCH(G$10,BDD!$A$1:$P$1,0),FALSE)),"")</f>
        <v/>
      </c>
      <c r="H96" s="85" t="e">
        <f>IF(VLOOKUP(E96,BDD!$A$1:$S$567,15,FALSE)=0,"Critère non évalué","")</f>
        <v>#N/A</v>
      </c>
      <c r="I96" s="66" t="str">
        <f>IFERROR(IF(VLOOKUP($E96,BDD!$A$1:$S$567,MATCH(I$10,BDD!$A$1:$P$1,0),FALSE)=0,"",VLOOKUP($E96,BDD!$A$1:$S$567,MATCH(I$10,BDD!$A$1:$P$1,0),FALSE)),"")</f>
        <v/>
      </c>
      <c r="J96" s="86"/>
      <c r="K96" s="67" t="str">
        <f>IFERROR(IF(VLOOKUP($E96,BDD!$A$1:$S$567,MATCH(K$10,BDD!$A$1:$P$1,0),FALSE)=0,"",VLOOKUP($E96,BDD!$A$1:$S$567,MATCH(K$10,BDD!$A$1:$P$1,0),FALSE)),"")</f>
        <v/>
      </c>
      <c r="L96" s="68"/>
      <c r="M96" s="87"/>
      <c r="N96" s="87"/>
      <c r="O96" s="68"/>
      <c r="P96" s="298"/>
    </row>
    <row r="97" spans="1:16" ht="130.05000000000001" hidden="1" customHeight="1" x14ac:dyDescent="0.3">
      <c r="A97" s="298"/>
      <c r="B97" s="68"/>
      <c r="C97" s="68" t="str">
        <f t="shared" si="3"/>
        <v>9</v>
      </c>
      <c r="D97" s="68">
        <f t="shared" si="6"/>
        <v>6</v>
      </c>
      <c r="E97" s="84" t="str">
        <f t="shared" si="5"/>
        <v>964</v>
      </c>
      <c r="F97" s="64" t="s">
        <v>32</v>
      </c>
      <c r="G97" s="65" t="str">
        <f>IFERROR(IF(VLOOKUP($E97,BDD!$A$1:$S$567,MATCH(G$10,BDD!$A$1:$P$1,0),FALSE)=0,"",VLOOKUP($E97,BDD!$A$1:$S$567,MATCH(G$10,BDD!$A$1:$P$1,0),FALSE)),"")</f>
        <v/>
      </c>
      <c r="H97" s="88" t="e">
        <f>IF(VLOOKUP(E97,BDD!$A$1:$S$567,15,FALSE)=0,"Critère non évalué","")</f>
        <v>#N/A</v>
      </c>
      <c r="I97" s="64" t="str">
        <f>IFERROR(IF(VLOOKUP($E97,BDD!$A$1:$S$567,MATCH(I$10,BDD!$A$1:$P$1,0),FALSE)=0,"",VLOOKUP($E97,BDD!$A$1:$S$567,MATCH(I$10,BDD!$A$1:$P$1,0),FALSE)),"")</f>
        <v/>
      </c>
      <c r="J97" s="91"/>
      <c r="K97" s="65" t="str">
        <f>IFERROR(IF(VLOOKUP($E97,BDD!$A$1:$S$567,MATCH(K$10,BDD!$A$1:$P$1,0),FALSE)=0,"",VLOOKUP($E97,BDD!$A$1:$S$567,MATCH(K$10,BDD!$A$1:$P$1,0),FALSE)),"")</f>
        <v/>
      </c>
      <c r="L97" s="68"/>
      <c r="M97" s="90"/>
      <c r="N97" s="90"/>
      <c r="O97" s="68"/>
      <c r="P97" s="298"/>
    </row>
    <row r="98" spans="1:16" ht="130.05000000000001" hidden="1" customHeight="1" x14ac:dyDescent="0.3">
      <c r="A98" s="298"/>
      <c r="B98" s="68"/>
      <c r="C98" s="68" t="str">
        <f t="shared" si="3"/>
        <v>9</v>
      </c>
      <c r="D98" s="68">
        <f t="shared" si="6"/>
        <v>6</v>
      </c>
      <c r="E98" s="84" t="str">
        <f t="shared" si="5"/>
        <v>965</v>
      </c>
      <c r="F98" s="66" t="s">
        <v>33</v>
      </c>
      <c r="G98" s="67" t="str">
        <f>IFERROR(IF(VLOOKUP($E98,BDD!$A$1:$S$567,MATCH(G$10,BDD!$A$1:$P$1,0),FALSE)=0,"",VLOOKUP($E98,BDD!$A$1:$S$567,MATCH(G$10,BDD!$A$1:$P$1,0),FALSE)),"")</f>
        <v/>
      </c>
      <c r="H98" s="85" t="e">
        <f>IF(VLOOKUP(E98,BDD!$A$1:$S$567,15,FALSE)=0,"Critère non évalué","")</f>
        <v>#N/A</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298"/>
    </row>
    <row r="99" spans="1:16" ht="130.05000000000001" hidden="1" customHeight="1" x14ac:dyDescent="0.3">
      <c r="A99" s="298"/>
      <c r="B99" s="68"/>
      <c r="C99" s="68" t="str">
        <f t="shared" si="3"/>
        <v>9</v>
      </c>
      <c r="D99" s="68">
        <f t="shared" si="6"/>
        <v>6</v>
      </c>
      <c r="E99" s="84" t="str">
        <f t="shared" si="5"/>
        <v>966</v>
      </c>
      <c r="F99" s="64" t="s">
        <v>34</v>
      </c>
      <c r="G99" s="65" t="str">
        <f>IFERROR(IF(VLOOKUP($E99,BDD!$A$1:$S$567,MATCH(G$10,BDD!$A$1:$P$1,0),FALSE)=0,"",VLOOKUP($E99,BDD!$A$1:$S$567,MATCH(G$10,BDD!$A$1:$P$1,0),FALSE)),"")</f>
        <v/>
      </c>
      <c r="H99" s="88" t="e">
        <f>IF(VLOOKUP(E99,BDD!$A$1:$S$567,15,FALSE)=0,"Critère non évalué","")</f>
        <v>#N/A</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298"/>
    </row>
    <row r="100" spans="1:16" ht="130.05000000000001" hidden="1" customHeight="1" x14ac:dyDescent="0.3">
      <c r="A100" s="298"/>
      <c r="B100" s="68"/>
      <c r="C100" s="68" t="str">
        <f t="shared" si="3"/>
        <v>9</v>
      </c>
      <c r="D100" s="68">
        <f t="shared" si="6"/>
        <v>6</v>
      </c>
      <c r="E100" s="84" t="str">
        <f t="shared" si="5"/>
        <v>967</v>
      </c>
      <c r="F100" s="66" t="s">
        <v>36</v>
      </c>
      <c r="G100" s="67" t="str">
        <f>IFERROR(IF(VLOOKUP($E100,BDD!$A$1:$S$567,MATCH(G$10,BDD!$A$1:$P$1,0),FALSE)=0,"",VLOOKUP($E100,BDD!$A$1:$S$567,MATCH(G$10,BDD!$A$1:$P$1,0),FALSE)),"")</f>
        <v/>
      </c>
      <c r="H100" s="85" t="e">
        <f>IF(VLOOKUP(E100,BDD!$A$1:$S$567,15,FALSE)=0,"Critère non évalué","")</f>
        <v>#N/A</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298"/>
    </row>
    <row r="101" spans="1:16" hidden="1" x14ac:dyDescent="0.3">
      <c r="A101" s="298"/>
      <c r="B101" s="68"/>
      <c r="C101" s="68" t="str">
        <f t="shared" si="3"/>
        <v>9</v>
      </c>
      <c r="D101" s="68"/>
      <c r="E101" s="68"/>
      <c r="F101" s="68"/>
      <c r="G101" s="68"/>
      <c r="H101" s="68"/>
      <c r="I101" s="68"/>
      <c r="J101" s="68"/>
      <c r="K101" s="68"/>
      <c r="L101" s="68"/>
      <c r="M101" s="68"/>
      <c r="N101" s="68"/>
      <c r="O101" s="68"/>
      <c r="P101" s="298"/>
    </row>
    <row r="102" spans="1:16" hidden="1" x14ac:dyDescent="0.3">
      <c r="A102" s="298"/>
      <c r="B102" s="68"/>
      <c r="C102" s="68" t="str">
        <f t="shared" si="3"/>
        <v>9</v>
      </c>
      <c r="D102" s="68"/>
      <c r="E102" s="68"/>
      <c r="F102" s="68"/>
      <c r="G102" s="68"/>
      <c r="H102" s="68"/>
      <c r="I102" s="68"/>
      <c r="J102" s="68"/>
      <c r="K102" s="68"/>
      <c r="L102" s="68"/>
      <c r="M102" s="68"/>
      <c r="N102" s="68"/>
      <c r="O102" s="68"/>
      <c r="P102" s="298"/>
    </row>
    <row r="103" spans="1:16" ht="25.8" hidden="1" x14ac:dyDescent="0.5">
      <c r="A103" s="304"/>
      <c r="B103" s="74"/>
      <c r="C103" s="68" t="str">
        <f t="shared" si="3"/>
        <v>9</v>
      </c>
      <c r="D103" s="68">
        <f>IF(LEFT(F103,14)="Bonne pratique",D99+1,D99)</f>
        <v>7</v>
      </c>
      <c r="E103" s="84" t="str">
        <f t="shared" ref="E103:E116" si="7">C103&amp;D103&amp;RIGHT(F103,1)</f>
        <v>977</v>
      </c>
      <c r="F103" s="208" t="s">
        <v>557</v>
      </c>
      <c r="G103" s="75"/>
      <c r="H103" s="205"/>
      <c r="I103" s="73"/>
      <c r="J103" s="73" t="e">
        <f>VLOOKUP(E110,BDD!$A$2:$N$567,6,FALSE)</f>
        <v>#N/A</v>
      </c>
      <c r="K103" s="72"/>
      <c r="L103" s="75"/>
      <c r="M103" s="75"/>
      <c r="N103" s="75"/>
      <c r="O103" s="74"/>
      <c r="P103" s="304"/>
    </row>
    <row r="104" spans="1:16" hidden="1" x14ac:dyDescent="0.3">
      <c r="A104" s="298"/>
      <c r="B104" s="68"/>
      <c r="C104" s="68" t="str">
        <f t="shared" si="3"/>
        <v>9</v>
      </c>
      <c r="D104" s="68">
        <f t="shared" ref="D104:D116" si="8">IF(LEFT(F104,14)="Bonne pratique",D103+1,D103)</f>
        <v>7</v>
      </c>
      <c r="E104" s="84" t="str">
        <f t="shared" si="7"/>
        <v>97</v>
      </c>
      <c r="F104" s="68"/>
      <c r="G104" s="68"/>
      <c r="H104" s="68"/>
      <c r="I104" s="68"/>
      <c r="J104" s="68"/>
      <c r="K104" s="68"/>
      <c r="L104" s="68"/>
      <c r="M104" s="68"/>
      <c r="N104" s="68"/>
      <c r="O104" s="68"/>
      <c r="P104" s="298"/>
    </row>
    <row r="105" spans="1:16" ht="18" hidden="1" x14ac:dyDescent="0.35">
      <c r="A105" s="305"/>
      <c r="B105" s="76"/>
      <c r="C105" s="68" t="str">
        <f t="shared" si="3"/>
        <v>9</v>
      </c>
      <c r="D105" s="68">
        <f t="shared" si="8"/>
        <v>7</v>
      </c>
      <c r="E105" s="84" t="str">
        <f t="shared" si="7"/>
        <v>97</v>
      </c>
      <c r="F105" s="76"/>
      <c r="G105" s="76"/>
      <c r="H105" s="76"/>
      <c r="I105" s="77"/>
      <c r="J105" s="207" t="e">
        <f>IFERROR(_xlfn.TEXTBEFORE(VLOOKUP(E110,BDD!$A$2:$N$567,7,FALSE)," ",30),VLOOKUP(E110,BDD!$A$2:$N$567,7,FALSE))</f>
        <v>#N/A</v>
      </c>
      <c r="K105" s="77"/>
      <c r="L105" s="76"/>
      <c r="M105" s="76"/>
      <c r="N105" s="76"/>
      <c r="O105" s="76"/>
      <c r="P105" s="305"/>
    </row>
    <row r="106" spans="1:16" ht="18" hidden="1" x14ac:dyDescent="0.35">
      <c r="A106" s="298"/>
      <c r="B106" s="68"/>
      <c r="C106" s="68" t="str">
        <f t="shared" si="3"/>
        <v>9</v>
      </c>
      <c r="D106" s="68">
        <f t="shared" si="8"/>
        <v>7</v>
      </c>
      <c r="E106" s="84" t="str">
        <f t="shared" si="7"/>
        <v>97</v>
      </c>
      <c r="F106" s="68"/>
      <c r="G106" s="68"/>
      <c r="H106" s="68"/>
      <c r="I106" s="68"/>
      <c r="J106" s="207" t="str">
        <f>IFERROR(_xlfn.TEXTAFTER(VLOOKUP(E110,BDD!$A$2:$N$567,7,FALSE)," ",30),"")</f>
        <v/>
      </c>
      <c r="K106" s="68"/>
      <c r="L106" s="68"/>
      <c r="M106" s="68"/>
      <c r="N106" s="68"/>
      <c r="O106" s="68"/>
      <c r="P106" s="298"/>
    </row>
    <row r="107" spans="1:16" hidden="1" x14ac:dyDescent="0.3">
      <c r="A107" s="298"/>
      <c r="B107" s="68"/>
      <c r="C107" s="68" t="str">
        <f t="shared" si="3"/>
        <v>9</v>
      </c>
      <c r="D107" s="68">
        <f t="shared" si="8"/>
        <v>7</v>
      </c>
      <c r="E107" s="84" t="str">
        <f t="shared" si="7"/>
        <v>97</v>
      </c>
      <c r="F107" s="68"/>
      <c r="G107" s="68"/>
      <c r="H107" s="68"/>
      <c r="I107" s="68"/>
      <c r="J107" s="78"/>
      <c r="K107" s="68"/>
      <c r="L107" s="68"/>
      <c r="M107" s="619" t="s">
        <v>92</v>
      </c>
      <c r="N107" s="619"/>
      <c r="O107" s="68"/>
      <c r="P107" s="298"/>
    </row>
    <row r="108" spans="1:16" ht="33" hidden="1" x14ac:dyDescent="0.3">
      <c r="A108" s="298"/>
      <c r="B108" s="68"/>
      <c r="C108" s="68" t="str">
        <f t="shared" si="3"/>
        <v>9</v>
      </c>
      <c r="D108" s="68">
        <f t="shared" si="8"/>
        <v>7</v>
      </c>
      <c r="E108" s="84" t="str">
        <f t="shared" si="7"/>
        <v>97</v>
      </c>
      <c r="F108" s="93"/>
      <c r="G108" s="80" t="s">
        <v>561</v>
      </c>
      <c r="H108" s="80" t="s">
        <v>82</v>
      </c>
      <c r="I108" s="80" t="s">
        <v>83</v>
      </c>
      <c r="J108" s="80" t="s">
        <v>84</v>
      </c>
      <c r="K108" s="80" t="s">
        <v>85</v>
      </c>
      <c r="L108" s="78"/>
      <c r="M108" s="81" t="s">
        <v>86</v>
      </c>
      <c r="N108" s="82" t="s">
        <v>87</v>
      </c>
      <c r="O108" s="68"/>
      <c r="P108" s="298"/>
    </row>
    <row r="109" spans="1:16" hidden="1" x14ac:dyDescent="0.3">
      <c r="A109" s="298"/>
      <c r="B109" s="68"/>
      <c r="C109" s="68" t="str">
        <f t="shared" si="3"/>
        <v>9</v>
      </c>
      <c r="D109" s="68">
        <f t="shared" si="8"/>
        <v>7</v>
      </c>
      <c r="E109" s="84" t="str">
        <f t="shared" si="7"/>
        <v>97</v>
      </c>
      <c r="F109" s="68"/>
      <c r="G109" s="83"/>
      <c r="H109" s="83"/>
      <c r="I109" s="83"/>
      <c r="J109" s="68"/>
      <c r="K109" s="83"/>
      <c r="L109" s="68"/>
      <c r="M109" s="68"/>
      <c r="N109" s="68"/>
      <c r="O109" s="68"/>
      <c r="P109" s="298"/>
    </row>
    <row r="110" spans="1:16" ht="130.05000000000001" hidden="1" customHeight="1" x14ac:dyDescent="0.3">
      <c r="A110" s="298"/>
      <c r="B110" s="68"/>
      <c r="C110" s="68" t="str">
        <f t="shared" si="3"/>
        <v>9</v>
      </c>
      <c r="D110" s="68">
        <f t="shared" si="8"/>
        <v>7</v>
      </c>
      <c r="E110" s="84" t="str">
        <f t="shared" si="7"/>
        <v>971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298"/>
    </row>
    <row r="111" spans="1:16" ht="130.05000000000001" hidden="1" customHeight="1" x14ac:dyDescent="0.3">
      <c r="A111" s="298"/>
      <c r="B111" s="68"/>
      <c r="C111" s="68" t="str">
        <f t="shared" si="3"/>
        <v>9</v>
      </c>
      <c r="D111" s="68">
        <f t="shared" si="8"/>
        <v>7</v>
      </c>
      <c r="E111" s="84" t="str">
        <f t="shared" si="7"/>
        <v>972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298"/>
    </row>
    <row r="112" spans="1:16" ht="130.05000000000001" hidden="1" customHeight="1" x14ac:dyDescent="0.3">
      <c r="A112" s="298"/>
      <c r="B112" s="68"/>
      <c r="C112" s="68" t="str">
        <f t="shared" si="3"/>
        <v>9</v>
      </c>
      <c r="D112" s="68">
        <f t="shared" si="8"/>
        <v>7</v>
      </c>
      <c r="E112" s="84" t="str">
        <f t="shared" si="7"/>
        <v>973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298"/>
    </row>
    <row r="113" spans="1:16" ht="130.05000000000001" hidden="1" customHeight="1" x14ac:dyDescent="0.3">
      <c r="A113" s="298"/>
      <c r="B113" s="68"/>
      <c r="C113" s="68" t="str">
        <f t="shared" si="3"/>
        <v>9</v>
      </c>
      <c r="D113" s="68">
        <f t="shared" si="8"/>
        <v>7</v>
      </c>
      <c r="E113" s="84" t="str">
        <f t="shared" si="7"/>
        <v>974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298"/>
    </row>
    <row r="114" spans="1:16" ht="130.05000000000001" hidden="1" customHeight="1" x14ac:dyDescent="0.3">
      <c r="A114" s="298"/>
      <c r="B114" s="68"/>
      <c r="C114" s="68" t="str">
        <f t="shared" si="3"/>
        <v>9</v>
      </c>
      <c r="D114" s="68">
        <f t="shared" si="8"/>
        <v>7</v>
      </c>
      <c r="E114" s="84" t="str">
        <f t="shared" si="7"/>
        <v>975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298"/>
    </row>
    <row r="115" spans="1:16" ht="130.05000000000001" hidden="1" customHeight="1" x14ac:dyDescent="0.3">
      <c r="A115" s="298"/>
      <c r="B115" s="68"/>
      <c r="C115" s="68" t="str">
        <f t="shared" si="3"/>
        <v>9</v>
      </c>
      <c r="D115" s="68">
        <f t="shared" si="8"/>
        <v>7</v>
      </c>
      <c r="E115" s="84" t="str">
        <f t="shared" si="7"/>
        <v>976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298"/>
    </row>
    <row r="116" spans="1:16" ht="130.05000000000001" hidden="1" customHeight="1" x14ac:dyDescent="0.3">
      <c r="A116" s="298"/>
      <c r="B116" s="68"/>
      <c r="C116" s="68" t="str">
        <f t="shared" ref="C116" si="9">RIGHT($B$1,1)</f>
        <v>9</v>
      </c>
      <c r="D116" s="68">
        <f t="shared" si="8"/>
        <v>7</v>
      </c>
      <c r="E116" s="84" t="str">
        <f t="shared" si="7"/>
        <v>977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298"/>
    </row>
    <row r="117" spans="1:16" x14ac:dyDescent="0.3">
      <c r="A117" s="298"/>
      <c r="B117" s="68"/>
      <c r="C117" s="68"/>
      <c r="D117" s="68"/>
      <c r="E117" s="68"/>
      <c r="F117" s="68"/>
      <c r="G117" s="68"/>
      <c r="H117" s="68"/>
      <c r="I117" s="68"/>
      <c r="J117" s="68"/>
      <c r="K117" s="68"/>
      <c r="L117" s="68"/>
      <c r="M117" s="68"/>
      <c r="N117" s="68"/>
      <c r="O117" s="68"/>
      <c r="P117" s="298"/>
    </row>
    <row r="118" spans="1:16" x14ac:dyDescent="0.3">
      <c r="A118" s="298" t="s">
        <v>164</v>
      </c>
      <c r="B118" s="298"/>
      <c r="C118" s="298"/>
      <c r="D118" s="298"/>
      <c r="E118" s="298"/>
      <c r="F118" s="298"/>
      <c r="G118" s="298"/>
      <c r="H118" s="298"/>
      <c r="I118" s="298"/>
      <c r="J118" s="298"/>
      <c r="K118" s="298"/>
      <c r="L118" s="298"/>
      <c r="M118" s="298"/>
      <c r="N118" s="298"/>
      <c r="O118" s="298"/>
      <c r="P118" s="298" t="s">
        <v>164</v>
      </c>
    </row>
  </sheetData>
  <sheetProtection algorithmName="SHA-512" hashValue="Pgi2+Q9qsUzmcv3KsJSuVRIi/s3on90FeUFT4512n/jcyVSB4r14Ld54dkhA6AJM3DXbfRPkVVWlHBBd59dJAQ==" saltValue="+takwGd5/3XoTfY2r5hFyw=="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500A7D78-A2A6-4C85-BE67-D9F0E4ECDC23}"/>
    <hyperlink ref="F29" location="V2Quest!A1" display="(Cf. Vecteur 2 - Innovation)" xr:uid="{8930276B-9862-4A33-9277-34036310059F}"/>
    <hyperlink ref="F45" location="V2Quest!A1" display="(Cf. Vecteur 2 - Innovation)" xr:uid="{3DCBB2A9-4C91-461F-96AB-EB2AE568ACE0}"/>
    <hyperlink ref="F61" location="V2Quest!A1" display="(Cf. Vecteur 2 - Innovation)" xr:uid="{60DFECAD-64A7-4C47-9EB7-951957617C0B}"/>
    <hyperlink ref="F79" location="V2Quest!A1" display="(Cf. Vecteur 2 - Innovation)" xr:uid="{43833072-B938-49CF-A4AF-EC91ED9FF683}"/>
    <hyperlink ref="F95" location="V2Quest!A1" display="(Cf. Vecteur 2 - Innovation)" xr:uid="{BA500EAA-9E0F-482F-B63A-FFB31A21700F}"/>
    <hyperlink ref="F111" location="V2Quest!A1" display="(Cf. Vecteur 2 - Innovation)" xr:uid="{F426BB9D-4E4E-41C7-9E24-2A161974BAF2}"/>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01"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153602"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153603" r:id="rId5" name="Option Button 3">
              <controlPr defaultSize="0" autoFill="0" autoLine="0" autoPict="0">
                <anchor moveWithCells="1">
                  <from>
                    <xdr:col>7</xdr:col>
                    <xdr:colOff>114300</xdr:colOff>
                    <xdr:row>12</xdr:row>
                    <xdr:rowOff>640080</xdr:rowOff>
                  </from>
                  <to>
                    <xdr:col>7</xdr:col>
                    <xdr:colOff>1950720</xdr:colOff>
                    <xdr:row>12</xdr:row>
                    <xdr:rowOff>830580</xdr:rowOff>
                  </to>
                </anchor>
              </controlPr>
            </control>
          </mc:Choice>
        </mc:AlternateContent>
        <mc:AlternateContent xmlns:mc="http://schemas.openxmlformats.org/markup-compatibility/2006">
          <mc:Choice Requires="x14">
            <control shapeId="153604"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153605"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3606" r:id="rId8" name="Group Box 6">
              <controlPr defaultSize="0" autoFill="0" autoPict="0" altText="">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3607" r:id="rId9"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3608" r:id="rId10"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153609" r:id="rId11" name="Option Button 9">
              <controlPr defaultSize="0" autoFill="0" autoLine="0" autoPict="0">
                <anchor moveWithCells="1">
                  <from>
                    <xdr:col>7</xdr:col>
                    <xdr:colOff>106680</xdr:colOff>
                    <xdr:row>11</xdr:row>
                    <xdr:rowOff>304800</xdr:rowOff>
                  </from>
                  <to>
                    <xdr:col>7</xdr:col>
                    <xdr:colOff>1958340</xdr:colOff>
                    <xdr:row>11</xdr:row>
                    <xdr:rowOff>502920</xdr:rowOff>
                  </to>
                </anchor>
              </controlPr>
            </control>
          </mc:Choice>
        </mc:AlternateContent>
        <mc:AlternateContent xmlns:mc="http://schemas.openxmlformats.org/markup-compatibility/2006">
          <mc:Choice Requires="x14">
            <control shapeId="153610" r:id="rId12"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153611" r:id="rId13"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153617" r:id="rId14" name="Option Button 17">
              <controlPr defaultSize="0" autoFill="0" autoLine="0" autoPict="0" altText="Case d'option 47">
                <anchor moveWithCells="1">
                  <from>
                    <xdr:col>7</xdr:col>
                    <xdr:colOff>106680</xdr:colOff>
                    <xdr:row>16</xdr:row>
                    <xdr:rowOff>38100</xdr:rowOff>
                  </from>
                  <to>
                    <xdr:col>7</xdr:col>
                    <xdr:colOff>1501140</xdr:colOff>
                    <xdr:row>16</xdr:row>
                    <xdr:rowOff>228600</xdr:rowOff>
                  </to>
                </anchor>
              </controlPr>
            </control>
          </mc:Choice>
        </mc:AlternateContent>
        <mc:AlternateContent xmlns:mc="http://schemas.openxmlformats.org/markup-compatibility/2006">
          <mc:Choice Requires="x14">
            <control shapeId="153618" r:id="rId15" name="Option Button 18">
              <controlPr defaultSize="0" autoFill="0" autoLine="0" autoPict="0">
                <anchor moveWithCells="1">
                  <from>
                    <xdr:col>7</xdr:col>
                    <xdr:colOff>106680</xdr:colOff>
                    <xdr:row>16</xdr:row>
                    <xdr:rowOff>281940</xdr:rowOff>
                  </from>
                  <to>
                    <xdr:col>8</xdr:col>
                    <xdr:colOff>0</xdr:colOff>
                    <xdr:row>16</xdr:row>
                    <xdr:rowOff>480060</xdr:rowOff>
                  </to>
                </anchor>
              </controlPr>
            </control>
          </mc:Choice>
        </mc:AlternateContent>
        <mc:AlternateContent xmlns:mc="http://schemas.openxmlformats.org/markup-compatibility/2006">
          <mc:Choice Requires="x14">
            <control shapeId="153619" r:id="rId16" name="Option Button 19">
              <controlPr defaultSize="0" autoFill="0" autoLine="0" autoPict="0">
                <anchor moveWithCells="1">
                  <from>
                    <xdr:col>7</xdr:col>
                    <xdr:colOff>106680</xdr:colOff>
                    <xdr:row>16</xdr:row>
                    <xdr:rowOff>556260</xdr:rowOff>
                  </from>
                  <to>
                    <xdr:col>8</xdr:col>
                    <xdr:colOff>0</xdr:colOff>
                    <xdr:row>16</xdr:row>
                    <xdr:rowOff>739140</xdr:rowOff>
                  </to>
                </anchor>
              </controlPr>
            </control>
          </mc:Choice>
        </mc:AlternateContent>
        <mc:AlternateContent xmlns:mc="http://schemas.openxmlformats.org/markup-compatibility/2006">
          <mc:Choice Requires="x14">
            <control shapeId="153620" r:id="rId17" name="Option Button 20">
              <controlPr defaultSize="0" autoFill="0" autoLine="0" autoPict="0">
                <anchor moveWithCells="1">
                  <from>
                    <xdr:col>7</xdr:col>
                    <xdr:colOff>106680</xdr:colOff>
                    <xdr:row>16</xdr:row>
                    <xdr:rowOff>807720</xdr:rowOff>
                  </from>
                  <to>
                    <xdr:col>7</xdr:col>
                    <xdr:colOff>937260</xdr:colOff>
                    <xdr:row>16</xdr:row>
                    <xdr:rowOff>990600</xdr:rowOff>
                  </to>
                </anchor>
              </controlPr>
            </control>
          </mc:Choice>
        </mc:AlternateContent>
        <mc:AlternateContent xmlns:mc="http://schemas.openxmlformats.org/markup-compatibility/2006">
          <mc:Choice Requires="x14">
            <control shapeId="153621" r:id="rId18" name="Group Box 21">
              <controlPr defaultSize="0" autoFill="0" autoPict="0">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3622" r:id="rId19" name="Option Button 22">
              <controlPr defaultSize="0" autoFill="0" autoLine="0" autoPict="0">
                <anchor moveWithCells="1">
                  <from>
                    <xdr:col>7</xdr:col>
                    <xdr:colOff>114300</xdr:colOff>
                    <xdr:row>15</xdr:row>
                    <xdr:rowOff>144780</xdr:rowOff>
                  </from>
                  <to>
                    <xdr:col>7</xdr:col>
                    <xdr:colOff>1950720</xdr:colOff>
                    <xdr:row>15</xdr:row>
                    <xdr:rowOff>312420</xdr:rowOff>
                  </to>
                </anchor>
              </controlPr>
            </control>
          </mc:Choice>
        </mc:AlternateContent>
        <mc:AlternateContent xmlns:mc="http://schemas.openxmlformats.org/markup-compatibility/2006">
          <mc:Choice Requires="x14">
            <control shapeId="153623" r:id="rId20" name="Option Button 23">
              <controlPr defaultSize="0" autoFill="0" autoLine="0" autoPict="0">
                <anchor moveWithCells="1">
                  <from>
                    <xdr:col>7</xdr:col>
                    <xdr:colOff>114300</xdr:colOff>
                    <xdr:row>15</xdr:row>
                    <xdr:rowOff>388620</xdr:rowOff>
                  </from>
                  <to>
                    <xdr:col>7</xdr:col>
                    <xdr:colOff>1950720</xdr:colOff>
                    <xdr:row>15</xdr:row>
                    <xdr:rowOff>579120</xdr:rowOff>
                  </to>
                </anchor>
              </controlPr>
            </control>
          </mc:Choice>
        </mc:AlternateContent>
        <mc:AlternateContent xmlns:mc="http://schemas.openxmlformats.org/markup-compatibility/2006">
          <mc:Choice Requires="x14">
            <control shapeId="153624" r:id="rId21" name="Option Button 24">
              <controlPr defaultSize="0" autoFill="0" autoLine="0" autoPict="0">
                <anchor moveWithCells="1">
                  <from>
                    <xdr:col>7</xdr:col>
                    <xdr:colOff>114300</xdr:colOff>
                    <xdr:row>15</xdr:row>
                    <xdr:rowOff>632460</xdr:rowOff>
                  </from>
                  <to>
                    <xdr:col>7</xdr:col>
                    <xdr:colOff>1950720</xdr:colOff>
                    <xdr:row>15</xdr:row>
                    <xdr:rowOff>815340</xdr:rowOff>
                  </to>
                </anchor>
              </controlPr>
            </control>
          </mc:Choice>
        </mc:AlternateContent>
        <mc:AlternateContent xmlns:mc="http://schemas.openxmlformats.org/markup-compatibility/2006">
          <mc:Choice Requires="x14">
            <control shapeId="153625" r:id="rId22" name="Option Button 25">
              <controlPr defaultSize="0" autoFill="0" autoLine="0" autoPict="0">
                <anchor moveWithCells="1">
                  <from>
                    <xdr:col>7</xdr:col>
                    <xdr:colOff>114300</xdr:colOff>
                    <xdr:row>15</xdr:row>
                    <xdr:rowOff>906780</xdr:rowOff>
                  </from>
                  <to>
                    <xdr:col>7</xdr:col>
                    <xdr:colOff>1950720</xdr:colOff>
                    <xdr:row>15</xdr:row>
                    <xdr:rowOff>1097280</xdr:rowOff>
                  </to>
                </anchor>
              </controlPr>
            </control>
          </mc:Choice>
        </mc:AlternateContent>
        <mc:AlternateContent xmlns:mc="http://schemas.openxmlformats.org/markup-compatibility/2006">
          <mc:Choice Requires="x14">
            <control shapeId="153626" r:id="rId23"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53627" r:id="rId24" name="Option Button 27">
              <controlPr defaultSize="0" autoFill="0" autoLine="0" autoPict="0" altText="Case d'option 47">
                <anchor moveWithCells="1">
                  <from>
                    <xdr:col>7</xdr:col>
                    <xdr:colOff>106680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153628" r:id="rId25" name="Option Button 28">
              <controlPr defaultSize="0" autoFill="0" autoLine="0" autoPict="0">
                <anchor moveWithCells="1">
                  <from>
                    <xdr:col>7</xdr:col>
                    <xdr:colOff>106680</xdr:colOff>
                    <xdr:row>14</xdr:row>
                    <xdr:rowOff>304800</xdr:rowOff>
                  </from>
                  <to>
                    <xdr:col>7</xdr:col>
                    <xdr:colOff>1950720</xdr:colOff>
                    <xdr:row>14</xdr:row>
                    <xdr:rowOff>502920</xdr:rowOff>
                  </to>
                </anchor>
              </controlPr>
            </control>
          </mc:Choice>
        </mc:AlternateContent>
        <mc:AlternateContent xmlns:mc="http://schemas.openxmlformats.org/markup-compatibility/2006">
          <mc:Choice Requires="x14">
            <control shapeId="153629" r:id="rId26" name="Option Button 29">
              <controlPr defaultSize="0" autoFill="0" autoLine="0" autoPict="0">
                <anchor moveWithCells="1">
                  <from>
                    <xdr:col>7</xdr:col>
                    <xdr:colOff>106680</xdr:colOff>
                    <xdr:row>14</xdr:row>
                    <xdr:rowOff>579120</xdr:rowOff>
                  </from>
                  <to>
                    <xdr:col>7</xdr:col>
                    <xdr:colOff>1958340</xdr:colOff>
                    <xdr:row>14</xdr:row>
                    <xdr:rowOff>754380</xdr:rowOff>
                  </to>
                </anchor>
              </controlPr>
            </control>
          </mc:Choice>
        </mc:AlternateContent>
        <mc:AlternateContent xmlns:mc="http://schemas.openxmlformats.org/markup-compatibility/2006">
          <mc:Choice Requires="x14">
            <control shapeId="153630" r:id="rId27" name="Option Button 30">
              <controlPr defaultSize="0" autoFill="0" autoLine="0" autoPict="0">
                <anchor moveWithCells="1">
                  <from>
                    <xdr:col>7</xdr:col>
                    <xdr:colOff>106680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153631" r:id="rId28"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3632" r:id="rId29"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153633" r:id="rId30" name="Option Button 33">
              <controlPr defaultSize="0" autoFill="0" autoLine="0" autoPict="0">
                <anchor moveWithCells="1">
                  <from>
                    <xdr:col>7</xdr:col>
                    <xdr:colOff>106680</xdr:colOff>
                    <xdr:row>13</xdr:row>
                    <xdr:rowOff>304800</xdr:rowOff>
                  </from>
                  <to>
                    <xdr:col>7</xdr:col>
                    <xdr:colOff>1950720</xdr:colOff>
                    <xdr:row>13</xdr:row>
                    <xdr:rowOff>502920</xdr:rowOff>
                  </to>
                </anchor>
              </controlPr>
            </control>
          </mc:Choice>
        </mc:AlternateContent>
        <mc:AlternateContent xmlns:mc="http://schemas.openxmlformats.org/markup-compatibility/2006">
          <mc:Choice Requires="x14">
            <control shapeId="153634" r:id="rId31" name="Option Button 34">
              <controlPr defaultSize="0" autoFill="0" autoLine="0" autoPict="0">
                <anchor moveWithCells="1">
                  <from>
                    <xdr:col>7</xdr:col>
                    <xdr:colOff>106680</xdr:colOff>
                    <xdr:row>13</xdr:row>
                    <xdr:rowOff>579120</xdr:rowOff>
                  </from>
                  <to>
                    <xdr:col>7</xdr:col>
                    <xdr:colOff>1958340</xdr:colOff>
                    <xdr:row>13</xdr:row>
                    <xdr:rowOff>754380</xdr:rowOff>
                  </to>
                </anchor>
              </controlPr>
            </control>
          </mc:Choice>
        </mc:AlternateContent>
        <mc:AlternateContent xmlns:mc="http://schemas.openxmlformats.org/markup-compatibility/2006">
          <mc:Choice Requires="x14">
            <control shapeId="153635" r:id="rId32"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53636" r:id="rId33"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3637" r:id="rId34"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53638" r:id="rId35"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53639" r:id="rId36"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53640" r:id="rId37"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53641" r:id="rId38"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3663" r:id="rId39"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53664" r:id="rId40"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53665" r:id="rId41"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53666" r:id="rId42"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53667" r:id="rId43"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3668" r:id="rId44"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153669" r:id="rId45"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53670" r:id="rId46"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153671" r:id="rId47"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53672" r:id="rId48"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53673" r:id="rId49" name="Option Button 73">
              <controlPr defaultSize="0" autoFill="0" autoLine="0" autoPict="0">
                <anchor moveWithCells="1">
                  <from>
                    <xdr:col>7</xdr:col>
                    <xdr:colOff>114300</xdr:colOff>
                    <xdr:row>44</xdr:row>
                    <xdr:rowOff>144780</xdr:rowOff>
                  </from>
                  <to>
                    <xdr:col>7</xdr:col>
                    <xdr:colOff>1950720</xdr:colOff>
                    <xdr:row>44</xdr:row>
                    <xdr:rowOff>320040</xdr:rowOff>
                  </to>
                </anchor>
              </controlPr>
            </control>
          </mc:Choice>
        </mc:AlternateContent>
        <mc:AlternateContent xmlns:mc="http://schemas.openxmlformats.org/markup-compatibility/2006">
          <mc:Choice Requires="x14">
            <control shapeId="153674" r:id="rId50" name="Option Button 74">
              <controlPr defaultSize="0" autoFill="0" autoLine="0" autoPict="0">
                <anchor moveWithCells="1">
                  <from>
                    <xdr:col>7</xdr:col>
                    <xdr:colOff>114300</xdr:colOff>
                    <xdr:row>44</xdr:row>
                    <xdr:rowOff>396240</xdr:rowOff>
                  </from>
                  <to>
                    <xdr:col>7</xdr:col>
                    <xdr:colOff>1950720</xdr:colOff>
                    <xdr:row>44</xdr:row>
                    <xdr:rowOff>586740</xdr:rowOff>
                  </to>
                </anchor>
              </controlPr>
            </control>
          </mc:Choice>
        </mc:AlternateContent>
        <mc:AlternateContent xmlns:mc="http://schemas.openxmlformats.org/markup-compatibility/2006">
          <mc:Choice Requires="x14">
            <control shapeId="153675" r:id="rId51" name="Option Button 75">
              <controlPr defaultSize="0" autoFill="0" autoLine="0" autoPict="0">
                <anchor moveWithCells="1">
                  <from>
                    <xdr:col>7</xdr:col>
                    <xdr:colOff>114300</xdr:colOff>
                    <xdr:row>44</xdr:row>
                    <xdr:rowOff>640080</xdr:rowOff>
                  </from>
                  <to>
                    <xdr:col>7</xdr:col>
                    <xdr:colOff>1950720</xdr:colOff>
                    <xdr:row>44</xdr:row>
                    <xdr:rowOff>830580</xdr:rowOff>
                  </to>
                </anchor>
              </controlPr>
            </control>
          </mc:Choice>
        </mc:AlternateContent>
        <mc:AlternateContent xmlns:mc="http://schemas.openxmlformats.org/markup-compatibility/2006">
          <mc:Choice Requires="x14">
            <control shapeId="153676" r:id="rId52" name="Option Button 76">
              <controlPr defaultSize="0" autoFill="0" autoLine="0" autoPict="0">
                <anchor moveWithCells="1">
                  <from>
                    <xdr:col>7</xdr:col>
                    <xdr:colOff>114300</xdr:colOff>
                    <xdr:row>44</xdr:row>
                    <xdr:rowOff>922020</xdr:rowOff>
                  </from>
                  <to>
                    <xdr:col>7</xdr:col>
                    <xdr:colOff>1950720</xdr:colOff>
                    <xdr:row>44</xdr:row>
                    <xdr:rowOff>1112520</xdr:rowOff>
                  </to>
                </anchor>
              </controlPr>
            </control>
          </mc:Choice>
        </mc:AlternateContent>
        <mc:AlternateContent xmlns:mc="http://schemas.openxmlformats.org/markup-compatibility/2006">
          <mc:Choice Requires="x14">
            <control shapeId="153677" r:id="rId53"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53678" r:id="rId54"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153679" r:id="rId55" name="Option Button 79">
              <controlPr defaultSize="0" autoFill="0" autoLine="0" autoPict="0">
                <anchor moveWithCells="1">
                  <from>
                    <xdr:col>7</xdr:col>
                    <xdr:colOff>106680</xdr:colOff>
                    <xdr:row>46</xdr:row>
                    <xdr:rowOff>281940</xdr:rowOff>
                  </from>
                  <to>
                    <xdr:col>7</xdr:col>
                    <xdr:colOff>1950720</xdr:colOff>
                    <xdr:row>46</xdr:row>
                    <xdr:rowOff>464820</xdr:rowOff>
                  </to>
                </anchor>
              </controlPr>
            </control>
          </mc:Choice>
        </mc:AlternateContent>
        <mc:AlternateContent xmlns:mc="http://schemas.openxmlformats.org/markup-compatibility/2006">
          <mc:Choice Requires="x14">
            <control shapeId="153680" r:id="rId56" name="Option Button 80">
              <controlPr defaultSize="0" autoFill="0" autoLine="0" autoPict="0">
                <anchor moveWithCells="1">
                  <from>
                    <xdr:col>7</xdr:col>
                    <xdr:colOff>106680</xdr:colOff>
                    <xdr:row>46</xdr:row>
                    <xdr:rowOff>533400</xdr:rowOff>
                  </from>
                  <to>
                    <xdr:col>7</xdr:col>
                    <xdr:colOff>1958340</xdr:colOff>
                    <xdr:row>46</xdr:row>
                    <xdr:rowOff>693420</xdr:rowOff>
                  </to>
                </anchor>
              </controlPr>
            </control>
          </mc:Choice>
        </mc:AlternateContent>
        <mc:AlternateContent xmlns:mc="http://schemas.openxmlformats.org/markup-compatibility/2006">
          <mc:Choice Requires="x14">
            <control shapeId="153681" r:id="rId57"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153682" r:id="rId58"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153683" r:id="rId59"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153684" r:id="rId60"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53685" r:id="rId61"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153686" r:id="rId62"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53687" r:id="rId63"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3688" r:id="rId64"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53689" r:id="rId65"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53690" r:id="rId66"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53691" r:id="rId67"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53692" r:id="rId68"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53693" r:id="rId69"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53694" r:id="rId70"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53695" r:id="rId71"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53696" r:id="rId72"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53697" r:id="rId73"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53709" r:id="rId74"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153710" r:id="rId75"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53711" r:id="rId76"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153712" r:id="rId77"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53713" r:id="rId78"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53719" r:id="rId79"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153720" r:id="rId80"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153721" r:id="rId81"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153722" r:id="rId82"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153723" r:id="rId83"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53724" r:id="rId84"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153725" r:id="rId85"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153726" r:id="rId86"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153727" r:id="rId87"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153728" r:id="rId88"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53729" r:id="rId89" name="Option Button 129">
              <controlPr defaultSize="0" autoFill="0" autoLine="0" autoPict="0">
                <anchor moveWithCells="1">
                  <from>
                    <xdr:col>7</xdr:col>
                    <xdr:colOff>114300</xdr:colOff>
                    <xdr:row>81</xdr:row>
                    <xdr:rowOff>144780</xdr:rowOff>
                  </from>
                  <to>
                    <xdr:col>7</xdr:col>
                    <xdr:colOff>1950720</xdr:colOff>
                    <xdr:row>81</xdr:row>
                    <xdr:rowOff>320040</xdr:rowOff>
                  </to>
                </anchor>
              </controlPr>
            </control>
          </mc:Choice>
        </mc:AlternateContent>
        <mc:AlternateContent xmlns:mc="http://schemas.openxmlformats.org/markup-compatibility/2006">
          <mc:Choice Requires="x14">
            <control shapeId="153730" r:id="rId90" name="Option Button 130">
              <controlPr defaultSize="0" autoFill="0" autoLine="0" autoPict="0">
                <anchor moveWithCells="1">
                  <from>
                    <xdr:col>7</xdr:col>
                    <xdr:colOff>114300</xdr:colOff>
                    <xdr:row>81</xdr:row>
                    <xdr:rowOff>396240</xdr:rowOff>
                  </from>
                  <to>
                    <xdr:col>7</xdr:col>
                    <xdr:colOff>1950720</xdr:colOff>
                    <xdr:row>81</xdr:row>
                    <xdr:rowOff>586740</xdr:rowOff>
                  </to>
                </anchor>
              </controlPr>
            </control>
          </mc:Choice>
        </mc:AlternateContent>
        <mc:AlternateContent xmlns:mc="http://schemas.openxmlformats.org/markup-compatibility/2006">
          <mc:Choice Requires="x14">
            <control shapeId="153731" r:id="rId91" name="Option Button 131">
              <controlPr defaultSize="0" autoFill="0" autoLine="0" autoPict="0">
                <anchor moveWithCells="1">
                  <from>
                    <xdr:col>7</xdr:col>
                    <xdr:colOff>114300</xdr:colOff>
                    <xdr:row>81</xdr:row>
                    <xdr:rowOff>640080</xdr:rowOff>
                  </from>
                  <to>
                    <xdr:col>7</xdr:col>
                    <xdr:colOff>1950720</xdr:colOff>
                    <xdr:row>81</xdr:row>
                    <xdr:rowOff>830580</xdr:rowOff>
                  </to>
                </anchor>
              </controlPr>
            </control>
          </mc:Choice>
        </mc:AlternateContent>
        <mc:AlternateContent xmlns:mc="http://schemas.openxmlformats.org/markup-compatibility/2006">
          <mc:Choice Requires="x14">
            <control shapeId="153732" r:id="rId92" name="Option Button 132">
              <controlPr defaultSize="0" autoFill="0" autoLine="0" autoPict="0">
                <anchor moveWithCells="1">
                  <from>
                    <xdr:col>7</xdr:col>
                    <xdr:colOff>114300</xdr:colOff>
                    <xdr:row>81</xdr:row>
                    <xdr:rowOff>922020</xdr:rowOff>
                  </from>
                  <to>
                    <xdr:col>7</xdr:col>
                    <xdr:colOff>1950720</xdr:colOff>
                    <xdr:row>81</xdr:row>
                    <xdr:rowOff>1112520</xdr:rowOff>
                  </to>
                </anchor>
              </controlPr>
            </control>
          </mc:Choice>
        </mc:AlternateContent>
        <mc:AlternateContent xmlns:mc="http://schemas.openxmlformats.org/markup-compatibility/2006">
          <mc:Choice Requires="x14">
            <control shapeId="153733" r:id="rId93"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153734" r:id="rId94" name="Option Button 134">
              <controlPr defaultSize="0" autoFill="0" autoLine="0" autoPict="0" altText="Case d'option 47">
                <anchor moveWithCells="1">
                  <from>
                    <xdr:col>7</xdr:col>
                    <xdr:colOff>106680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153735" r:id="rId95"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153736" r:id="rId96" name="Option Button 136">
              <controlPr defaultSize="0" autoFill="0" autoLine="0" autoPict="0">
                <anchor moveWithCells="1">
                  <from>
                    <xdr:col>7</xdr:col>
                    <xdr:colOff>106680</xdr:colOff>
                    <xdr:row>80</xdr:row>
                    <xdr:rowOff>579120</xdr:rowOff>
                  </from>
                  <to>
                    <xdr:col>7</xdr:col>
                    <xdr:colOff>1958340</xdr:colOff>
                    <xdr:row>80</xdr:row>
                    <xdr:rowOff>754380</xdr:rowOff>
                  </to>
                </anchor>
              </controlPr>
            </control>
          </mc:Choice>
        </mc:AlternateContent>
        <mc:AlternateContent xmlns:mc="http://schemas.openxmlformats.org/markup-compatibility/2006">
          <mc:Choice Requires="x14">
            <control shapeId="153737" r:id="rId97"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153738" r:id="rId98"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153739" r:id="rId99"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153740" r:id="rId100"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153741" r:id="rId101"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153742" r:id="rId102"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153743" r:id="rId103"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1" r:id="rId104"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24" r:id="rId105"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53747" r:id="rId106"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53748" r:id="rId107"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53749" r:id="rId108"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3755" r:id="rId109"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153756" r:id="rId110" name="Option Button 156">
              <controlPr defaultSize="0" autoFill="0" autoLine="0" autoPict="0">
                <anchor moveWithCells="1">
                  <from>
                    <xdr:col>7</xdr:col>
                    <xdr:colOff>106680</xdr:colOff>
                    <xdr:row>47</xdr:row>
                    <xdr:rowOff>304800</xdr:rowOff>
                  </from>
                  <to>
                    <xdr:col>7</xdr:col>
                    <xdr:colOff>1950720</xdr:colOff>
                    <xdr:row>47</xdr:row>
                    <xdr:rowOff>502920</xdr:rowOff>
                  </to>
                </anchor>
              </controlPr>
            </control>
          </mc:Choice>
        </mc:AlternateContent>
        <mc:AlternateContent xmlns:mc="http://schemas.openxmlformats.org/markup-compatibility/2006">
          <mc:Choice Requires="x14">
            <control shapeId="153757" r:id="rId111" name="Option Button 157">
              <controlPr defaultSize="0" autoFill="0" autoLine="0" autoPict="0">
                <anchor moveWithCells="1">
                  <from>
                    <xdr:col>7</xdr:col>
                    <xdr:colOff>106680</xdr:colOff>
                    <xdr:row>47</xdr:row>
                    <xdr:rowOff>579120</xdr:rowOff>
                  </from>
                  <to>
                    <xdr:col>7</xdr:col>
                    <xdr:colOff>1958340</xdr:colOff>
                    <xdr:row>47</xdr:row>
                    <xdr:rowOff>754380</xdr:rowOff>
                  </to>
                </anchor>
              </controlPr>
            </control>
          </mc:Choice>
        </mc:AlternateContent>
        <mc:AlternateContent xmlns:mc="http://schemas.openxmlformats.org/markup-compatibility/2006">
          <mc:Choice Requires="x14">
            <control shapeId="153758" r:id="rId112"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153759" r:id="rId113"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3765" r:id="rId114" name="Option Button 165">
              <controlPr defaultSize="0" autoFill="0" autoLine="0" autoPict="0">
                <anchor moveWithCells="1">
                  <from>
                    <xdr:col>7</xdr:col>
                    <xdr:colOff>114300</xdr:colOff>
                    <xdr:row>83</xdr:row>
                    <xdr:rowOff>144780</xdr:rowOff>
                  </from>
                  <to>
                    <xdr:col>7</xdr:col>
                    <xdr:colOff>1950720</xdr:colOff>
                    <xdr:row>83</xdr:row>
                    <xdr:rowOff>320040</xdr:rowOff>
                  </to>
                </anchor>
              </controlPr>
            </control>
          </mc:Choice>
        </mc:AlternateContent>
        <mc:AlternateContent xmlns:mc="http://schemas.openxmlformats.org/markup-compatibility/2006">
          <mc:Choice Requires="x14">
            <control shapeId="153766" r:id="rId115" name="Option Button 166">
              <controlPr defaultSize="0" autoFill="0" autoLine="0" autoPict="0">
                <anchor moveWithCells="1">
                  <from>
                    <xdr:col>7</xdr:col>
                    <xdr:colOff>114300</xdr:colOff>
                    <xdr:row>83</xdr:row>
                    <xdr:rowOff>396240</xdr:rowOff>
                  </from>
                  <to>
                    <xdr:col>7</xdr:col>
                    <xdr:colOff>1950720</xdr:colOff>
                    <xdr:row>83</xdr:row>
                    <xdr:rowOff>586740</xdr:rowOff>
                  </to>
                </anchor>
              </controlPr>
            </control>
          </mc:Choice>
        </mc:AlternateContent>
        <mc:AlternateContent xmlns:mc="http://schemas.openxmlformats.org/markup-compatibility/2006">
          <mc:Choice Requires="x14">
            <control shapeId="25" r:id="rId116" name="Option Button 167">
              <controlPr defaultSize="0" autoFill="0" autoLine="0" autoPict="0">
                <anchor moveWithCells="1">
                  <from>
                    <xdr:col>7</xdr:col>
                    <xdr:colOff>114300</xdr:colOff>
                    <xdr:row>83</xdr:row>
                    <xdr:rowOff>640080</xdr:rowOff>
                  </from>
                  <to>
                    <xdr:col>7</xdr:col>
                    <xdr:colOff>1950720</xdr:colOff>
                    <xdr:row>83</xdr:row>
                    <xdr:rowOff>830580</xdr:rowOff>
                  </to>
                </anchor>
              </controlPr>
            </control>
          </mc:Choice>
        </mc:AlternateContent>
        <mc:AlternateContent xmlns:mc="http://schemas.openxmlformats.org/markup-compatibility/2006">
          <mc:Choice Requires="x14">
            <control shapeId="26" r:id="rId117" name="Option Button 168">
              <controlPr defaultSize="0" autoFill="0" autoLine="0" autoPict="0">
                <anchor moveWithCells="1">
                  <from>
                    <xdr:col>7</xdr:col>
                    <xdr:colOff>114300</xdr:colOff>
                    <xdr:row>83</xdr:row>
                    <xdr:rowOff>922020</xdr:rowOff>
                  </from>
                  <to>
                    <xdr:col>7</xdr:col>
                    <xdr:colOff>1950720</xdr:colOff>
                    <xdr:row>83</xdr:row>
                    <xdr:rowOff>1112520</xdr:rowOff>
                  </to>
                </anchor>
              </controlPr>
            </control>
          </mc:Choice>
        </mc:AlternateContent>
        <mc:AlternateContent xmlns:mc="http://schemas.openxmlformats.org/markup-compatibility/2006">
          <mc:Choice Requires="x14">
            <control shapeId="153769" r:id="rId118" name="Group Box 169">
              <controlPr defaultSize="0" autoFill="0" autoPict="0">
                <anchor moveWithCells="1">
                  <from>
                    <xdr:col>7</xdr:col>
                    <xdr:colOff>0</xdr:colOff>
                    <xdr:row>83</xdr:row>
                    <xdr:rowOff>0</xdr:rowOff>
                  </from>
                  <to>
                    <xdr:col>8</xdr:col>
                    <xdr:colOff>0</xdr:colOff>
                    <xdr:row>84</xdr:row>
                    <xdr:rowOff>0</xdr:rowOff>
                  </to>
                </anchor>
              </controlPr>
            </control>
          </mc:Choice>
        </mc:AlternateContent>
        <mc:AlternateContent xmlns:mc="http://schemas.openxmlformats.org/markup-compatibility/2006">
          <mc:Choice Requires="x14">
            <control shapeId="153770" r:id="rId119" name="Option Button 170">
              <controlPr defaultSize="0" autoFill="0" autoLine="0" autoPict="0" altText="Case d'option 47">
                <anchor moveWithCells="1">
                  <from>
                    <xdr:col>7</xdr:col>
                    <xdr:colOff>106680</xdr:colOff>
                    <xdr:row>82</xdr:row>
                    <xdr:rowOff>68580</xdr:rowOff>
                  </from>
                  <to>
                    <xdr:col>7</xdr:col>
                    <xdr:colOff>1501140</xdr:colOff>
                    <xdr:row>82</xdr:row>
                    <xdr:rowOff>259080</xdr:rowOff>
                  </to>
                </anchor>
              </controlPr>
            </control>
          </mc:Choice>
        </mc:AlternateContent>
        <mc:AlternateContent xmlns:mc="http://schemas.openxmlformats.org/markup-compatibility/2006">
          <mc:Choice Requires="x14">
            <control shapeId="153771" r:id="rId120" name="Option Button 171">
              <controlPr defaultSize="0" autoFill="0" autoLine="0" autoPict="0">
                <anchor moveWithCells="1">
                  <from>
                    <xdr:col>7</xdr:col>
                    <xdr:colOff>106680</xdr:colOff>
                    <xdr:row>82</xdr:row>
                    <xdr:rowOff>304800</xdr:rowOff>
                  </from>
                  <to>
                    <xdr:col>7</xdr:col>
                    <xdr:colOff>1950720</xdr:colOff>
                    <xdr:row>82</xdr:row>
                    <xdr:rowOff>502920</xdr:rowOff>
                  </to>
                </anchor>
              </controlPr>
            </control>
          </mc:Choice>
        </mc:AlternateContent>
        <mc:AlternateContent xmlns:mc="http://schemas.openxmlformats.org/markup-compatibility/2006">
          <mc:Choice Requires="x14">
            <control shapeId="153772" r:id="rId121" name="Option Button 172">
              <controlPr defaultSize="0" autoFill="0" autoLine="0" autoPict="0">
                <anchor moveWithCells="1">
                  <from>
                    <xdr:col>7</xdr:col>
                    <xdr:colOff>106680</xdr:colOff>
                    <xdr:row>82</xdr:row>
                    <xdr:rowOff>579120</xdr:rowOff>
                  </from>
                  <to>
                    <xdr:col>7</xdr:col>
                    <xdr:colOff>1958340</xdr:colOff>
                    <xdr:row>82</xdr:row>
                    <xdr:rowOff>754380</xdr:rowOff>
                  </to>
                </anchor>
              </controlPr>
            </control>
          </mc:Choice>
        </mc:AlternateContent>
        <mc:AlternateContent xmlns:mc="http://schemas.openxmlformats.org/markup-compatibility/2006">
          <mc:Choice Requires="x14">
            <control shapeId="153773" r:id="rId122" name="Option Button 173">
              <controlPr defaultSize="0" autoFill="0" autoLine="0" autoPict="0">
                <anchor moveWithCells="1">
                  <from>
                    <xdr:col>7</xdr:col>
                    <xdr:colOff>106680</xdr:colOff>
                    <xdr:row>82</xdr:row>
                    <xdr:rowOff>822960</xdr:rowOff>
                  </from>
                  <to>
                    <xdr:col>7</xdr:col>
                    <xdr:colOff>937260</xdr:colOff>
                    <xdr:row>82</xdr:row>
                    <xdr:rowOff>1005840</xdr:rowOff>
                  </to>
                </anchor>
              </controlPr>
            </control>
          </mc:Choice>
        </mc:AlternateContent>
        <mc:AlternateContent xmlns:mc="http://schemas.openxmlformats.org/markup-compatibility/2006">
          <mc:Choice Requires="x14">
            <control shapeId="153774" r:id="rId123" name="Group Box 174">
              <controlPr defaultSize="0" autoFill="0" autoPict="0">
                <anchor moveWithCells="1">
                  <from>
                    <xdr:col>7</xdr:col>
                    <xdr:colOff>0</xdr:colOff>
                    <xdr:row>82</xdr:row>
                    <xdr:rowOff>0</xdr:rowOff>
                  </from>
                  <to>
                    <xdr:col>8</xdr:col>
                    <xdr:colOff>0</xdr:colOff>
                    <xdr:row>83</xdr:row>
                    <xdr:rowOff>0</xdr:rowOff>
                  </to>
                </anchor>
              </controlPr>
            </control>
          </mc:Choice>
        </mc:AlternateContent>
        <mc:AlternateContent xmlns:mc="http://schemas.openxmlformats.org/markup-compatibility/2006">
          <mc:Choice Requires="x14">
            <control shapeId="153845" r:id="rId124" name="Option Button 245">
              <controlPr defaultSize="0" autoFill="0" autoLine="0" autoPict="0" altText="Case d'option 47">
                <anchor moveWithCells="1">
                  <from>
                    <xdr:col>7</xdr:col>
                    <xdr:colOff>106680</xdr:colOff>
                    <xdr:row>48</xdr:row>
                    <xdr:rowOff>60960</xdr:rowOff>
                  </from>
                  <to>
                    <xdr:col>7</xdr:col>
                    <xdr:colOff>1501140</xdr:colOff>
                    <xdr:row>48</xdr:row>
                    <xdr:rowOff>236220</xdr:rowOff>
                  </to>
                </anchor>
              </controlPr>
            </control>
          </mc:Choice>
        </mc:AlternateContent>
        <mc:AlternateContent xmlns:mc="http://schemas.openxmlformats.org/markup-compatibility/2006">
          <mc:Choice Requires="x14">
            <control shapeId="153846" r:id="rId125" name="Option Button 246">
              <controlPr defaultSize="0" autoFill="0" autoLine="0" autoPict="0">
                <anchor moveWithCells="1">
                  <from>
                    <xdr:col>7</xdr:col>
                    <xdr:colOff>106680</xdr:colOff>
                    <xdr:row>48</xdr:row>
                    <xdr:rowOff>281940</xdr:rowOff>
                  </from>
                  <to>
                    <xdr:col>7</xdr:col>
                    <xdr:colOff>1950720</xdr:colOff>
                    <xdr:row>48</xdr:row>
                    <xdr:rowOff>464820</xdr:rowOff>
                  </to>
                </anchor>
              </controlPr>
            </control>
          </mc:Choice>
        </mc:AlternateContent>
        <mc:AlternateContent xmlns:mc="http://schemas.openxmlformats.org/markup-compatibility/2006">
          <mc:Choice Requires="x14">
            <control shapeId="153847" r:id="rId126" name="Option Button 247">
              <controlPr defaultSize="0" autoFill="0" autoLine="0" autoPict="0">
                <anchor moveWithCells="1">
                  <from>
                    <xdr:col>7</xdr:col>
                    <xdr:colOff>106680</xdr:colOff>
                    <xdr:row>48</xdr:row>
                    <xdr:rowOff>533400</xdr:rowOff>
                  </from>
                  <to>
                    <xdr:col>7</xdr:col>
                    <xdr:colOff>1958340</xdr:colOff>
                    <xdr:row>48</xdr:row>
                    <xdr:rowOff>693420</xdr:rowOff>
                  </to>
                </anchor>
              </controlPr>
            </control>
          </mc:Choice>
        </mc:AlternateContent>
        <mc:AlternateContent xmlns:mc="http://schemas.openxmlformats.org/markup-compatibility/2006">
          <mc:Choice Requires="x14">
            <control shapeId="153848" r:id="rId127" name="Option Button 248">
              <controlPr defaultSize="0" autoFill="0" autoLine="0" autoPict="0">
                <anchor moveWithCells="1">
                  <from>
                    <xdr:col>7</xdr:col>
                    <xdr:colOff>106680</xdr:colOff>
                    <xdr:row>48</xdr:row>
                    <xdr:rowOff>762000</xdr:rowOff>
                  </from>
                  <to>
                    <xdr:col>7</xdr:col>
                    <xdr:colOff>937260</xdr:colOff>
                    <xdr:row>48</xdr:row>
                    <xdr:rowOff>929640</xdr:rowOff>
                  </to>
                </anchor>
              </controlPr>
            </control>
          </mc:Choice>
        </mc:AlternateContent>
        <mc:AlternateContent xmlns:mc="http://schemas.openxmlformats.org/markup-compatibility/2006">
          <mc:Choice Requires="x14">
            <control shapeId="153849" r:id="rId128" name="Group Box 249">
              <controlPr defaultSize="0" autoFill="0" autoPict="0">
                <anchor moveWithCells="1">
                  <from>
                    <xdr:col>7</xdr:col>
                    <xdr:colOff>0</xdr:colOff>
                    <xdr:row>47</xdr:row>
                    <xdr:rowOff>1645920</xdr:rowOff>
                  </from>
                  <to>
                    <xdr:col>8</xdr:col>
                    <xdr:colOff>0</xdr:colOff>
                    <xdr:row>49</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21764-DCD3-4054-8BC0-3C18D080EEEB}">
  <sheetPr codeName="Feuil35">
    <tabColor rgb="FF1C3D79"/>
  </sheetPr>
  <dimension ref="A1:AI61"/>
  <sheetViews>
    <sheetView showGridLines="0" showRowColHeaders="0" zoomScale="52" zoomScaleNormal="52" workbookViewId="0">
      <selection activeCell="AY6" sqref="AY6"/>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307"/>
      <c r="B1" s="299" t="s">
        <v>566</v>
      </c>
      <c r="C1" s="307"/>
      <c r="D1" s="307"/>
      <c r="E1" s="300"/>
      <c r="F1" s="300"/>
      <c r="G1" s="300"/>
      <c r="H1" s="300"/>
      <c r="I1" s="300"/>
      <c r="J1" s="308"/>
      <c r="K1" s="309"/>
      <c r="L1" s="300"/>
      <c r="M1" s="300"/>
      <c r="N1" s="310"/>
      <c r="O1" s="310"/>
      <c r="P1" s="310"/>
      <c r="Q1" s="310" t="str">
        <f>VLOOKUP($E$27,BDD!$A$2:$N$567,3,FALSE)</f>
        <v>Services</v>
      </c>
      <c r="R1" s="298"/>
      <c r="S1" s="312"/>
      <c r="T1" s="312"/>
      <c r="U1" s="312"/>
      <c r="V1" s="312"/>
      <c r="W1" s="312"/>
      <c r="X1" s="312"/>
      <c r="Y1" s="312"/>
      <c r="Z1" s="312"/>
      <c r="AA1" s="312"/>
      <c r="AB1" s="312"/>
      <c r="AC1" s="312"/>
      <c r="AD1" s="312"/>
      <c r="AE1" s="312"/>
      <c r="AF1" s="312"/>
      <c r="AG1" s="312"/>
      <c r="AH1" s="312"/>
      <c r="AI1" s="30"/>
    </row>
    <row r="2" spans="1:35" ht="45" customHeight="1" x14ac:dyDescent="0.3">
      <c r="A2" s="298"/>
      <c r="B2" s="298"/>
      <c r="C2" s="298"/>
      <c r="D2" s="298"/>
      <c r="E2" s="298"/>
      <c r="F2" s="298"/>
      <c r="G2" s="298"/>
      <c r="H2" s="298"/>
      <c r="I2" s="298"/>
      <c r="J2" s="298"/>
      <c r="K2" s="298"/>
      <c r="L2" s="298"/>
      <c r="M2" s="298"/>
      <c r="N2" s="303"/>
      <c r="O2" s="303"/>
      <c r="P2" s="303"/>
      <c r="Q2" s="303" t="str">
        <f>VLOOKUP($E$27,BDD!$A$2:$N$567,4,FALSE)</f>
        <v>Proposer des services conformes aux attentes des clients</v>
      </c>
      <c r="R2" s="298"/>
      <c r="S2" s="313"/>
      <c r="T2" s="313"/>
      <c r="U2" s="313"/>
      <c r="V2" s="313"/>
      <c r="W2" s="313"/>
      <c r="X2" s="313"/>
      <c r="Y2" s="313"/>
      <c r="Z2" s="313"/>
      <c r="AA2" s="313"/>
      <c r="AB2" s="313"/>
      <c r="AC2" s="313"/>
      <c r="AD2" s="313"/>
      <c r="AE2" s="313"/>
      <c r="AF2" s="313"/>
      <c r="AG2" s="313"/>
      <c r="AH2" s="313"/>
      <c r="AI2" s="30"/>
    </row>
    <row r="3" spans="1:35" ht="45" customHeight="1" thickBot="1" x14ac:dyDescent="0.35">
      <c r="A3" s="311"/>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311"/>
      <c r="AI3" s="30"/>
    </row>
    <row r="4" spans="1:35" ht="26.4" thickBot="1" x14ac:dyDescent="0.55000000000000004">
      <c r="A4" s="311"/>
      <c r="B4" s="30"/>
      <c r="C4" s="30"/>
      <c r="D4" s="30"/>
      <c r="E4" s="30"/>
      <c r="F4" s="30"/>
      <c r="G4" s="36" t="s">
        <v>1</v>
      </c>
      <c r="H4" s="34"/>
      <c r="I4" s="32"/>
      <c r="J4" s="34"/>
      <c r="K4" s="34"/>
      <c r="L4" s="34"/>
      <c r="M4" s="34"/>
      <c r="N4" s="30"/>
      <c r="O4" s="30"/>
      <c r="P4" s="30"/>
      <c r="Q4" s="30"/>
      <c r="R4" s="30"/>
      <c r="S4" s="30"/>
      <c r="T4" s="30"/>
      <c r="U4" s="30"/>
      <c r="V4" s="30"/>
      <c r="W4" s="108" t="s">
        <v>0</v>
      </c>
      <c r="X4" s="30"/>
      <c r="Y4" s="30"/>
      <c r="Z4" s="30"/>
      <c r="AA4" s="417"/>
      <c r="AB4" s="418" t="s">
        <v>1079</v>
      </c>
      <c r="AC4" s="30"/>
      <c r="AD4" s="30"/>
      <c r="AE4" s="30"/>
      <c r="AF4" s="35"/>
      <c r="AG4" s="35"/>
      <c r="AH4" s="315"/>
      <c r="AI4" s="30"/>
    </row>
    <row r="5" spans="1:35" ht="30" customHeight="1" thickBot="1" x14ac:dyDescent="0.35">
      <c r="A5" s="311"/>
      <c r="B5" s="30"/>
      <c r="C5" s="30"/>
      <c r="D5" s="30"/>
      <c r="E5" s="30" t="str">
        <f>$C$25&amp;"11"</f>
        <v>911</v>
      </c>
      <c r="F5" s="30"/>
      <c r="G5" s="196" t="str">
        <f>IF(VLOOKUP(E5,BDD!$A$2:$N$567,13,FALSE)=0,"",VLOOKUP(E5,BDD!$A$2:$N$567,13,FALSE))</f>
        <v xml:space="preserve">Répondre aux besoins des métiers en prenant en compte l'ensemble des défis et des contraintes de l'entreprise (réglementaires, budgétaires, RSE, etc.). </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311"/>
      <c r="AI5" s="30"/>
    </row>
    <row r="6" spans="1:35" ht="30" customHeight="1" x14ac:dyDescent="0.3">
      <c r="A6" s="314"/>
      <c r="B6" s="38"/>
      <c r="C6" s="38"/>
      <c r="D6" s="38"/>
      <c r="E6" s="30" t="str">
        <f>$C$25&amp;"12"</f>
        <v>912</v>
      </c>
      <c r="F6" s="38"/>
      <c r="G6" s="196" t="str">
        <f>IF(VLOOKUP(E6,BDD!$A$2:$N$567,13,FALSE)=0,"",VLOOKUP(E6,BDD!$A$2:$N$567,13,FALSE))</f>
        <v>Anticiper l’évolution des besoins et des usages des clients ou des utilisateurs et proposer une offre de services adaptée.</v>
      </c>
      <c r="H6" s="39"/>
      <c r="I6" s="32"/>
      <c r="J6" s="31" t="s">
        <v>164</v>
      </c>
      <c r="K6" s="39"/>
      <c r="L6" s="505"/>
      <c r="M6" s="506"/>
      <c r="N6" s="507"/>
      <c r="O6" s="508"/>
      <c r="P6" s="508"/>
      <c r="Q6" s="508"/>
      <c r="R6" s="508"/>
      <c r="S6" s="508"/>
      <c r="T6" s="508"/>
      <c r="U6" s="508"/>
      <c r="V6" s="508"/>
      <c r="W6" s="508"/>
      <c r="X6" s="508"/>
      <c r="Y6" s="508"/>
      <c r="Z6" s="508"/>
      <c r="AA6" s="508"/>
      <c r="AB6" s="509"/>
      <c r="AC6" s="35"/>
      <c r="AD6" s="35"/>
      <c r="AE6" s="35"/>
      <c r="AF6" s="32"/>
      <c r="AG6" s="32"/>
      <c r="AH6" s="316"/>
      <c r="AI6" s="38"/>
    </row>
    <row r="7" spans="1:35" ht="31.8" thickBot="1" x14ac:dyDescent="0.35">
      <c r="A7" s="314"/>
      <c r="B7" s="38"/>
      <c r="C7" s="38"/>
      <c r="D7" s="38"/>
      <c r="E7" s="30" t="str">
        <f>$C$25&amp;"13"</f>
        <v>913</v>
      </c>
      <c r="F7" s="38"/>
      <c r="G7" s="196" t="str">
        <f>IF(VLOOKUP(E7,BDD!$A$2:$N$567,13,FALSE)=0,"",VLOOKUP(E7,BDD!$A$2:$N$567,13,FALSE))</f>
        <v/>
      </c>
      <c r="H7" s="39"/>
      <c r="I7" s="32"/>
      <c r="K7" s="39"/>
      <c r="L7" s="510"/>
      <c r="M7" s="511"/>
      <c r="N7" s="420" t="s">
        <v>2</v>
      </c>
      <c r="O7" s="421" t="s">
        <v>3</v>
      </c>
      <c r="P7" s="421" t="s">
        <v>4</v>
      </c>
      <c r="Q7" s="421" t="s">
        <v>5</v>
      </c>
      <c r="R7" s="421" t="s">
        <v>6</v>
      </c>
      <c r="S7" s="421" t="s">
        <v>7</v>
      </c>
      <c r="T7" s="421" t="s">
        <v>8</v>
      </c>
      <c r="U7" s="421" t="s">
        <v>9</v>
      </c>
      <c r="V7" s="512"/>
      <c r="W7" s="460" t="s">
        <v>10</v>
      </c>
      <c r="X7" s="461" t="s">
        <v>11</v>
      </c>
      <c r="Y7" s="513"/>
      <c r="Z7" s="463" t="s">
        <v>12</v>
      </c>
      <c r="AA7" s="464" t="s">
        <v>13</v>
      </c>
      <c r="AB7" s="514"/>
      <c r="AC7" s="40"/>
      <c r="AD7" s="637" t="s">
        <v>14</v>
      </c>
      <c r="AE7" s="41" t="s">
        <v>15</v>
      </c>
      <c r="AF7" s="32"/>
      <c r="AG7" s="32"/>
      <c r="AH7" s="316"/>
      <c r="AI7" s="38"/>
    </row>
    <row r="8" spans="1:35" ht="41.4" x14ac:dyDescent="0.3">
      <c r="A8" s="314"/>
      <c r="B8" s="38"/>
      <c r="C8" s="38"/>
      <c r="D8" s="38"/>
      <c r="E8" s="30" t="str">
        <f>$C$25&amp;"14"</f>
        <v>914</v>
      </c>
      <c r="F8" s="38"/>
      <c r="G8" s="196" t="str">
        <f>IF(VLOOKUP(E8,BDD!$A$2:$N$567,13,FALSE)=0,"",VLOOKUP(E8,BDD!$A$2:$N$567,13,FALSE))</f>
        <v/>
      </c>
      <c r="H8" s="39"/>
      <c r="I8" s="32"/>
      <c r="K8" s="39"/>
      <c r="L8" s="510"/>
      <c r="M8" s="419" t="str">
        <f>IF(LEFT(RIGHT($B$1,2),1)=" ",RIGHT($B$1,1),RIGHT($B$1,2))&amp;1</f>
        <v>91</v>
      </c>
      <c r="N8" s="422" t="str">
        <f>RIGHT(M8,1)&amp;" : "&amp;VLOOKUP($M8&amp;"1",BDD!$A$2:$N$567,6,FALSE)</f>
        <v>1 : Offre de service SI</v>
      </c>
      <c r="O8" s="423" t="str">
        <f>IF(VLOOKUP($M8&amp;RIGHT(O$7,1),BDD!$A$1:$S$600,15,FALSE)=4,"NE",IF(VLOOKUP($M8&amp;RIGHT(O$7,1),BDD!$A$1:$S$600,15,FALSE)=0,"NE",VLOOKUP($M8&amp;RIGHT(O$7,1),BDD!$A$1:$S$600,15,FALSE)))</f>
        <v>NE</v>
      </c>
      <c r="P8" s="423" t="str">
        <f>IF(VLOOKUP($M8&amp;RIGHT(P$7,1),BDD!$A$1:$S$600,15,FALSE)=4,"NE",IF(VLOOKUP($M8&amp;RIGHT(P$7,1),BDD!$A$1:$S$600,15,FALSE)=0,"NE",VLOOKUP($M8&amp;RIGHT(P$7,1),BDD!$A$1:$S$600,15,FALSE)))</f>
        <v>NE</v>
      </c>
      <c r="Q8" s="423" t="str">
        <f>IF(VLOOKUP($M8&amp;RIGHT(Q$7,1),BDD!$A$1:$S$600,15,FALSE)=4,"NE",IF(VLOOKUP($M8&amp;RIGHT(Q$7,1),BDD!$A$1:$S$600,15,FALSE)=0,"NE",VLOOKUP($M8&amp;RIGHT(Q$7,1),BDD!$A$1:$S$600,15,FALSE)))</f>
        <v>NE</v>
      </c>
      <c r="R8" s="423" t="str">
        <f>IF(VLOOKUP($M8&amp;RIGHT(R$7,1),BDD!$A$1:$S$600,15,FALSE)=4,"NE",IF(VLOOKUP($M8&amp;RIGHT(R$7,1),BDD!$A$1:$S$600,15,FALSE)=0,"NE",VLOOKUP($M8&amp;RIGHT(R$7,1),BDD!$A$1:$S$600,15,FALSE)))</f>
        <v>NE</v>
      </c>
      <c r="S8" s="423" t="str">
        <f>IF(VLOOKUP($M8&amp;RIGHT(S$7,1),BDD!$A$1:$S$600,15,FALSE)=4,"NE",IF(VLOOKUP($M8&amp;RIGHT(S$7,1),BDD!$A$1:$S$600,15,FALSE)=0,"NE",VLOOKUP($M8&amp;RIGHT(S$7,1),BDD!$A$1:$S$600,15,FALSE)))</f>
        <v>NE</v>
      </c>
      <c r="T8" s="423" t="str">
        <f>IF(VLOOKUP($M8&amp;RIGHT(T$7,1),BDD!$A$1:$S$600,15,FALSE)=4,"NE",IF(VLOOKUP($M8&amp;RIGHT(T$7,1),BDD!$A$1:$S$600,15,FALSE)=0,"NE",VLOOKUP($M8&amp;RIGHT(T$7,1),BDD!$A$1:$S$600,15,FALSE)))</f>
        <v>NE</v>
      </c>
      <c r="U8" s="475"/>
      <c r="V8" s="512"/>
      <c r="W8" s="441" t="s">
        <v>16</v>
      </c>
      <c r="X8" s="442"/>
      <c r="Y8" s="515"/>
      <c r="Z8" s="468">
        <f>O25</f>
        <v>0</v>
      </c>
      <c r="AA8" s="469">
        <f>S25</f>
        <v>0</v>
      </c>
      <c r="AB8" s="514"/>
      <c r="AC8" s="40"/>
      <c r="AD8" s="638"/>
      <c r="AE8" s="44" t="s">
        <v>17</v>
      </c>
      <c r="AF8" s="32"/>
      <c r="AG8" s="32"/>
      <c r="AH8" s="316"/>
      <c r="AI8" s="38"/>
    </row>
    <row r="9" spans="1:35" ht="30" customHeight="1" x14ac:dyDescent="0.3">
      <c r="A9" s="314"/>
      <c r="B9" s="38"/>
      <c r="C9" s="38"/>
      <c r="D9" s="38"/>
      <c r="E9" s="30" t="str">
        <f>$C$25&amp;"15"</f>
        <v>915</v>
      </c>
      <c r="F9" s="38"/>
      <c r="G9" s="196" t="str">
        <f>IF(VLOOKUP(E9,BDD!$A$2:$N$567,13,FALSE)=0,"",VLOOKUP(E9,BDD!$A$2:$N$567,13,FALSE))</f>
        <v/>
      </c>
      <c r="H9" s="39"/>
      <c r="I9" s="32"/>
      <c r="K9" s="39"/>
      <c r="L9" s="510"/>
      <c r="M9" s="419" t="str">
        <f>IF(LEFT(RIGHT($B$1,2),1)=" ",RIGHT($B$1,1),RIGHT($B$1,2))&amp;2</f>
        <v>92</v>
      </c>
      <c r="N9" s="424" t="str">
        <f>RIGHT(M9,1)&amp;" : "&amp;VLOOKUP($M9&amp;"1",BDD!$A$2:$N$567,6,FALSE)</f>
        <v>2 : Demande client</v>
      </c>
      <c r="O9" s="425" t="str">
        <f>IF(VLOOKUP($M9&amp;RIGHT(O$7,1),BDD!$A$1:$S$600,15,FALSE)=4,"NE",IF(VLOOKUP($M9&amp;RIGHT(O$7,1),BDD!$A$1:$S$600,15,FALSE)=0,"NE",VLOOKUP($M9&amp;RIGHT(O$7,1),BDD!$A$1:$S$600,15,FALSE)))</f>
        <v>NE</v>
      </c>
      <c r="P9" s="425" t="str">
        <f>IF(VLOOKUP($M9&amp;RIGHT(P$7,1),BDD!$A$1:$S$600,15,FALSE)=4,"NE",IF(VLOOKUP($M9&amp;RIGHT(P$7,1),BDD!$A$1:$S$600,15,FALSE)=0,"NE",VLOOKUP($M9&amp;RIGHT(P$7,1),BDD!$A$1:$S$600,15,FALSE)))</f>
        <v>NE</v>
      </c>
      <c r="Q9" s="425" t="str">
        <f>IF(VLOOKUP($M9&amp;RIGHT(Q$7,1),BDD!$A$1:$S$600,15,FALSE)=4,"NE",IF(VLOOKUP($M9&amp;RIGHT(Q$7,1),BDD!$A$1:$S$600,15,FALSE)=0,"NE",VLOOKUP($M9&amp;RIGHT(Q$7,1),BDD!$A$1:$S$600,15,FALSE)))</f>
        <v>NE</v>
      </c>
      <c r="R9" s="426"/>
      <c r="S9" s="426"/>
      <c r="T9" s="426"/>
      <c r="U9" s="427"/>
      <c r="V9" s="512"/>
      <c r="W9" s="443" t="s">
        <v>16</v>
      </c>
      <c r="X9" s="444"/>
      <c r="Y9" s="516"/>
      <c r="Z9" s="472">
        <f>O33</f>
        <v>0</v>
      </c>
      <c r="AA9" s="473">
        <f>S33</f>
        <v>0</v>
      </c>
      <c r="AB9" s="514"/>
      <c r="AC9" s="40"/>
      <c r="AD9" s="638"/>
      <c r="AE9" s="48" t="s">
        <v>18</v>
      </c>
      <c r="AF9" s="32"/>
      <c r="AG9" s="32"/>
      <c r="AH9" s="316"/>
      <c r="AI9" s="38"/>
    </row>
    <row r="10" spans="1:35" ht="30" customHeight="1" x14ac:dyDescent="0.3">
      <c r="A10" s="314"/>
      <c r="B10" s="38"/>
      <c r="C10" s="38"/>
      <c r="D10" s="38"/>
      <c r="E10" s="30" t="str">
        <f>$C$25&amp;"16"</f>
        <v>916</v>
      </c>
      <c r="F10" s="38"/>
      <c r="G10" s="243" t="str">
        <f>IF(VLOOKUP(E10,BDD!$A$2:$N$567,13,FALSE)=0,"",VLOOKUP(E10,BDD!$A$2:$N$567,13,FALSE))</f>
        <v/>
      </c>
      <c r="H10" s="39"/>
      <c r="I10" s="32"/>
      <c r="K10" s="39"/>
      <c r="L10" s="510"/>
      <c r="M10" s="419" t="str">
        <f>IF(LEFT(RIGHT($B$1,2),1)=" ",RIGHT($B$1,1),RIGHT($B$1,2))&amp;3</f>
        <v>93</v>
      </c>
      <c r="N10" s="422" t="str">
        <f>RIGHT(M10,1)&amp;" : "&amp;VLOOKUP($M10&amp;"1",BDD!$A$2:$N$567,6,FALSE)</f>
        <v>3 : Contrats de services</v>
      </c>
      <c r="O10" s="423" t="str">
        <f>IF(VLOOKUP($M10&amp;RIGHT(O$7,1),BDD!$A$1:$S$600,15,FALSE)=4,"NE",IF(VLOOKUP($M10&amp;RIGHT(O$7,1),BDD!$A$1:$S$600,15,FALSE)=0,"NE",VLOOKUP($M10&amp;RIGHT(O$7,1),BDD!$A$1:$S$600,15,FALSE)))</f>
        <v>NE</v>
      </c>
      <c r="P10" s="423" t="str">
        <f>IF(VLOOKUP($M10&amp;RIGHT(P$7,1),BDD!$A$1:$S$600,15,FALSE)=4,"NE",IF(VLOOKUP($M10&amp;RIGHT(P$7,1),BDD!$A$1:$S$600,15,FALSE)=0,"NE",VLOOKUP($M10&amp;RIGHT(P$7,1),BDD!$A$1:$S$600,15,FALSE)))</f>
        <v>NE</v>
      </c>
      <c r="Q10" s="423" t="str">
        <f>IF(VLOOKUP($M10&amp;RIGHT(Q$7,1),BDD!$A$1:$S$600,15,FALSE)=4,"NE",IF(VLOOKUP($M10&amp;RIGHT(Q$7,1),BDD!$A$1:$S$600,15,FALSE)=0,"NE",VLOOKUP($M10&amp;RIGHT(Q$7,1),BDD!$A$1:$S$600,15,FALSE)))</f>
        <v>NE</v>
      </c>
      <c r="R10" s="428" t="str">
        <f>IF(VLOOKUP($M10&amp;RIGHT(R$7,1),BDD!$A$1:$S$600,15,FALSE)=4,"NE",IF(VLOOKUP($M10&amp;RIGHT(R$7,1),BDD!$A$1:$S$600,15,FALSE)=0,"NE",VLOOKUP($M10&amp;RIGHT(R$7,1),BDD!$A$1:$S$600,15,FALSE)))</f>
        <v>NE</v>
      </c>
      <c r="S10" s="423" t="str">
        <f>IF(VLOOKUP($M10&amp;RIGHT(S$7,1),BDD!$A$1:$S$600,15,FALSE)=4,"NE",IF(VLOOKUP($M10&amp;RIGHT(S$7,1),BDD!$A$1:$S$600,15,FALSE)=0,"NE",VLOOKUP($M10&amp;RIGHT(S$7,1),BDD!$A$1:$S$600,15,FALSE)))</f>
        <v>NE</v>
      </c>
      <c r="T10" s="423" t="str">
        <f>IF(VLOOKUP($M10&amp;RIGHT(T$7,1),BDD!$A$1:$S$600,15,FALSE)=4,"NE",IF(VLOOKUP($M10&amp;RIGHT(T$7,1),BDD!$A$1:$S$600,15,FALSE)=0,"NE",VLOOKUP($M10&amp;RIGHT(T$7,1),BDD!$A$1:$S$600,15,FALSE)))</f>
        <v>NE</v>
      </c>
      <c r="U10" s="430"/>
      <c r="V10" s="512"/>
      <c r="W10" s="445" t="s">
        <v>16</v>
      </c>
      <c r="X10" s="446"/>
      <c r="Y10" s="515"/>
      <c r="Z10" s="468">
        <f>O38</f>
        <v>0</v>
      </c>
      <c r="AA10" s="469">
        <f>S38</f>
        <v>0</v>
      </c>
      <c r="AB10" s="514"/>
      <c r="AC10" s="40"/>
      <c r="AD10" s="638"/>
      <c r="AE10" s="53" t="s">
        <v>19</v>
      </c>
      <c r="AF10" s="51"/>
      <c r="AG10" s="52"/>
      <c r="AH10" s="317"/>
      <c r="AI10" s="38"/>
    </row>
    <row r="11" spans="1:35" ht="30" customHeight="1" x14ac:dyDescent="0.3">
      <c r="A11" s="311"/>
      <c r="B11" s="30"/>
      <c r="C11" s="30"/>
      <c r="D11" s="30"/>
      <c r="E11" s="30" t="str">
        <f>$C$25&amp;"17"</f>
        <v>917</v>
      </c>
      <c r="F11" s="30"/>
      <c r="G11" s="31" t="str">
        <f>IF(VLOOKUP(E11,BDD!$A$2:$N$567,13,FALSE)=0,"",VLOOKUP(E11,BDD!$A$2:$N$567,13,FALSE))</f>
        <v/>
      </c>
      <c r="H11" s="52"/>
      <c r="I11" s="32"/>
      <c r="K11" s="52"/>
      <c r="L11" s="517"/>
      <c r="M11" s="419" t="str">
        <f>IF(LEFT(RIGHT($B$1,2),1)=" ",RIGHT($B$1,1),RIGHT($B$1,2))&amp;4</f>
        <v>94</v>
      </c>
      <c r="N11" s="424" t="str">
        <f>RIGHT(M11,1)&amp;" : "&amp;VLOOKUP($M11&amp;"1",BDD!$A$2:$N$567,6,FALSE)</f>
        <v>4 : Activité de production</v>
      </c>
      <c r="O11" s="425" t="str">
        <f>IF(VLOOKUP($M11&amp;RIGHT(O$7,1),BDD!$A$1:$S$600,15,FALSE)=4,"NE",IF(VLOOKUP($M11&amp;RIGHT(O$7,1),BDD!$A$1:$S$600,15,FALSE)=0,"NE",VLOOKUP($M11&amp;RIGHT(O$7,1),BDD!$A$1:$S$600,15,FALSE)))</f>
        <v>NE</v>
      </c>
      <c r="P11" s="425" t="str">
        <f>IF(VLOOKUP($M11&amp;RIGHT(P$7,1),BDD!$A$1:$S$600,15,FALSE)=4,"NE",IF(VLOOKUP($M11&amp;RIGHT(P$7,1),BDD!$A$1:$S$600,15,FALSE)=0,"NE",VLOOKUP($M11&amp;RIGHT(P$7,1),BDD!$A$1:$S$600,15,FALSE)))</f>
        <v>NE</v>
      </c>
      <c r="Q11" s="425" t="str">
        <f>IF(VLOOKUP($M11&amp;RIGHT(Q$7,1),BDD!$A$1:$S$600,15,FALSE)=4,"NE",IF(VLOOKUP($M11&amp;RIGHT(Q$7,1),BDD!$A$1:$S$600,15,FALSE)=0,"NE",VLOOKUP($M11&amp;RIGHT(Q$7,1),BDD!$A$1:$S$600,15,FALSE)))</f>
        <v>NE</v>
      </c>
      <c r="R11" s="426"/>
      <c r="S11" s="426"/>
      <c r="T11" s="426"/>
      <c r="U11" s="427"/>
      <c r="V11" s="512"/>
      <c r="W11" s="443" t="s">
        <v>16</v>
      </c>
      <c r="X11" s="444"/>
      <c r="Y11" s="515"/>
      <c r="Z11" s="472">
        <f>O46</f>
        <v>0</v>
      </c>
      <c r="AA11" s="473">
        <f>S46</f>
        <v>0</v>
      </c>
      <c r="AB11" s="514"/>
      <c r="AC11" s="40"/>
      <c r="AD11" s="212"/>
      <c r="AF11" s="51"/>
      <c r="AG11" s="52"/>
      <c r="AH11" s="317"/>
      <c r="AI11" s="30"/>
    </row>
    <row r="12" spans="1:35" ht="30" customHeight="1" thickBot="1" x14ac:dyDescent="0.35">
      <c r="A12" s="311"/>
      <c r="B12" s="30"/>
      <c r="C12" s="30"/>
      <c r="D12" s="30"/>
      <c r="E12" s="30"/>
      <c r="F12" s="30"/>
      <c r="G12" s="54" t="s">
        <v>20</v>
      </c>
      <c r="H12" s="32"/>
      <c r="I12" s="32"/>
      <c r="K12" s="32"/>
      <c r="L12" s="518"/>
      <c r="M12" s="419" t="str">
        <f>IF(LEFT(RIGHT($B$1,2),1)=" ",RIGHT($B$1,1),RIGHT($B$1,2))&amp;5</f>
        <v>95</v>
      </c>
      <c r="N12" s="422" t="str">
        <f>RIGHT(M12,1)&amp;" : "&amp;VLOOKUP($M12&amp;"1",BDD!$A$2:$N$567,6,FALSE)</f>
        <v>5 : Amélioration continue de services</v>
      </c>
      <c r="O12" s="423" t="str">
        <f>IF(VLOOKUP($M12&amp;RIGHT(O$7,1),BDD!$A$1:$S$600,15,FALSE)=4,"NE",IF(VLOOKUP($M12&amp;RIGHT(O$7,1),BDD!$A$1:$S$600,15,FALSE)=0,"NE",VLOOKUP($M12&amp;RIGHT(O$7,1),BDD!$A$1:$S$600,15,FALSE)))</f>
        <v>NE</v>
      </c>
      <c r="P12" s="423" t="str">
        <f>IF(VLOOKUP($M12&amp;RIGHT(P$7,1),BDD!$A$1:$S$600,15,FALSE)=4,"NE",IF(VLOOKUP($M12&amp;RIGHT(P$7,1),BDD!$A$1:$S$600,15,FALSE)=0,"NE",VLOOKUP($M12&amp;RIGHT(P$7,1),BDD!$A$1:$S$600,15,FALSE)))</f>
        <v>NE</v>
      </c>
      <c r="Q12" s="423" t="str">
        <f>IF(VLOOKUP($M12&amp;RIGHT(Q$7,1),BDD!$A$1:$S$600,15,FALSE)=4,"NE",IF(VLOOKUP($M12&amp;RIGHT(Q$7,1),BDD!$A$1:$S$600,15,FALSE)=0,"NE",VLOOKUP($M12&amp;RIGHT(Q$7,1),BDD!$A$1:$S$600,15,FALSE)))</f>
        <v>NE</v>
      </c>
      <c r="R12" s="423" t="str">
        <f>IF(VLOOKUP($M12&amp;RIGHT(R$7,1),BDD!$A$1:$S$600,15,FALSE)=4,"NE",IF(VLOOKUP($M12&amp;RIGHT(R$7,1),BDD!$A$1:$S$600,15,FALSE)=0,"NE",VLOOKUP($M12&amp;RIGHT(R$7,1),BDD!$A$1:$S$600,15,FALSE)))</f>
        <v>NE</v>
      </c>
      <c r="S12" s="423" t="str">
        <f>IF(VLOOKUP($M12&amp;RIGHT(S$7,1),BDD!$A$1:$S$600,15,FALSE)=4,"NE",IF(VLOOKUP($M12&amp;RIGHT(S$7,1),BDD!$A$1:$S$600,15,FALSE)=0,"NE",VLOOKUP($M12&amp;RIGHT(S$7,1),BDD!$A$1:$S$600,15,FALSE)))</f>
        <v>NE</v>
      </c>
      <c r="T12" s="423" t="str">
        <f>IF(VLOOKUP($M12&amp;RIGHT(T$7,1),BDD!$A$1:$S$600,15,FALSE)=4,"NE",IF(VLOOKUP($M12&amp;RIGHT(T$7,1),BDD!$A$1:$S$600,15,FALSE)=0,"NE",VLOOKUP($M12&amp;RIGHT(T$7,1),BDD!$A$1:$S$600,15,FALSE)))</f>
        <v>NE</v>
      </c>
      <c r="U12" s="429" t="str">
        <f>IF(VLOOKUP($M12&amp;RIGHT(U$7,1),BDD!$A$1:$S$600,15,FALSE)=4,"NE",IF(VLOOKUP($M12&amp;RIGHT(U$7,1),BDD!$A$1:$S$600,15,FALSE)=0,"NE",VLOOKUP($M12&amp;RIGHT(U$7,1),BDD!$A$1:$S$600,15,FALSE)))</f>
        <v>NE</v>
      </c>
      <c r="V12" s="512"/>
      <c r="W12" s="500" t="s">
        <v>16</v>
      </c>
      <c r="X12" s="501"/>
      <c r="Y12" s="515"/>
      <c r="Z12" s="468">
        <f>O51</f>
        <v>0</v>
      </c>
      <c r="AA12" s="469">
        <f>S51</f>
        <v>0</v>
      </c>
      <c r="AB12" s="514"/>
      <c r="AC12" s="40"/>
      <c r="AD12" s="213"/>
      <c r="AF12" s="55"/>
      <c r="AG12" s="30"/>
      <c r="AH12" s="311"/>
      <c r="AI12" s="30"/>
    </row>
    <row r="13" spans="1:35" ht="41.4" x14ac:dyDescent="0.3">
      <c r="A13" s="311"/>
      <c r="B13" s="30"/>
      <c r="C13" s="30"/>
      <c r="D13" s="30"/>
      <c r="E13" s="30" t="str">
        <f>$C$25&amp;"11"</f>
        <v>911</v>
      </c>
      <c r="F13" s="30"/>
      <c r="G13" s="197" t="str">
        <f>IF(VLOOKUP(E13,BDD!$A$2:$N$567,14,FALSE)=0,"",VLOOKUP(E13,BDD!$A$2:$N$567,14,FALSE))</f>
        <v xml:space="preserve">Perte de compétitivité ou exposition accrue à des risques (cybersécurité, conformité, coûts), résultant de besoins métiers non satisfaits ou d’une mauvaise affectation des ressources (sous ou sur-allocation). </v>
      </c>
      <c r="H13" s="34"/>
      <c r="I13" s="32"/>
      <c r="K13" s="34"/>
      <c r="L13" s="519"/>
      <c r="M13" s="520"/>
      <c r="N13" s="521"/>
      <c r="O13" s="521"/>
      <c r="P13" s="521"/>
      <c r="Q13" s="521"/>
      <c r="R13" s="521"/>
      <c r="S13" s="521"/>
      <c r="T13" s="521"/>
      <c r="U13" s="521"/>
      <c r="V13" s="522"/>
      <c r="W13" s="522"/>
      <c r="X13" s="522"/>
      <c r="Y13" s="522"/>
      <c r="Z13" s="522"/>
      <c r="AA13" s="522"/>
      <c r="AB13" s="523"/>
      <c r="AC13" s="55"/>
      <c r="AD13" s="30"/>
      <c r="AE13" s="55"/>
      <c r="AF13" s="56"/>
      <c r="AG13" s="40"/>
      <c r="AH13" s="318"/>
      <c r="AI13" s="30"/>
    </row>
    <row r="14" spans="1:35" ht="30" customHeight="1" thickBot="1" x14ac:dyDescent="0.35">
      <c r="A14" s="311"/>
      <c r="B14" s="30"/>
      <c r="C14" s="30"/>
      <c r="D14" s="30"/>
      <c r="E14" s="30" t="str">
        <f>$C$25&amp;"12"</f>
        <v>912</v>
      </c>
      <c r="F14" s="30"/>
      <c r="G14" s="197" t="str">
        <f>IF(VLOOKUP(E14,BDD!$A$2:$N$567,14,FALSE)=0,"",VLOOKUP(E14,BDD!$A$2:$N$567,14,FALSE))</f>
        <v>Dégradation du fonctionnement des processus métiers notamment en termes de disponibilité, d’intégrité et de confidentialité.</v>
      </c>
      <c r="H14" s="57"/>
      <c r="I14" s="32"/>
      <c r="K14" s="57"/>
      <c r="L14" s="524"/>
      <c r="M14" s="520"/>
      <c r="N14" s="525" t="str">
        <f>"Evaluation globale du vecteur "&amp;RIGHT(B1,2)</f>
        <v>Evaluation globale du vecteur  9</v>
      </c>
      <c r="O14" s="526"/>
      <c r="P14" s="526"/>
      <c r="Q14" s="526"/>
      <c r="R14" s="526"/>
      <c r="S14" s="526"/>
      <c r="T14" s="526"/>
      <c r="U14" s="526"/>
      <c r="V14" s="526"/>
      <c r="W14" s="527"/>
      <c r="X14" s="522"/>
      <c r="Y14" s="515"/>
      <c r="Z14" s="528" t="s">
        <v>642</v>
      </c>
      <c r="AA14" s="529" t="s">
        <v>643</v>
      </c>
      <c r="AB14" s="523"/>
      <c r="AC14" s="30"/>
      <c r="AD14" s="56"/>
      <c r="AE14" s="56"/>
      <c r="AF14" s="30"/>
      <c r="AG14" s="30"/>
      <c r="AH14" s="311"/>
      <c r="AI14" s="30"/>
    </row>
    <row r="15" spans="1:35" ht="28.2" thickBot="1" x14ac:dyDescent="0.35">
      <c r="A15" s="311"/>
      <c r="B15" s="30"/>
      <c r="C15" s="30"/>
      <c r="D15" s="30"/>
      <c r="E15" s="30" t="str">
        <f>$C$25&amp;"13"</f>
        <v>913</v>
      </c>
      <c r="F15" s="30"/>
      <c r="G15" s="197" t="str">
        <f>IF(VLOOKUP(E15,BDD!$A$2:$N$567,14,FALSE)=0,"",VLOOKUP(E15,BDD!$A$2:$N$567,14,FALSE))</f>
        <v>Exposition à des risques de pérennité, de cybersécurité, de conformité, et de coûts IT, liée à l’introduction par les utilisateurs de services non qualifiés par la DSI (shadow IT).</v>
      </c>
      <c r="H15" s="58"/>
      <c r="I15" s="32"/>
      <c r="K15" s="58"/>
      <c r="L15" s="518"/>
      <c r="M15" s="520"/>
      <c r="N15" s="451"/>
      <c r="O15" s="526"/>
      <c r="P15" s="526"/>
      <c r="Q15" s="526"/>
      <c r="R15" s="526"/>
      <c r="S15" s="526"/>
      <c r="T15" s="526"/>
      <c r="U15" s="526"/>
      <c r="V15" s="526"/>
      <c r="W15" s="449" t="s">
        <v>16</v>
      </c>
      <c r="X15" s="450"/>
      <c r="Y15" s="522"/>
      <c r="Z15" s="530">
        <f>O22</f>
        <v>0</v>
      </c>
      <c r="AA15" s="531">
        <f>SUM($W$26:$W$61)</f>
        <v>0</v>
      </c>
      <c r="AB15" s="523"/>
      <c r="AC15" s="30"/>
      <c r="AD15" s="30"/>
      <c r="AE15" s="30"/>
      <c r="AF15" s="30"/>
      <c r="AG15" s="30"/>
      <c r="AH15" s="311"/>
      <c r="AI15" s="30"/>
    </row>
    <row r="16" spans="1:35" ht="30" customHeight="1" thickBot="1" x14ac:dyDescent="0.35">
      <c r="A16" s="311"/>
      <c r="B16" s="30"/>
      <c r="C16" s="30"/>
      <c r="D16" s="30"/>
      <c r="E16" s="30" t="str">
        <f>$C$25&amp;"14"</f>
        <v>914</v>
      </c>
      <c r="F16" s="30"/>
      <c r="G16" s="197" t="str">
        <f>IF(VLOOKUP(E16,BDD!$A$2:$N$567,14,FALSE)=0,"",VLOOKUP(E16,BDD!$A$2:$N$567,14,FALSE))</f>
        <v/>
      </c>
      <c r="H16" s="58"/>
      <c r="I16" s="32"/>
      <c r="K16" s="32"/>
      <c r="L16" s="532"/>
      <c r="M16" s="533"/>
      <c r="N16" s="534"/>
      <c r="O16" s="534"/>
      <c r="P16" s="534"/>
      <c r="Q16" s="534"/>
      <c r="R16" s="534"/>
      <c r="S16" s="534"/>
      <c r="T16" s="534"/>
      <c r="U16" s="534"/>
      <c r="V16" s="534"/>
      <c r="W16" s="535"/>
      <c r="X16" s="534"/>
      <c r="Y16" s="534"/>
      <c r="Z16" s="534"/>
      <c r="AA16" s="534"/>
      <c r="AB16" s="536"/>
      <c r="AC16" s="30"/>
      <c r="AD16" s="30"/>
      <c r="AE16" s="30"/>
      <c r="AF16" s="30"/>
      <c r="AG16" s="30"/>
      <c r="AH16" s="311"/>
      <c r="AI16" s="30"/>
    </row>
    <row r="17" spans="1:35" x14ac:dyDescent="0.3">
      <c r="A17" s="311"/>
      <c r="B17" s="30"/>
      <c r="C17" s="30"/>
      <c r="D17" s="30"/>
      <c r="E17" s="30" t="str">
        <f>$C$25&amp;"15"</f>
        <v>915</v>
      </c>
      <c r="F17" s="30"/>
      <c r="G17" s="197" t="str">
        <f>IF(VLOOKUP(E17,BDD!$A$2:$N$567,14,FALSE)=0,"",VLOOKUP(E17,BDD!$A$2:$N$567,14,FALSE))</f>
        <v/>
      </c>
      <c r="H17" s="58"/>
      <c r="I17" s="32"/>
      <c r="K17" s="58"/>
      <c r="L17" s="571"/>
      <c r="M17" s="572"/>
      <c r="N17" s="569"/>
      <c r="O17" s="569"/>
      <c r="P17" s="569"/>
      <c r="Q17" s="569"/>
      <c r="R17" s="569"/>
      <c r="S17" s="569"/>
      <c r="T17" s="569"/>
      <c r="U17" s="569"/>
      <c r="V17" s="569"/>
      <c r="W17" s="569"/>
      <c r="X17" s="569"/>
      <c r="Y17" s="569"/>
      <c r="Z17" s="569"/>
      <c r="AA17" s="569"/>
      <c r="AB17" s="569"/>
      <c r="AC17" s="30"/>
      <c r="AD17" s="30"/>
      <c r="AE17" s="30"/>
      <c r="AF17" s="30"/>
      <c r="AG17" s="30"/>
      <c r="AH17" s="311"/>
      <c r="AI17" s="30"/>
    </row>
    <row r="18" spans="1:35" x14ac:dyDescent="0.3">
      <c r="A18" s="311"/>
      <c r="B18" s="30"/>
      <c r="C18" s="30"/>
      <c r="D18" s="30"/>
      <c r="E18" s="30" t="str">
        <f>$C$25&amp;"16"</f>
        <v>916</v>
      </c>
      <c r="F18" s="30"/>
      <c r="G18" s="197" t="str">
        <f>IF(VLOOKUP(E18,BDD!$A$2:$N$567,14,FALSE)=0,"",VLOOKUP(E18,BDD!$A$2:$N$567,14,FALSE))</f>
        <v/>
      </c>
      <c r="H18" s="58"/>
      <c r="I18" s="58"/>
      <c r="L18" s="573"/>
      <c r="M18" s="573"/>
      <c r="N18" s="573"/>
      <c r="O18" s="573"/>
      <c r="P18" s="573"/>
      <c r="Q18" s="573"/>
      <c r="R18" s="573"/>
      <c r="S18" s="573"/>
      <c r="T18" s="573"/>
      <c r="U18" s="573"/>
      <c r="V18" s="573"/>
      <c r="W18" s="573"/>
      <c r="X18" s="573"/>
      <c r="Y18" s="573"/>
      <c r="Z18" s="573"/>
      <c r="AA18" s="573"/>
      <c r="AB18" s="573"/>
      <c r="AC18" s="30"/>
      <c r="AD18" s="30"/>
      <c r="AE18" s="30"/>
      <c r="AF18" s="30"/>
      <c r="AG18" s="30"/>
      <c r="AH18" s="311"/>
      <c r="AI18" s="30"/>
    </row>
    <row r="19" spans="1:35" hidden="1" x14ac:dyDescent="0.3">
      <c r="A19" s="311"/>
      <c r="B19" s="30"/>
      <c r="C19" s="30"/>
      <c r="D19" s="30"/>
      <c r="E19" s="30"/>
      <c r="F19" s="30"/>
      <c r="G19" s="197"/>
      <c r="H19" s="58"/>
      <c r="I19" s="58"/>
      <c r="AC19" s="30"/>
      <c r="AD19" s="30"/>
      <c r="AE19" s="30"/>
      <c r="AF19" s="30"/>
      <c r="AG19" s="30"/>
      <c r="AH19" s="311"/>
      <c r="AI19" s="30"/>
    </row>
    <row r="20" spans="1:35" ht="30" customHeight="1" x14ac:dyDescent="0.3">
      <c r="A20" s="311"/>
      <c r="B20" s="30"/>
      <c r="C20" s="30"/>
      <c r="D20" s="30"/>
      <c r="E20" s="30"/>
      <c r="F20" s="30"/>
      <c r="G20" s="197"/>
      <c r="H20" s="58"/>
      <c r="I20" s="32"/>
      <c r="K20" s="58"/>
      <c r="L20" s="58"/>
      <c r="M20" s="32"/>
      <c r="N20" s="215" t="s">
        <v>855</v>
      </c>
      <c r="O20" s="641">
        <f>COUNTIF(N27:N100,"Non renseigné")</f>
        <v>25</v>
      </c>
      <c r="P20" s="642"/>
      <c r="Q20" s="642"/>
      <c r="R20" s="643"/>
      <c r="S20" s="30"/>
      <c r="T20" s="30"/>
      <c r="U20" s="30"/>
      <c r="V20" s="30"/>
      <c r="W20" s="30"/>
      <c r="X20" s="30"/>
      <c r="Y20" s="30"/>
      <c r="Z20" s="30"/>
      <c r="AA20" s="30"/>
      <c r="AB20" s="30"/>
      <c r="AC20" s="30"/>
      <c r="AD20" s="30"/>
      <c r="AE20" s="30"/>
      <c r="AF20" s="30"/>
      <c r="AG20" s="30"/>
      <c r="AH20" s="311"/>
      <c r="AI20" s="30"/>
    </row>
    <row r="21" spans="1:35" ht="30" customHeight="1" x14ac:dyDescent="0.3">
      <c r="A21" s="311"/>
      <c r="B21" s="30"/>
      <c r="C21" s="30"/>
      <c r="D21" s="30"/>
      <c r="E21" s="30" t="str">
        <f>RIGHT($B$1,1)&amp;"17"</f>
        <v>917</v>
      </c>
      <c r="F21" s="30"/>
      <c r="G21" s="197" t="str">
        <f>IF(VLOOKUP(E21,BDD!$A$2:$N$567,14,FALSE)=0,"",VLOOKUP(E21,BDD!$A$2:$N$567,14,FALSE))</f>
        <v/>
      </c>
      <c r="H21" s="58"/>
      <c r="I21" s="58"/>
      <c r="K21" s="58"/>
      <c r="L21" s="58"/>
      <c r="M21" s="32"/>
      <c r="N21" s="215" t="s">
        <v>853</v>
      </c>
      <c r="O21" s="648">
        <f>COUNTIF($N$27:$N$81,"Non évalué")</f>
        <v>0</v>
      </c>
      <c r="P21" s="649"/>
      <c r="Q21" s="649"/>
      <c r="R21" s="650"/>
      <c r="S21" s="30"/>
      <c r="T21" s="30"/>
      <c r="U21" s="30"/>
      <c r="V21" s="30"/>
      <c r="W21" s="30"/>
      <c r="X21" s="30"/>
      <c r="Y21" s="30"/>
      <c r="Z21" s="30"/>
      <c r="AA21" s="30"/>
      <c r="AB21" s="30"/>
      <c r="AC21" s="30"/>
      <c r="AD21" s="30"/>
      <c r="AE21" s="30"/>
      <c r="AF21" s="30"/>
      <c r="AG21" s="30"/>
      <c r="AH21" s="311"/>
      <c r="AI21" s="30"/>
    </row>
    <row r="22" spans="1:35" ht="50.4" customHeight="1" x14ac:dyDescent="0.3">
      <c r="A22" s="311"/>
      <c r="B22" s="30"/>
      <c r="C22" s="30"/>
      <c r="D22" s="30"/>
      <c r="E22" s="30"/>
      <c r="F22" s="30"/>
      <c r="G22" s="197"/>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311"/>
      <c r="AI22" s="30"/>
    </row>
    <row r="23" spans="1:35" ht="30" customHeight="1" x14ac:dyDescent="0.3">
      <c r="A23" s="311"/>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311"/>
      <c r="AI23" s="30"/>
    </row>
    <row r="24" spans="1:35" ht="39.6" customHeight="1" x14ac:dyDescent="0.3">
      <c r="A24" s="311"/>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311"/>
      <c r="AI24" s="30"/>
    </row>
    <row r="25" spans="1:35" ht="30" customHeight="1" x14ac:dyDescent="0.3">
      <c r="A25" s="311"/>
      <c r="B25" s="30"/>
      <c r="C25" s="30" t="str">
        <f>IF(LEFT(RIGHT($B$1,2),1)=" ",RIGHT($B$1,1),RIGHT($B$1,2))</f>
        <v>9</v>
      </c>
      <c r="D25" s="32">
        <f>IF(LEFT(F25,5)="Bonne",B23+1,D24)</f>
        <v>1</v>
      </c>
      <c r="E25" s="32"/>
      <c r="F25" s="191" t="s">
        <v>499</v>
      </c>
      <c r="G25" s="192" t="str">
        <f>VLOOKUP(E27,BDD!$A$2:$N$567,6,FALSE)</f>
        <v>Offre de service SI</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311"/>
      <c r="AI25" s="30"/>
    </row>
    <row r="26" spans="1:35" ht="30" customHeight="1" x14ac:dyDescent="0.3">
      <c r="A26" s="311"/>
      <c r="B26" s="30"/>
      <c r="C26" s="30" t="str">
        <f t="shared" ref="C26:C59" si="0">IF(LEFT(RIGHT($B$1,2),1)=" ",RIGHT($B$1,1),RIGHT($B$1,2))</f>
        <v>9</v>
      </c>
      <c r="D26" s="32">
        <f>IF(LEFT(F26,5)="Bonne",D24+1,D25)</f>
        <v>1</v>
      </c>
      <c r="F26" s="211" t="s">
        <v>550</v>
      </c>
      <c r="G26" s="193" t="str">
        <f>VLOOKUP(E28,BDD!$A$2:$N$567,7,FALSE)</f>
        <v xml:space="preserve">L'offre de services numériques proposée est claire et connue. </v>
      </c>
      <c r="H26" s="139"/>
      <c r="I26" s="139"/>
      <c r="J26" s="139"/>
      <c r="K26" s="139"/>
      <c r="L26" s="140"/>
      <c r="M26" s="141"/>
      <c r="N26" s="14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311"/>
      <c r="AI26" s="30"/>
    </row>
    <row r="27" spans="1:35" ht="30" customHeight="1" x14ac:dyDescent="0.3">
      <c r="A27" s="311"/>
      <c r="B27" s="30"/>
      <c r="C27" s="30" t="str">
        <f t="shared" si="0"/>
        <v>9</v>
      </c>
      <c r="D27" s="32">
        <f>IF(LEFT(F27,5)="Bonne",D25+1,D26)</f>
        <v>1</v>
      </c>
      <c r="E27" s="32" t="str">
        <f>C27&amp;D27&amp;RIGHT(F27,1)</f>
        <v>911</v>
      </c>
      <c r="F27" s="143" t="s">
        <v>27</v>
      </c>
      <c r="G27" s="144" t="str">
        <f>VLOOKUP(E27,BDD!$A$2:$N$567,MATCH(G$24,BDD!$A$1:$P$1,0),FALSE)</f>
        <v>La DSI a élaboré son offre de services techniques.</v>
      </c>
      <c r="H27" s="149" t="str">
        <f>IF(VLOOKUP($E27,BDD!$A$2:$N$567,MATCH($H$23,BDD!$A$1:$P$1,0),FALSE)=H$24,'V9_ Services'!H$24,"")</f>
        <v>N1</v>
      </c>
      <c r="I27" s="150" t="str">
        <f>IF(VLOOKUP($E27,BDD!$A$2:$N$567,MATCH($H$23,BDD!$A$1:$P$1,0),FALSE)=I$24,'V9_ Services'!I$24,"")</f>
        <v/>
      </c>
      <c r="J27" s="150" t="str">
        <f>IF(VLOOKUP($E27,BDD!$A$2:$N$567,MATCH($H$23,BDD!$A$1:$P$1,0),FALSE)=J$24,'V9_ Services'!J$24,"")</f>
        <v/>
      </c>
      <c r="K27" s="150" t="str">
        <f>IF(VLOOKUP($E27,BDD!$A$2:$N$567,MATCH($H$23,BDD!$A$1:$P$1,0),FALSE)=K$24,'V9_ Services'!K$24,"")</f>
        <v/>
      </c>
      <c r="L27" s="151" t="str">
        <f>IF(VLOOKUP($E27,BDD!$A$2:$N$567,MATCH($H$23,BDD!$A$1:$P$1,0),FALSE)=L$24,'V9_ Services'!L$24,"")</f>
        <v/>
      </c>
      <c r="M27" s="63">
        <f t="shared" ref="M27:M32" si="1">IF(N27="Exigences partiellement respectées",1,IF(N27="Exigences respectées",2,0))</f>
        <v>0</v>
      </c>
      <c r="N27" s="144" t="str">
        <f>VLOOKUP(VLOOKUP(E27,BDD!$A$2:$P$567,15,FALSE),Suppl!$D$64:$E$68,2,FALSE)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311"/>
      <c r="AI27" s="30"/>
    </row>
    <row r="28" spans="1:35" ht="30" customHeight="1" x14ac:dyDescent="0.3">
      <c r="A28" s="311"/>
      <c r="B28" s="30"/>
      <c r="C28" s="30" t="str">
        <f t="shared" si="0"/>
        <v>9</v>
      </c>
      <c r="D28" s="32">
        <f t="shared" ref="D28:D37" si="2">IF(LEFT(F28,5)="Bonne",D26+1,D27)</f>
        <v>1</v>
      </c>
      <c r="E28" s="32" t="str">
        <f t="shared" ref="E28:E32" si="3">C28&amp;D28&amp;RIGHT(F28,1)</f>
        <v>912</v>
      </c>
      <c r="F28" s="145" t="s">
        <v>28</v>
      </c>
      <c r="G28" s="146" t="str">
        <f>VLOOKUP(E28,BDD!$A$2:$N$567,MATCH(G$24,BDD!$A$1:$P$1,0),FALSE)</f>
        <v xml:space="preserve">L'offre de services a été définie avec les clients de la DSI en associant les utilisateurs finaux à son élaboration. </v>
      </c>
      <c r="H28" s="149" t="str">
        <f>IF(VLOOKUP($E28,BDD!$A$2:$N$567,MATCH($H$23,BDD!$A$1:$P$1,0),FALSE)=H$24,'V9_ Services'!H$24,"")</f>
        <v/>
      </c>
      <c r="I28" s="150" t="str">
        <f>IF(VLOOKUP($E28,BDD!$A$2:$N$567,MATCH($H$23,BDD!$A$1:$P$1,0),FALSE)=I$24,'V9_ Services'!I$24,"")</f>
        <v>N2</v>
      </c>
      <c r="J28" s="150" t="str">
        <f>IF(VLOOKUP($E28,BDD!$A$2:$N$567,MATCH($H$23,BDD!$A$1:$P$1,0),FALSE)=J$24,'V9_ Services'!J$24,"")</f>
        <v/>
      </c>
      <c r="K28" s="150" t="str">
        <f>IF(VLOOKUP($E28,BDD!$A$2:$N$567,MATCH($H$23,BDD!$A$1:$P$1,0),FALSE)=K$24,'V9_ Services'!K$24,"")</f>
        <v/>
      </c>
      <c r="L28" s="151" t="str">
        <f>IF(VLOOKUP($E28,BDD!$A$2:$N$567,MATCH($H$23,BDD!$A$1:$P$1,0),FALSE)=L$24,'V9_ Services'!L$24,"")</f>
        <v/>
      </c>
      <c r="M28" s="63">
        <f t="shared" si="1"/>
        <v>0</v>
      </c>
      <c r="N28" s="146" t="str">
        <f>VLOOKUP(VLOOKUP(E28,BDD!$A$2:$P$567,15,FALSE),Suppl!$D$64:$E$68,2,FALSE)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311"/>
      <c r="AI28" s="30"/>
    </row>
    <row r="29" spans="1:35" ht="30" customHeight="1" x14ac:dyDescent="0.3">
      <c r="A29" s="311"/>
      <c r="B29" s="30"/>
      <c r="C29" s="30" t="str">
        <f t="shared" si="0"/>
        <v>9</v>
      </c>
      <c r="D29" s="32">
        <f>IF(LEFT(F29,5)="Bonne",D27+1,D28)</f>
        <v>1</v>
      </c>
      <c r="E29" s="32" t="str">
        <f t="shared" si="3"/>
        <v>913</v>
      </c>
      <c r="F29" s="143" t="s">
        <v>30</v>
      </c>
      <c r="G29" s="144" t="str">
        <f>VLOOKUP(E29,BDD!$A$2:$N$567,MATCH(G$24,BDD!$A$1:$P$1,0),FALSE)</f>
        <v xml:space="preserve">L'offre de services présente les services, leurs conditions d’utilisation, les processus d'affectation ainsi que les unités d'œuvre permettant de les quantifier. </v>
      </c>
      <c r="H29" s="149" t="str">
        <f>IF(VLOOKUP($E29,BDD!$A$2:$N$567,MATCH($H$23,BDD!$A$1:$P$1,0),FALSE)=H$24,'V9_ Services'!H$24,"")</f>
        <v/>
      </c>
      <c r="I29" s="150" t="str">
        <f>IF(VLOOKUP($E29,BDD!$A$2:$N$567,MATCH($H$23,BDD!$A$1:$P$1,0),FALSE)=I$24,'V9_ Services'!I$24,"")</f>
        <v/>
      </c>
      <c r="J29" s="150" t="str">
        <f>IF(VLOOKUP($E29,BDD!$A$2:$N$567,MATCH($H$23,BDD!$A$1:$P$1,0),FALSE)=J$24,'V9_ Services'!J$24,"")</f>
        <v>N3</v>
      </c>
      <c r="K29" s="150" t="str">
        <f>IF(VLOOKUP($E29,BDD!$A$2:$N$567,MATCH($H$23,BDD!$A$1:$P$1,0),FALSE)=K$24,'V9_ Services'!K$24,"")</f>
        <v/>
      </c>
      <c r="L29" s="151" t="str">
        <f>IF(VLOOKUP($E29,BDD!$A$2:$N$567,MATCH($H$23,BDD!$A$1:$P$1,0),FALSE)=L$24,'V9_ Services'!L$24,"")</f>
        <v/>
      </c>
      <c r="M29" s="63">
        <f t="shared" si="1"/>
        <v>0</v>
      </c>
      <c r="N29" s="144" t="str">
        <f>VLOOKUP(VLOOKUP(E29,BDD!$A$2:$P$567,15,FALSE),Suppl!$D$64:$E$68,2,FALSE)</f>
        <v>Non renseigné</v>
      </c>
      <c r="O29" s="629"/>
      <c r="P29" s="629"/>
      <c r="Q29" s="629"/>
      <c r="R29" s="629"/>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311"/>
      <c r="AI29" s="30"/>
    </row>
    <row r="30" spans="1:35" ht="41.4" x14ac:dyDescent="0.3">
      <c r="A30" s="311"/>
      <c r="B30" s="30"/>
      <c r="C30" s="30" t="str">
        <f t="shared" si="0"/>
        <v>9</v>
      </c>
      <c r="D30" s="32">
        <f t="shared" si="2"/>
        <v>1</v>
      </c>
      <c r="E30" s="32" t="str">
        <f t="shared" si="3"/>
        <v>914</v>
      </c>
      <c r="F30" s="145" t="s">
        <v>32</v>
      </c>
      <c r="G30" s="146" t="str">
        <f>VLOOKUP(E30,BDD!$A$2:$N$567,MATCH(G$24,BDD!$A$1:$P$1,0),FALSE)</f>
        <v xml:space="preserve">L'offre de services fait l’objet d’une actualisation régulière, basée sur les besoins de l'entreprise identifiés par un travail de veille, avec une attention particulière portée à la gestion de l’obsolescence. </v>
      </c>
      <c r="H30" s="149" t="str">
        <f>IF(VLOOKUP($E30,BDD!$A$2:$N$567,MATCH($H$23,BDD!$A$1:$P$1,0),FALSE)=H$24,'V9_ Services'!H$24,"")</f>
        <v/>
      </c>
      <c r="I30" s="150" t="str">
        <f>IF(VLOOKUP($E30,BDD!$A$2:$N$567,MATCH($H$23,BDD!$A$1:$P$1,0),FALSE)=I$24,'V9_ Services'!I$24,"")</f>
        <v/>
      </c>
      <c r="J30" s="150" t="str">
        <f>IF(VLOOKUP($E30,BDD!$A$2:$N$567,MATCH($H$23,BDD!$A$1:$P$1,0),FALSE)=J$24,'V9_ Services'!J$24,"")</f>
        <v/>
      </c>
      <c r="K30" s="150" t="str">
        <f>IF(VLOOKUP($E30,BDD!$A$2:$N$567,MATCH($H$23,BDD!$A$1:$P$1,0),FALSE)=K$24,'V9_ Services'!K$24,"")</f>
        <v>N4</v>
      </c>
      <c r="L30" s="151" t="str">
        <f>IF(VLOOKUP($E30,BDD!$A$2:$N$567,MATCH($H$23,BDD!$A$1:$P$1,0),FALSE)=L$24,'V9_ Services'!L$24,"")</f>
        <v/>
      </c>
      <c r="M30" s="63">
        <f t="shared" si="1"/>
        <v>0</v>
      </c>
      <c r="N30" s="146" t="str">
        <f>VLOOKUP(VLOOKUP(E30,BDD!$A$2:$P$567,15,FALSE),Suppl!$D$64:$E$68,2,FALSE)</f>
        <v>Non renseigné</v>
      </c>
      <c r="O30" s="629"/>
      <c r="P30" s="629"/>
      <c r="Q30" s="629"/>
      <c r="R30" s="629"/>
      <c r="S30" s="627">
        <f>IF(N30=Suppl!$E$65,0,IF(N30=Suppl!$E$66,1/2/(COUNTIFS($D:$D,D30,$N:$N,"Exigences"&amp;"*",G:G,"&lt;&gt;0")+COUNTIFS($D:$D,D30,$N:$N,"Non"&amp;"*",G:G,"&lt;&gt;0")),IF(N30=Suppl!$E$67,1/(COUNTIFS($D:$D,D30,$N:$N,"Exigences"&amp;"*",G:G,"&lt;&gt;0")+COUNTIFS($D:$D,D30,$N:$N,"Non"&amp;"*",G:G,"&lt;&gt;0")),0)))</f>
        <v>0</v>
      </c>
      <c r="T30" s="627"/>
      <c r="U30" s="627"/>
      <c r="V30" s="628"/>
      <c r="W30" s="356">
        <f>IFERROR(IF(N30=Suppl!$E$65,0,IF(N30=Suppl!$E$66,1/2/(COUNTIFS($N:$N,"Exigences"&amp;"*")+COUNTIFS($N:$N,"Non"&amp;"*")),IF(N30=Suppl!$E$67,1/(COUNTIFS($N:$N,"Exigences"&amp;"*")+COUNTIFS($N:$N,"Non"&amp;"*")),0))),0)</f>
        <v>0</v>
      </c>
      <c r="X30" s="30" t="s">
        <v>164</v>
      </c>
      <c r="Y30" s="30"/>
      <c r="Z30" s="30"/>
      <c r="AA30" s="30"/>
      <c r="AB30" s="30"/>
      <c r="AC30" s="30"/>
      <c r="AD30" s="30"/>
      <c r="AE30" s="30"/>
      <c r="AF30" s="30"/>
      <c r="AG30" s="30"/>
      <c r="AH30" s="311"/>
      <c r="AI30" s="30"/>
    </row>
    <row r="31" spans="1:35" ht="30" customHeight="1" x14ac:dyDescent="0.3">
      <c r="A31" s="311"/>
      <c r="B31" s="30"/>
      <c r="C31" s="30" t="str">
        <f t="shared" si="0"/>
        <v>9</v>
      </c>
      <c r="D31" s="32">
        <f t="shared" si="2"/>
        <v>1</v>
      </c>
      <c r="E31" s="32" t="str">
        <f t="shared" si="3"/>
        <v>915</v>
      </c>
      <c r="F31" s="143" t="s">
        <v>33</v>
      </c>
      <c r="G31" s="144" t="str">
        <f>VLOOKUP(E31,BDD!$A$2:$N$567,MATCH(G$24,BDD!$A$1:$P$1,0),FALSE)</f>
        <v>Les coûts de chaque service ainsi que leur décomposition sont connus et suivis, et leur évolution est régulièrement communiquée aux clients.</v>
      </c>
      <c r="H31" s="149" t="str">
        <f>IF(VLOOKUP($E31,BDD!$A$2:$N$567,MATCH($H$23,BDD!$A$1:$P$1,0),FALSE)=H$24,'V9_ Services'!H$24,"")</f>
        <v/>
      </c>
      <c r="I31" s="150" t="str">
        <f>IF(VLOOKUP($E31,BDD!$A$2:$N$567,MATCH($H$23,BDD!$A$1:$P$1,0),FALSE)=I$24,'V9_ Services'!I$24,"")</f>
        <v/>
      </c>
      <c r="J31" s="150" t="str">
        <f>IF(VLOOKUP($E31,BDD!$A$2:$N$567,MATCH($H$23,BDD!$A$1:$P$1,0),FALSE)=J$24,'V9_ Services'!J$24,"")</f>
        <v/>
      </c>
      <c r="K31" s="150" t="str">
        <f>IF(VLOOKUP($E31,BDD!$A$2:$N$567,MATCH($H$23,BDD!$A$1:$P$1,0),FALSE)=K$24,'V9_ Services'!K$24,"")</f>
        <v>N4</v>
      </c>
      <c r="L31" s="151" t="str">
        <f>IF(VLOOKUP($E31,BDD!$A$2:$N$567,MATCH($H$23,BDD!$A$1:$P$1,0),FALSE)=L$24,'V9_ Services'!L$24,"")</f>
        <v/>
      </c>
      <c r="M31" s="63">
        <f t="shared" si="1"/>
        <v>0</v>
      </c>
      <c r="N31" s="144" t="str">
        <f>VLOOKUP(VLOOKUP(E31,BDD!$A$2:$P$567,15,FALSE),Suppl!$D$64:$E$68,2,FALSE)</f>
        <v>Non renseigné</v>
      </c>
      <c r="O31" s="629"/>
      <c r="P31" s="629"/>
      <c r="Q31" s="629"/>
      <c r="R31" s="629"/>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311"/>
      <c r="AI31" s="30"/>
    </row>
    <row r="32" spans="1:35" ht="30" customHeight="1" x14ac:dyDescent="0.3">
      <c r="A32" s="311"/>
      <c r="B32" s="30"/>
      <c r="C32" s="30" t="str">
        <f t="shared" si="0"/>
        <v>9</v>
      </c>
      <c r="D32" s="32">
        <f t="shared" si="2"/>
        <v>1</v>
      </c>
      <c r="E32" s="32" t="str">
        <f t="shared" si="3"/>
        <v>916</v>
      </c>
      <c r="F32" s="147" t="s">
        <v>34</v>
      </c>
      <c r="G32" s="148" t="str">
        <f>VLOOKUP(E32,BDD!$A$2:$N$567,MATCH(G$24,BDD!$A$1:$P$1,0),FALSE)</f>
        <v>La DSI est capable de relier les services délivrés avec les processus ou usages métiers auxquels ils se rattachent.</v>
      </c>
      <c r="H32" s="149" t="str">
        <f>IF(VLOOKUP($E32,BDD!$A$2:$N$567,MATCH($H$23,BDD!$A$1:$P$1,0),FALSE)=H$24,'V9_ Services'!H$24,"")</f>
        <v/>
      </c>
      <c r="I32" s="150" t="str">
        <f>IF(VLOOKUP($E32,BDD!$A$2:$N$567,MATCH($H$23,BDD!$A$1:$P$1,0),FALSE)=I$24,'V9_ Services'!I$24,"")</f>
        <v/>
      </c>
      <c r="J32" s="150" t="str">
        <f>IF(VLOOKUP($E32,BDD!$A$2:$N$567,MATCH($H$23,BDD!$A$1:$P$1,0),FALSE)=J$24,'V9_ Services'!J$24,"")</f>
        <v/>
      </c>
      <c r="K32" s="150" t="str">
        <f>IF(VLOOKUP($E32,BDD!$A$2:$N$567,MATCH($H$23,BDD!$A$1:$P$1,0),FALSE)=K$24,'V9_ Services'!K$24,"")</f>
        <v>N4</v>
      </c>
      <c r="L32" s="151" t="str">
        <f>IF(VLOOKUP($E32,BDD!$A$2:$N$567,MATCH($H$23,BDD!$A$1:$P$1,0),FALSE)=L$24,'V9_ Services'!L$24,"")</f>
        <v/>
      </c>
      <c r="M32" s="63">
        <f t="shared" si="1"/>
        <v>0</v>
      </c>
      <c r="N32" s="148" t="str">
        <f>VLOOKUP(VLOOKUP(E32,BDD!$A$2:$P$567,15,FALSE),Suppl!$D$64:$E$68,2,FALSE)</f>
        <v>Non renseigné</v>
      </c>
      <c r="O32" s="629"/>
      <c r="P32" s="629"/>
      <c r="Q32" s="629"/>
      <c r="R32" s="629"/>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311"/>
      <c r="AI32" s="30"/>
    </row>
    <row r="33" spans="1:35" ht="30" customHeight="1" x14ac:dyDescent="0.3">
      <c r="A33" s="311"/>
      <c r="B33" s="30"/>
      <c r="C33" s="30" t="str">
        <f t="shared" si="0"/>
        <v>9</v>
      </c>
      <c r="D33" s="32">
        <f>IF(LEFT(F33,5)="Bonne",D32+1,#REF!)</f>
        <v>2</v>
      </c>
      <c r="E33" s="32"/>
      <c r="F33" s="191" t="s">
        <v>500</v>
      </c>
      <c r="G33" s="192" t="str">
        <f>VLOOKUP(E35,BDD!$A$2:$N$567,6,FALSE)</f>
        <v>Demande client</v>
      </c>
      <c r="H33" s="190" t="str">
        <f>VLOOKUP(E35,BDD!$A$2:$N$567,6,FALSE)</f>
        <v>Demande client</v>
      </c>
      <c r="I33" s="135"/>
      <c r="J33" s="135"/>
      <c r="K33" s="135"/>
      <c r="L33" s="136"/>
      <c r="M33" s="137"/>
      <c r="N33" s="138"/>
      <c r="O33" s="630">
        <v>0</v>
      </c>
      <c r="P33" s="630"/>
      <c r="Q33" s="630"/>
      <c r="R33" s="630"/>
      <c r="S33" s="632">
        <f>SUMIFS(S:S,$D:$D,D33,$N:$N,"Exigences"&amp;"*")</f>
        <v>0</v>
      </c>
      <c r="T33" s="632"/>
      <c r="U33" s="632"/>
      <c r="V33" s="633"/>
      <c r="W33" s="356">
        <f>IFERROR(IF(N33=Suppl!$E$65,0,IF(N33=Suppl!$E$66,1/2/(COUNTIFS($N:$N,"Exigences"&amp;"*")+COUNTIFS($N:$N,"Non"&amp;"*")),IF(N33=Suppl!$E$67,1/(COUNTIFS($N:$N,"Exigences"&amp;"*")+COUNTIFS($N:$N,"Non"&amp;"*")),0))),0)</f>
        <v>0</v>
      </c>
      <c r="X33" s="30"/>
      <c r="Y33" s="30"/>
      <c r="Z33" s="30"/>
      <c r="AA33" s="30"/>
      <c r="AB33" s="30"/>
      <c r="AC33" s="30"/>
      <c r="AD33" s="30"/>
      <c r="AE33" s="30"/>
      <c r="AF33" s="30"/>
      <c r="AG33" s="30"/>
      <c r="AH33" s="311"/>
      <c r="AI33" s="30"/>
    </row>
    <row r="34" spans="1:35" ht="30" customHeight="1" x14ac:dyDescent="0.3">
      <c r="A34" s="311"/>
      <c r="B34" s="30"/>
      <c r="C34" s="30" t="str">
        <f t="shared" si="0"/>
        <v>9</v>
      </c>
      <c r="D34" s="32">
        <f>IF(LEFT(F34,5)="Bonne",#REF!+1,D33)</f>
        <v>2</v>
      </c>
      <c r="E34" s="32"/>
      <c r="F34" s="211" t="s">
        <v>550</v>
      </c>
      <c r="G34" s="193" t="str">
        <f>VLOOKUP(E36,BDD!$A$2:$N$567,7,FALSE)</f>
        <v>La DSI a mis en place un processus de gestion structuré de la demande client pour les services existants (Run).</v>
      </c>
      <c r="H34" s="139"/>
      <c r="I34" s="139"/>
      <c r="J34" s="139"/>
      <c r="K34" s="139"/>
      <c r="L34" s="140"/>
      <c r="M34" s="141"/>
      <c r="N34" s="142"/>
      <c r="O34" s="631"/>
      <c r="P34" s="631"/>
      <c r="Q34" s="631"/>
      <c r="R34" s="631"/>
      <c r="S34" s="634"/>
      <c r="T34" s="634"/>
      <c r="U34" s="634"/>
      <c r="V34" s="635"/>
      <c r="W34" s="356">
        <f>IFERROR(IF(N34=Suppl!$E$65,0,IF(N34=Suppl!$E$66,1/2/(COUNTIFS($N:$N,"Exigences"&amp;"*")+COUNTIFS($N:$N,"Non"&amp;"*")),IF(N34=Suppl!$E$67,1/(COUNTIFS($N:$N,"Exigences"&amp;"*")+COUNTIFS($N:$N,"Non"&amp;"*")),0))),0)</f>
        <v>0</v>
      </c>
      <c r="X34" s="30"/>
      <c r="Y34" s="30"/>
      <c r="Z34" s="30"/>
      <c r="AA34" s="30"/>
      <c r="AB34" s="30"/>
      <c r="AC34" s="30"/>
      <c r="AD34" s="30"/>
      <c r="AE34" s="30"/>
      <c r="AF34" s="30"/>
      <c r="AG34" s="30"/>
      <c r="AH34" s="311"/>
      <c r="AI34" s="30"/>
    </row>
    <row r="35" spans="1:35" ht="30" customHeight="1" x14ac:dyDescent="0.3">
      <c r="A35" s="311"/>
      <c r="B35" s="30"/>
      <c r="C35" s="30" t="str">
        <f t="shared" si="0"/>
        <v>9</v>
      </c>
      <c r="D35" s="32">
        <f t="shared" si="2"/>
        <v>2</v>
      </c>
      <c r="E35" s="32" t="str">
        <f t="shared" ref="E35:E37" si="4">C35&amp;D35&amp;RIGHT(F35,1)</f>
        <v>921</v>
      </c>
      <c r="F35" s="143" t="s">
        <v>27</v>
      </c>
      <c r="G35" s="144" t="str">
        <f>VLOOKUP(E35,BDD!$A$2:$N$567,MATCH(G$24,BDD!$A$1:$P$1,0),FALSE)</f>
        <v>La DSI rencontre régulièrement ses clients pour identifier et actualiser leurs besoins et attentes.</v>
      </c>
      <c r="H35" s="149" t="str">
        <f>IF(VLOOKUP($E35,BDD!$A$2:$N$567,MATCH($H$23,BDD!$A$1:$P$1,0),FALSE)=H$24,'V9_ Services'!H$24,"")</f>
        <v>N1</v>
      </c>
      <c r="I35" s="150" t="str">
        <f>IF(VLOOKUP($E35,BDD!$A$2:$N$567,MATCH($H$23,BDD!$A$1:$P$1,0),FALSE)=I$24,'V9_ Services'!I$24,"")</f>
        <v/>
      </c>
      <c r="J35" s="150" t="str">
        <f>IF(VLOOKUP($E35,BDD!$A$2:$N$567,MATCH($H$23,BDD!$A$1:$P$1,0),FALSE)=J$24,'V9_ Services'!J$24,"")</f>
        <v/>
      </c>
      <c r="K35" s="150" t="str">
        <f>IF(VLOOKUP($E35,BDD!$A$2:$N$567,MATCH($H$23,BDD!$A$1:$P$1,0),FALSE)=K$24,'V9_ Services'!K$24,"")</f>
        <v/>
      </c>
      <c r="L35" s="151" t="str">
        <f>IF(VLOOKUP($E35,BDD!$A$2:$N$567,MATCH($H$23,BDD!$A$1:$P$1,0),FALSE)=L$24,'V9_ Services'!L$24,"")</f>
        <v/>
      </c>
      <c r="M35" s="63">
        <f>IF(N35="Exigences partiellement respectées",1,IF(N35="Exigences respectées",2,0))</f>
        <v>0</v>
      </c>
      <c r="N35" s="144" t="str">
        <f>VLOOKUP(VLOOKUP(E35,BDD!$A$2:$P$567,15,FALSE),Suppl!$D$64:$E$68,2,FALSE)</f>
        <v>Non renseigné</v>
      </c>
      <c r="O35" s="626"/>
      <c r="P35" s="626"/>
      <c r="Q35" s="626"/>
      <c r="R35" s="626"/>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311"/>
      <c r="AI35" s="30"/>
    </row>
    <row r="36" spans="1:35" ht="41.4" x14ac:dyDescent="0.3">
      <c r="A36" s="311"/>
      <c r="B36" s="30"/>
      <c r="C36" s="30" t="str">
        <f t="shared" si="0"/>
        <v>9</v>
      </c>
      <c r="D36" s="32">
        <f t="shared" si="2"/>
        <v>2</v>
      </c>
      <c r="E36" s="32" t="str">
        <f t="shared" si="4"/>
        <v>922</v>
      </c>
      <c r="F36" s="145" t="s">
        <v>28</v>
      </c>
      <c r="G36" s="146" t="str">
        <f>VLOOKUP(E36,BDD!$A$2:$N$567,MATCH(G$24,BDD!$A$1:$P$1,0),FALSE)</f>
        <v>Des indicateurs de suivi sont définis, ils font l’objet d’un reporting et d’échanges réguliers et formalisés avec les métiers, leur offrant une vision claire des services qui leur sont délivrés.</v>
      </c>
      <c r="H36" s="149" t="str">
        <f>IF(VLOOKUP($E36,BDD!$A$2:$N$567,MATCH($H$23,BDD!$A$1:$P$1,0),FALSE)=H$24,'V9_ Services'!H$24,"")</f>
        <v/>
      </c>
      <c r="I36" s="150" t="str">
        <f>IF(VLOOKUP($E36,BDD!$A$2:$N$567,MATCH($H$23,BDD!$A$1:$P$1,0),FALSE)=I$24,'V9_ Services'!I$24,"")</f>
        <v/>
      </c>
      <c r="J36" s="150" t="str">
        <f>IF(VLOOKUP($E36,BDD!$A$2:$N$567,MATCH($H$23,BDD!$A$1:$P$1,0),FALSE)=J$24,'V9_ Services'!J$24,"")</f>
        <v>N3</v>
      </c>
      <c r="K36" s="150" t="str">
        <f>IF(VLOOKUP($E36,BDD!$A$2:$N$567,MATCH($H$23,BDD!$A$1:$P$1,0),FALSE)=K$24,'V9_ Services'!K$24,"")</f>
        <v/>
      </c>
      <c r="L36" s="151" t="str">
        <f>IF(VLOOKUP($E36,BDD!$A$2:$N$567,MATCH($H$23,BDD!$A$1:$P$1,0),FALSE)=L$24,'V9_ Services'!L$24,"")</f>
        <v/>
      </c>
      <c r="M36" s="63">
        <f t="shared" ref="M36:M37" si="5">IF(N36="Exigences partiellement respectées",1,IF(N36="Exigences respectées",2,0))</f>
        <v>0</v>
      </c>
      <c r="N36" s="146" t="str">
        <f>VLOOKUP(VLOOKUP(E36,BDD!$A$2:$P$567,15,FALSE),Suppl!$D$64:$E$68,2,FALSE)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311"/>
      <c r="AI36" s="30"/>
    </row>
    <row r="37" spans="1:35" ht="41.4" x14ac:dyDescent="0.3">
      <c r="A37" s="311"/>
      <c r="B37" s="30"/>
      <c r="C37" s="30" t="str">
        <f t="shared" si="0"/>
        <v>9</v>
      </c>
      <c r="D37" s="32">
        <f t="shared" si="2"/>
        <v>2</v>
      </c>
      <c r="E37" s="32" t="str">
        <f t="shared" si="4"/>
        <v>923</v>
      </c>
      <c r="F37" s="143" t="s">
        <v>30</v>
      </c>
      <c r="G37" s="144" t="str">
        <f>VLOOKUP(E37,BDD!$A$2:$N$567,MATCH(G$24,BDD!$A$1:$P$1,0),FALSE)</f>
        <v>La DSI réalise des benchmarks lui permettant de comparer son offre de services à celle d’autres entreprises du même secteur d’activité et de taille comparable, voire même à l’offre de prestataires externes.</v>
      </c>
      <c r="H37" s="149" t="str">
        <f>IF(VLOOKUP($E37,BDD!$A$2:$N$567,MATCH($H$23,BDD!$A$1:$P$1,0),FALSE)=H$24,'V9_ Services'!H$24,"")</f>
        <v/>
      </c>
      <c r="I37" s="150" t="str">
        <f>IF(VLOOKUP($E37,BDD!$A$2:$N$567,MATCH($H$23,BDD!$A$1:$P$1,0),FALSE)=I$24,'V9_ Services'!I$24,"")</f>
        <v/>
      </c>
      <c r="J37" s="150" t="str">
        <f>IF(VLOOKUP($E37,BDD!$A$2:$N$567,MATCH($H$23,BDD!$A$1:$P$1,0),FALSE)=J$24,'V9_ Services'!J$24,"")</f>
        <v/>
      </c>
      <c r="K37" s="150" t="str">
        <f>IF(VLOOKUP($E37,BDD!$A$2:$N$567,MATCH($H$23,BDD!$A$1:$P$1,0),FALSE)=K$24,'V9_ Services'!K$24,"")</f>
        <v/>
      </c>
      <c r="L37" s="151" t="str">
        <f>IF(VLOOKUP($E37,BDD!$A$2:$N$567,MATCH($H$23,BDD!$A$1:$P$1,0),FALSE)=L$24,'V9_ Services'!L$24,"")</f>
        <v>N5</v>
      </c>
      <c r="M37" s="63">
        <f t="shared" si="5"/>
        <v>0</v>
      </c>
      <c r="N37" s="144" t="str">
        <f>VLOOKUP(VLOOKUP(E37,BDD!$A$2:$P$567,15,FALSE),Suppl!$D$64:$E$68,2,FALSE)</f>
        <v>Non renseigné</v>
      </c>
      <c r="O37" s="629"/>
      <c r="P37" s="629"/>
      <c r="Q37" s="629"/>
      <c r="R37" s="629"/>
      <c r="S37" s="627">
        <f>IF(N37=Suppl!$E$65,0,IF(N37=Suppl!$E$66,1/2/(COUNTIFS($D:$D,D37,$N:$N,"Exigences"&amp;"*",G:G,"&lt;&gt;0")+COUNTIFS($D:$D,D37,$N:$N,"Non"&amp;"*",G:G,"&lt;&gt;0")),IF(N37=Suppl!$E$67,1/(COUNTIFS($D:$D,D37,$N:$N,"Exigences"&amp;"*",G:G,"&lt;&gt;0")+COUNTIFS($D:$D,D37,$N:$N,"Non"&amp;"*",G:G,"&lt;&gt;0")),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311"/>
      <c r="AI37" s="30"/>
    </row>
    <row r="38" spans="1:35" ht="30" customHeight="1" x14ac:dyDescent="0.3">
      <c r="A38" s="311"/>
      <c r="B38" s="30"/>
      <c r="C38" s="30" t="str">
        <f t="shared" si="0"/>
        <v>9</v>
      </c>
      <c r="D38" s="32">
        <f t="shared" ref="D38:D50" si="6">IF(LEFT(F38,5)="Bonne",D36+1,D37)</f>
        <v>3</v>
      </c>
      <c r="E38" s="32" t="str">
        <f t="shared" ref="E38:E50" si="7">C38&amp;D38&amp;RIGHT(F38,1)</f>
        <v>933</v>
      </c>
      <c r="F38" s="191" t="s">
        <v>501</v>
      </c>
      <c r="G38" s="192" t="str">
        <f>VLOOKUP(E40,BDD!$A$2:$N$567,6,FALSE)</f>
        <v>Contrats de services</v>
      </c>
      <c r="H38" s="190"/>
      <c r="I38" s="135"/>
      <c r="J38" s="135"/>
      <c r="K38" s="135"/>
      <c r="L38" s="136"/>
      <c r="M38" s="137"/>
      <c r="N38" s="138"/>
      <c r="O38" s="630">
        <v>0</v>
      </c>
      <c r="P38" s="630"/>
      <c r="Q38" s="630"/>
      <c r="R38" s="630"/>
      <c r="S38" s="632">
        <f>SUMIFS(S:S,$D:$D,D38,$N:$N,"Exigences"&amp;"*")</f>
        <v>0</v>
      </c>
      <c r="T38" s="632"/>
      <c r="U38" s="632"/>
      <c r="V38" s="633"/>
      <c r="W38" s="356">
        <f>IFERROR(IF(N38=Suppl!$E$65,0,IF(N38=Suppl!$E$66,1/2/(COUNTIFS($N:$N,"Exigences"&amp;"*")+COUNTIFS($N:$N,"Non"&amp;"*")),IF(N38=Suppl!$E$67,1/(COUNTIFS($N:$N,"Exigences"&amp;"*")+COUNTIFS($N:$N,"Non"&amp;"*")),0))),0)</f>
        <v>0</v>
      </c>
      <c r="X38" s="30"/>
      <c r="Y38" s="30"/>
      <c r="Z38" s="30"/>
      <c r="AA38" s="30"/>
      <c r="AB38" s="30"/>
      <c r="AC38" s="30"/>
      <c r="AD38" s="30"/>
      <c r="AE38" s="30"/>
      <c r="AF38" s="30"/>
      <c r="AG38" s="30"/>
      <c r="AH38" s="311"/>
      <c r="AI38" s="30"/>
    </row>
    <row r="39" spans="1:35" ht="30" customHeight="1" x14ac:dyDescent="0.3">
      <c r="A39" s="311"/>
      <c r="B39" s="30"/>
      <c r="C39" s="30" t="str">
        <f t="shared" si="0"/>
        <v>9</v>
      </c>
      <c r="D39" s="32">
        <f t="shared" si="6"/>
        <v>3</v>
      </c>
      <c r="E39" s="32" t="str">
        <f t="shared" si="7"/>
        <v>931</v>
      </c>
      <c r="F39" s="211" t="s">
        <v>550</v>
      </c>
      <c r="G39" s="193" t="str">
        <f>VLOOKUP(E41,BDD!$A$2:$N$567,7,FALSE)</f>
        <v>La DSI a mis en place des contrats de services.</v>
      </c>
      <c r="H39" s="139"/>
      <c r="I39" s="139"/>
      <c r="J39" s="139"/>
      <c r="K39" s="139"/>
      <c r="L39" s="140"/>
      <c r="M39" s="141"/>
      <c r="N39" s="142"/>
      <c r="O39" s="631"/>
      <c r="P39" s="631"/>
      <c r="Q39" s="631"/>
      <c r="R39" s="631"/>
      <c r="S39" s="634"/>
      <c r="T39" s="634"/>
      <c r="U39" s="634"/>
      <c r="V39" s="635"/>
      <c r="W39" s="356">
        <f>IFERROR(IF(N39=Suppl!$E$65,0,IF(N39=Suppl!$E$66,1/2/(COUNTIFS($N:$N,"Exigences"&amp;"*")+COUNTIFS($N:$N,"Non"&amp;"*")),IF(N39=Suppl!$E$67,1/(COUNTIFS($N:$N,"Exigences"&amp;"*")+COUNTIFS($N:$N,"Non"&amp;"*")),0))),0)</f>
        <v>0</v>
      </c>
      <c r="X39" s="30"/>
      <c r="Y39" s="30"/>
      <c r="Z39" s="30"/>
      <c r="AA39" s="30"/>
      <c r="AB39" s="30"/>
      <c r="AC39" s="30"/>
      <c r="AD39" s="30"/>
      <c r="AE39" s="30"/>
      <c r="AF39" s="30"/>
      <c r="AG39" s="30"/>
      <c r="AH39" s="311"/>
      <c r="AI39" s="30"/>
    </row>
    <row r="40" spans="1:35" ht="30" customHeight="1" x14ac:dyDescent="0.3">
      <c r="A40" s="311"/>
      <c r="B40" s="30"/>
      <c r="C40" s="30" t="str">
        <f t="shared" si="0"/>
        <v>9</v>
      </c>
      <c r="D40" s="32">
        <f t="shared" si="6"/>
        <v>3</v>
      </c>
      <c r="E40" s="32" t="str">
        <f t="shared" si="7"/>
        <v>931</v>
      </c>
      <c r="F40" s="143" t="s">
        <v>27</v>
      </c>
      <c r="G40" s="144" t="str">
        <f>VLOOKUP(E40,BDD!$A$2:$N$567,MATCH(G$24,BDD!$A$1:$P$1,0),FALSE)</f>
        <v>Les engagements de niveau de service ou Service level agreement (SLA) sont partagés avec les clients.</v>
      </c>
      <c r="H40" s="149" t="str">
        <f>IF(VLOOKUP($E40,BDD!$A$2:$N$567,MATCH($H$23,BDD!$A$1:$P$1,0),FALSE)=H$24,'V9_ Services'!H$24,"")</f>
        <v>N1</v>
      </c>
      <c r="I40" s="150" t="str">
        <f>IF(VLOOKUP($E40,BDD!$A$2:$N$567,MATCH($H$23,BDD!$A$1:$P$1,0),FALSE)=I$24,'V9_ Services'!I$24,"")</f>
        <v/>
      </c>
      <c r="J40" s="150" t="str">
        <f>IF(VLOOKUP($E40,BDD!$A$2:$N$567,MATCH($H$23,BDD!$A$1:$P$1,0),FALSE)=J$24,'V9_ Services'!J$24,"")</f>
        <v/>
      </c>
      <c r="K40" s="150" t="str">
        <f>IF(VLOOKUP($E40,BDD!$A$2:$N$567,MATCH($H$23,BDD!$A$1:$P$1,0),FALSE)=K$24,'V9_ Services'!K$24,"")</f>
        <v/>
      </c>
      <c r="L40" s="151" t="str">
        <f>IF(VLOOKUP($E40,BDD!$A$2:$N$567,MATCH($H$23,BDD!$A$1:$P$1,0),FALSE)=L$24,'V9_ Services'!L$24,"")</f>
        <v/>
      </c>
      <c r="M40" s="63">
        <f t="shared" ref="M40:M45" si="8">IF(N40="Exigences partiellement respectées",1,IF(N40="Exigences respectées",2,0))</f>
        <v>0</v>
      </c>
      <c r="N40" s="144" t="str">
        <f>VLOOKUP(VLOOKUP(E40,BDD!$A$2:$P$567,15,FALSE),Suppl!$D$64:$E$68,2,FALSE)</f>
        <v>Non renseigné</v>
      </c>
      <c r="O40" s="626"/>
      <c r="P40" s="626"/>
      <c r="Q40" s="626"/>
      <c r="R40" s="626"/>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311"/>
      <c r="AI40" s="30"/>
    </row>
    <row r="41" spans="1:35" ht="41.4" customHeight="1" x14ac:dyDescent="0.3">
      <c r="A41" s="311"/>
      <c r="B41" s="30"/>
      <c r="C41" s="30" t="str">
        <f t="shared" si="0"/>
        <v>9</v>
      </c>
      <c r="D41" s="32">
        <f t="shared" si="6"/>
        <v>3</v>
      </c>
      <c r="E41" s="32" t="str">
        <f t="shared" si="7"/>
        <v>932</v>
      </c>
      <c r="F41" s="145" t="s">
        <v>28</v>
      </c>
      <c r="G41" s="146" t="str">
        <f>VLOOKUP(E41,BDD!$A$2:$N$567,MATCH(G$24,BDD!$A$1:$P$1,0),FALSE)</f>
        <v>Les services délivrés à une fonction de l’entreprise ou à un processus particulier sont regroupés dans un contrat de services passé entre la DSI et l’entité concernée.</v>
      </c>
      <c r="H41" s="149" t="str">
        <f>IF(VLOOKUP($E41,BDD!$A$2:$N$567,MATCH($H$23,BDD!$A$1:$P$1,0),FALSE)=H$24,'V9_ Services'!H$24,"")</f>
        <v/>
      </c>
      <c r="I41" s="150" t="str">
        <f>IF(VLOOKUP($E41,BDD!$A$2:$N$567,MATCH($H$23,BDD!$A$1:$P$1,0),FALSE)=I$24,'V9_ Services'!I$24,"")</f>
        <v>N2</v>
      </c>
      <c r="J41" s="150" t="str">
        <f>IF(VLOOKUP($E41,BDD!$A$2:$N$567,MATCH($H$23,BDD!$A$1:$P$1,0),FALSE)=J$24,'V9_ Services'!J$24,"")</f>
        <v/>
      </c>
      <c r="K41" s="150" t="str">
        <f>IF(VLOOKUP($E41,BDD!$A$2:$N$567,MATCH($H$23,BDD!$A$1:$P$1,0),FALSE)=K$24,'V9_ Services'!K$24,"")</f>
        <v/>
      </c>
      <c r="L41" s="151" t="str">
        <f>IF(VLOOKUP($E41,BDD!$A$2:$N$567,MATCH($H$23,BDD!$A$1:$P$1,0),FALSE)=L$24,'V9_ Services'!L$24,"")</f>
        <v/>
      </c>
      <c r="M41" s="63">
        <f t="shared" si="8"/>
        <v>0</v>
      </c>
      <c r="N41" s="146" t="str">
        <f>VLOOKUP(VLOOKUP(E41,BDD!$A$2:$P$567,15,FALSE),Suppl!$D$64:$E$68,2,FALSE)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311"/>
      <c r="AI41" s="30"/>
    </row>
    <row r="42" spans="1:35" ht="30" customHeight="1" x14ac:dyDescent="0.3">
      <c r="A42" s="311"/>
      <c r="B42" s="30"/>
      <c r="C42" s="30" t="str">
        <f t="shared" si="0"/>
        <v>9</v>
      </c>
      <c r="D42" s="32">
        <f t="shared" si="6"/>
        <v>3</v>
      </c>
      <c r="E42" s="32" t="str">
        <f t="shared" si="7"/>
        <v>933</v>
      </c>
      <c r="F42" s="143" t="s">
        <v>30</v>
      </c>
      <c r="G42" s="144" t="str">
        <f>VLOOKUP(E42,BDD!$A$2:$N$567,MATCH(G$24,BDD!$A$1:$P$1,0),FALSE)</f>
        <v>Les niveaux de service convenus avec les clients de la DSI et avec les métiers sont déclinés dans les contrats de sous-traitance.</v>
      </c>
      <c r="H42" s="149" t="str">
        <f>IF(VLOOKUP($E42,BDD!$A$2:$N$567,MATCH($H$23,BDD!$A$1:$P$1,0),FALSE)=H$24,'V9_ Services'!H$24,"")</f>
        <v/>
      </c>
      <c r="I42" s="150" t="str">
        <f>IF(VLOOKUP($E42,BDD!$A$2:$N$567,MATCH($H$23,BDD!$A$1:$P$1,0),FALSE)=I$24,'V9_ Services'!I$24,"")</f>
        <v/>
      </c>
      <c r="J42" s="150" t="str">
        <f>IF(VLOOKUP($E42,BDD!$A$2:$N$567,MATCH($H$23,BDD!$A$1:$P$1,0),FALSE)=J$24,'V9_ Services'!J$24,"")</f>
        <v>N3</v>
      </c>
      <c r="K42" s="150" t="str">
        <f>IF(VLOOKUP($E42,BDD!$A$2:$N$567,MATCH($H$23,BDD!$A$1:$P$1,0),FALSE)=K$24,'V9_ Services'!K$24,"")</f>
        <v/>
      </c>
      <c r="L42" s="151" t="str">
        <f>IF(VLOOKUP($E42,BDD!$A$2:$N$567,MATCH($H$23,BDD!$A$1:$P$1,0),FALSE)=L$24,'V9_ Services'!L$24,"")</f>
        <v/>
      </c>
      <c r="M42" s="63">
        <f t="shared" si="8"/>
        <v>0</v>
      </c>
      <c r="N42" s="144" t="str">
        <f>VLOOKUP(VLOOKUP(E42,BDD!$A$2:$P$567,15,FALSE),Suppl!$D$64:$E$68,2,FALSE)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311"/>
      <c r="AI42" s="30"/>
    </row>
    <row r="43" spans="1:35" ht="42.6" customHeight="1" x14ac:dyDescent="0.3">
      <c r="A43" s="311"/>
      <c r="B43" s="30"/>
      <c r="C43" s="30" t="str">
        <f t="shared" si="0"/>
        <v>9</v>
      </c>
      <c r="D43" s="32">
        <f t="shared" si="6"/>
        <v>3</v>
      </c>
      <c r="E43" s="32" t="str">
        <f t="shared" si="7"/>
        <v>934</v>
      </c>
      <c r="F43" s="145" t="s">
        <v>32</v>
      </c>
      <c r="G43" s="146" t="str">
        <f>VLOOKUP(E43,BDD!$A$2:$N$567,MATCH(G$24,BDD!$A$1:$P$1,0),FALSE)</f>
        <v>Les contrats de services sont rédigés avec les clients de la DSI et font formellement apparaître les accords respectifs. Leur formulation est intelligible par les deux parties.</v>
      </c>
      <c r="H43" s="149" t="str">
        <f>IF(VLOOKUP($E43,BDD!$A$2:$N$567,MATCH($H$23,BDD!$A$1:$P$1,0),FALSE)=H$24,'V9_ Services'!H$24,"")</f>
        <v/>
      </c>
      <c r="I43" s="150" t="str">
        <f>IF(VLOOKUP($E43,BDD!$A$2:$N$567,MATCH($H$23,BDD!$A$1:$P$1,0),FALSE)=I$24,'V9_ Services'!I$24,"")</f>
        <v/>
      </c>
      <c r="J43" s="150" t="str">
        <f>IF(VLOOKUP($E43,BDD!$A$2:$N$567,MATCH($H$23,BDD!$A$1:$P$1,0),FALSE)=J$24,'V9_ Services'!J$24,"")</f>
        <v/>
      </c>
      <c r="K43" s="150" t="str">
        <f>IF(VLOOKUP($E43,BDD!$A$2:$N$567,MATCH($H$23,BDD!$A$1:$P$1,0),FALSE)=K$24,'V9_ Services'!K$24,"")</f>
        <v>N4</v>
      </c>
      <c r="L43" s="151" t="str">
        <f>IF(VLOOKUP($E43,BDD!$A$2:$N$567,MATCH($H$23,BDD!$A$1:$P$1,0),FALSE)=L$24,'V9_ Services'!L$24,"")</f>
        <v/>
      </c>
      <c r="M43" s="63">
        <f t="shared" si="8"/>
        <v>0</v>
      </c>
      <c r="N43" s="146" t="str">
        <f>VLOOKUP(VLOOKUP(E43,BDD!$A$2:$P$567,15,FALSE),Suppl!$D$64:$E$68,2,FALSE)</f>
        <v>Non renseigné</v>
      </c>
      <c r="O43" s="629"/>
      <c r="P43" s="629"/>
      <c r="Q43" s="629"/>
      <c r="R43" s="629"/>
      <c r="S43" s="627">
        <f>IF(N43=Suppl!$E$65,0,IF(N43=Suppl!$E$66,1/2/(COUNTIFS($D:$D,D43,$N:$N,"Exigences"&amp;"*",G:G,"&lt;&gt;0")+COUNTIFS($D:$D,D43,$N:$N,"Non"&amp;"*",G:G,"&lt;&gt;0")),IF(N43=Suppl!$E$67,1/(COUNTIFS($D:$D,D43,$N:$N,"Exigences"&amp;"*",G:G,"&lt;&gt;0")+COUNTIFS($D:$D,D43,$N:$N,"Non"&amp;"*",G:G,"&lt;&gt;0")),0)))</f>
        <v>0</v>
      </c>
      <c r="T43" s="627"/>
      <c r="U43" s="627"/>
      <c r="V43" s="628"/>
      <c r="W43" s="356">
        <f>IFERROR(IF(N43=Suppl!$E$65,0,IF(N43=Suppl!$E$66,1/2/(COUNTIFS($N:$N,"Exigences"&amp;"*")+COUNTIFS($N:$N,"Non"&amp;"*")),IF(N43=Suppl!$E$67,1/(COUNTIFS($N:$N,"Exigences"&amp;"*")+COUNTIFS($N:$N,"Non"&amp;"*")),0))),0)</f>
        <v>0</v>
      </c>
      <c r="X43" s="30"/>
      <c r="Y43" s="30"/>
      <c r="Z43" s="30"/>
      <c r="AA43" s="30"/>
      <c r="AB43" s="30"/>
      <c r="AC43" s="30"/>
      <c r="AD43" s="30"/>
      <c r="AE43" s="30"/>
      <c r="AF43" s="30"/>
      <c r="AG43" s="30"/>
      <c r="AH43" s="311"/>
      <c r="AI43" s="30"/>
    </row>
    <row r="44" spans="1:35" ht="30" customHeight="1" x14ac:dyDescent="0.3">
      <c r="A44" s="311"/>
      <c r="B44" s="30"/>
      <c r="C44" s="30" t="str">
        <f t="shared" si="0"/>
        <v>9</v>
      </c>
      <c r="D44" s="32">
        <f t="shared" si="6"/>
        <v>3</v>
      </c>
      <c r="E44" s="32" t="str">
        <f t="shared" si="7"/>
        <v>935</v>
      </c>
      <c r="F44" s="143" t="s">
        <v>33</v>
      </c>
      <c r="G44" s="144" t="str">
        <f>VLOOKUP(E44,BDD!$A$2:$N$567,MATCH(G$24,BDD!$A$1:$P$1,0),FALSE)</f>
        <v>Le contrat fait figurer l’objectif et les attentes du client ainsi que les devoirs et obligations de chaque partie prenante.</v>
      </c>
      <c r="H44" s="149" t="str">
        <f>IF(VLOOKUP($E44,BDD!$A$2:$N$567,MATCH($H$23,BDD!$A$1:$P$1,0),FALSE)=H$24,'V9_ Services'!H$24,"")</f>
        <v/>
      </c>
      <c r="I44" s="150" t="str">
        <f>IF(VLOOKUP($E44,BDD!$A$2:$N$567,MATCH($H$23,BDD!$A$1:$P$1,0),FALSE)=I$24,'V9_ Services'!I$24,"")</f>
        <v/>
      </c>
      <c r="J44" s="150" t="str">
        <f>IF(VLOOKUP($E44,BDD!$A$2:$N$567,MATCH($H$23,BDD!$A$1:$P$1,0),FALSE)=J$24,'V9_ Services'!J$24,"")</f>
        <v/>
      </c>
      <c r="K44" s="150" t="str">
        <f>IF(VLOOKUP($E44,BDD!$A$2:$N$567,MATCH($H$23,BDD!$A$1:$P$1,0),FALSE)=K$24,'V9_ Services'!K$24,"")</f>
        <v>N4</v>
      </c>
      <c r="L44" s="151" t="str">
        <f>IF(VLOOKUP($E44,BDD!$A$2:$N$567,MATCH($H$23,BDD!$A$1:$P$1,0),FALSE)=L$24,'V9_ Services'!L$24,"")</f>
        <v/>
      </c>
      <c r="M44" s="63">
        <f t="shared" si="8"/>
        <v>0</v>
      </c>
      <c r="N44" s="144" t="str">
        <f>VLOOKUP(VLOOKUP(E44,BDD!$A$2:$P$567,15,FALSE),Suppl!$D$64:$E$68,2,FALSE)</f>
        <v>Non renseigné</v>
      </c>
      <c r="O44" s="629"/>
      <c r="P44" s="629"/>
      <c r="Q44" s="629"/>
      <c r="R44" s="629"/>
      <c r="S44" s="627">
        <f>IF(N44=Suppl!$E$65,0,IF(N44=Suppl!$E$66,1/2/(COUNTIFS($D:$D,D44,$N:$N,"Exigences"&amp;"*",G:G,"&lt;&gt;0")+COUNTIFS($D:$D,D44,$N:$N,"Non"&amp;"*",G:G,"&lt;&gt;0")),IF(N44=Suppl!$E$67,1/(COUNTIFS($D:$D,D44,$N:$N,"Exigences"&amp;"*",G:G,"&lt;&gt;0")+COUNTIFS($D:$D,D44,$N:$N,"Non"&amp;"*",G:G,"&lt;&gt;0")),0)))</f>
        <v>0</v>
      </c>
      <c r="T44" s="627"/>
      <c r="U44" s="627"/>
      <c r="V44" s="628"/>
      <c r="W44" s="356">
        <f>IFERROR(IF(N44=Suppl!$E$65,0,IF(N44=Suppl!$E$66,1/2/(COUNTIFS($N:$N,"Exigences"&amp;"*")+COUNTIFS($N:$N,"Non"&amp;"*")),IF(N44=Suppl!$E$67,1/(COUNTIFS($N:$N,"Exigences"&amp;"*")+COUNTIFS($N:$N,"Non"&amp;"*")),0))),0)</f>
        <v>0</v>
      </c>
      <c r="X44" s="30"/>
      <c r="Y44" s="30"/>
      <c r="Z44" s="30"/>
      <c r="AA44" s="30"/>
      <c r="AB44" s="30"/>
      <c r="AC44" s="30"/>
      <c r="AD44" s="30"/>
      <c r="AE44" s="30"/>
      <c r="AF44" s="30"/>
      <c r="AG44" s="30"/>
      <c r="AH44" s="311"/>
      <c r="AI44" s="30"/>
    </row>
    <row r="45" spans="1:35" ht="30" customHeight="1" x14ac:dyDescent="0.3">
      <c r="A45" s="311"/>
      <c r="B45" s="30"/>
      <c r="C45" s="30" t="str">
        <f t="shared" si="0"/>
        <v>9</v>
      </c>
      <c r="D45" s="32">
        <f t="shared" si="6"/>
        <v>3</v>
      </c>
      <c r="E45" s="32" t="str">
        <f t="shared" si="7"/>
        <v>936</v>
      </c>
      <c r="F45" s="147" t="s">
        <v>34</v>
      </c>
      <c r="G45" s="148" t="str">
        <f>VLOOKUP(E45,BDD!$A$2:$N$567,MATCH(G$24,BDD!$A$1:$P$1,0),FALSE)</f>
        <v xml:space="preserve">Le contrat est régulièrement actualisé, tant en termes de type de services que de structure de coûts. </v>
      </c>
      <c r="H45" s="149" t="str">
        <f>IF(VLOOKUP($E45,BDD!$A$2:$N$567,MATCH($H$23,BDD!$A$1:$P$1,0),FALSE)=H$24,'V9_ Services'!H$24,"")</f>
        <v/>
      </c>
      <c r="I45" s="150" t="str">
        <f>IF(VLOOKUP($E45,BDD!$A$2:$N$567,MATCH($H$23,BDD!$A$1:$P$1,0),FALSE)=I$24,'V9_ Services'!I$24,"")</f>
        <v/>
      </c>
      <c r="J45" s="150" t="str">
        <f>IF(VLOOKUP($E45,BDD!$A$2:$N$567,MATCH($H$23,BDD!$A$1:$P$1,0),FALSE)=J$24,'V9_ Services'!J$24,"")</f>
        <v/>
      </c>
      <c r="K45" s="150" t="str">
        <f>IF(VLOOKUP($E45,BDD!$A$2:$N$567,MATCH($H$23,BDD!$A$1:$P$1,0),FALSE)=K$24,'V9_ Services'!K$24,"")</f>
        <v/>
      </c>
      <c r="L45" s="151" t="str">
        <f>IF(VLOOKUP($E45,BDD!$A$2:$N$567,MATCH($H$23,BDD!$A$1:$P$1,0),FALSE)=L$24,'V9_ Services'!L$24,"")</f>
        <v>N5</v>
      </c>
      <c r="M45" s="63">
        <f t="shared" si="8"/>
        <v>0</v>
      </c>
      <c r="N45" s="148" t="str">
        <f>VLOOKUP(VLOOKUP(E45,BDD!$A$2:$P$567,15,FALSE),Suppl!$D$64:$E$68,2,FALSE)</f>
        <v>Non renseigné</v>
      </c>
      <c r="O45" s="629"/>
      <c r="P45" s="629"/>
      <c r="Q45" s="629"/>
      <c r="R45" s="629"/>
      <c r="S45" s="627">
        <f>IF(N45=Suppl!$E$65,0,IF(N45=Suppl!$E$66,1/2/(COUNTIFS($D:$D,D45,$N:$N,"Exigences"&amp;"*",G:G,"&lt;&gt;0")+COUNTIFS($D:$D,D45,$N:$N,"Non"&amp;"*",G:G,"&lt;&gt;0")),IF(N45=Suppl!$E$67,1/(COUNTIFS($D:$D,D45,$N:$N,"Exigences"&amp;"*",G:G,"&lt;&gt;0")+COUNTIFS($D:$D,D45,$N:$N,"Non"&amp;"*",G:G,"&lt;&gt;0")),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311"/>
      <c r="AI45" s="30"/>
    </row>
    <row r="46" spans="1:35" ht="30" customHeight="1" x14ac:dyDescent="0.3">
      <c r="A46" s="311"/>
      <c r="B46" s="30"/>
      <c r="C46" s="30" t="str">
        <f t="shared" si="0"/>
        <v>9</v>
      </c>
      <c r="D46" s="32">
        <f t="shared" si="6"/>
        <v>4</v>
      </c>
      <c r="E46" s="32" t="str">
        <f t="shared" si="7"/>
        <v>944</v>
      </c>
      <c r="F46" s="191" t="s">
        <v>502</v>
      </c>
      <c r="G46" s="192" t="str">
        <f>VLOOKUP(E48,BDD!$A$2:$N$567,6,FALSE)</f>
        <v>Activité de production</v>
      </c>
      <c r="H46" s="190"/>
      <c r="I46" s="135"/>
      <c r="J46" s="135"/>
      <c r="K46" s="135"/>
      <c r="L46" s="136"/>
      <c r="M46" s="137"/>
      <c r="N46" s="138"/>
      <c r="O46" s="630">
        <v>0</v>
      </c>
      <c r="P46" s="630"/>
      <c r="Q46" s="630"/>
      <c r="R46" s="630"/>
      <c r="S46" s="632">
        <f>SUMIFS(S:S,$D:$D,D46,$N:$N,"Exigences"&amp;"*")</f>
        <v>0</v>
      </c>
      <c r="T46" s="632"/>
      <c r="U46" s="632"/>
      <c r="V46" s="633"/>
      <c r="W46" s="356">
        <f>IFERROR(IF(N46=Suppl!$E$65,0,IF(N46=Suppl!$E$66,1/2/(COUNTIFS($N:$N,"Exigences"&amp;"*")+COUNTIFS($N:$N,"Non"&amp;"*")),IF(N46=Suppl!$E$67,1/(COUNTIFS($N:$N,"Exigences"&amp;"*")+COUNTIFS($N:$N,"Non"&amp;"*")),0))),0)</f>
        <v>0</v>
      </c>
      <c r="X46" s="30"/>
      <c r="Y46" s="30"/>
      <c r="Z46" s="30"/>
      <c r="AA46" s="30"/>
      <c r="AB46" s="30"/>
      <c r="AC46" s="30"/>
      <c r="AD46" s="30"/>
      <c r="AE46" s="30"/>
      <c r="AF46" s="30"/>
      <c r="AG46" s="30"/>
      <c r="AH46" s="311"/>
      <c r="AI46" s="30"/>
    </row>
    <row r="47" spans="1:35" ht="30" customHeight="1" x14ac:dyDescent="0.3">
      <c r="A47" s="311"/>
      <c r="B47" s="30"/>
      <c r="C47" s="30" t="str">
        <f t="shared" si="0"/>
        <v>9</v>
      </c>
      <c r="D47" s="32">
        <f t="shared" si="6"/>
        <v>4</v>
      </c>
      <c r="E47" s="32" t="str">
        <f t="shared" si="7"/>
        <v>941</v>
      </c>
      <c r="F47" s="211" t="s">
        <v>550</v>
      </c>
      <c r="G47" s="193" t="str">
        <f>VLOOKUP(E49,BDD!$A$2:$N$567,7,FALSE)</f>
        <v>La DSI pilote ses activités de production et de support à l’aide d’un tableau de bord.</v>
      </c>
      <c r="H47" s="139"/>
      <c r="I47" s="139"/>
      <c r="J47" s="139"/>
      <c r="K47" s="139"/>
      <c r="L47" s="140"/>
      <c r="M47" s="141"/>
      <c r="N47" s="142"/>
      <c r="O47" s="631"/>
      <c r="P47" s="631"/>
      <c r="Q47" s="631"/>
      <c r="R47" s="631"/>
      <c r="S47" s="634"/>
      <c r="T47" s="634"/>
      <c r="U47" s="634"/>
      <c r="V47" s="635"/>
      <c r="W47" s="356">
        <f>IFERROR(IF(N47=Suppl!$E$65,0,IF(N47=Suppl!$E$66,1/2/(COUNTIFS($N:$N,"Exigences"&amp;"*")+COUNTIFS($N:$N,"Non"&amp;"*")),IF(N47=Suppl!$E$67,1/(COUNTIFS($N:$N,"Exigences"&amp;"*")+COUNTIFS($N:$N,"Non"&amp;"*")),0))),0)</f>
        <v>0</v>
      </c>
      <c r="X47" s="30"/>
      <c r="Y47" s="30"/>
      <c r="Z47" s="30"/>
      <c r="AA47" s="30"/>
      <c r="AB47" s="30"/>
      <c r="AC47" s="30"/>
      <c r="AD47" s="30"/>
      <c r="AE47" s="30"/>
      <c r="AF47" s="30"/>
      <c r="AG47" s="30"/>
      <c r="AH47" s="311"/>
      <c r="AI47" s="30"/>
    </row>
    <row r="48" spans="1:35" ht="41.4" x14ac:dyDescent="0.3">
      <c r="A48" s="311"/>
      <c r="B48" s="30"/>
      <c r="C48" s="30" t="str">
        <f t="shared" si="0"/>
        <v>9</v>
      </c>
      <c r="D48" s="32">
        <f t="shared" si="6"/>
        <v>4</v>
      </c>
      <c r="E48" s="32" t="str">
        <f t="shared" si="7"/>
        <v>941</v>
      </c>
      <c r="F48" s="143" t="s">
        <v>27</v>
      </c>
      <c r="G48" s="144" t="str">
        <f>VLOOKUP(E48,BDD!$A$2:$N$567,MATCH(G$24,BDD!$A$1:$P$1,0),FALSE)</f>
        <v>La DSI a mis en place des ressources et des outils pour gérer et superviser la production, les changements, les configurations, les incidents et les problèmes, les données, les environnements, etc.</v>
      </c>
      <c r="H48" s="149" t="str">
        <f>IF(VLOOKUP($E48,BDD!$A$2:$N$567,MATCH($H$23,BDD!$A$1:$P$1,0),FALSE)=H$24,'V9_ Services'!H$24,"")</f>
        <v>N1</v>
      </c>
      <c r="I48" s="150" t="str">
        <f>IF(VLOOKUP($E48,BDD!$A$2:$N$567,MATCH($H$23,BDD!$A$1:$P$1,0),FALSE)=I$24,'V9_ Services'!I$24,"")</f>
        <v/>
      </c>
      <c r="J48" s="150" t="str">
        <f>IF(VLOOKUP($E48,BDD!$A$2:$N$567,MATCH($H$23,BDD!$A$1:$P$1,0),FALSE)=J$24,'V9_ Services'!J$24,"")</f>
        <v/>
      </c>
      <c r="K48" s="150" t="str">
        <f>IF(VLOOKUP($E48,BDD!$A$2:$N$567,MATCH($H$23,BDD!$A$1:$P$1,0),FALSE)=K$24,'V9_ Services'!K$24,"")</f>
        <v/>
      </c>
      <c r="L48" s="151" t="str">
        <f>IF(VLOOKUP($E48,BDD!$A$2:$N$567,MATCH($H$23,BDD!$A$1:$P$1,0),FALSE)=L$24,'V9_ Services'!L$24,"")</f>
        <v/>
      </c>
      <c r="M48" s="63">
        <f t="shared" ref="M48:M50" si="9">IF(N48="Exigences partiellement respectées",1,IF(N48="Exigences respectées",2,0))</f>
        <v>0</v>
      </c>
      <c r="N48" s="144" t="str">
        <f>VLOOKUP(VLOOKUP(E48,BDD!$A$2:$P$567,15,FALSE),Suppl!$D$64:$E$68,2,FALSE)</f>
        <v>Non renseigné</v>
      </c>
      <c r="O48" s="626"/>
      <c r="P48" s="626"/>
      <c r="Q48" s="626"/>
      <c r="R48" s="626"/>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311"/>
      <c r="AI48" s="30"/>
    </row>
    <row r="49" spans="1:35" ht="30" customHeight="1" x14ac:dyDescent="0.3">
      <c r="A49" s="311"/>
      <c r="B49" s="30"/>
      <c r="C49" s="30" t="str">
        <f t="shared" si="0"/>
        <v>9</v>
      </c>
      <c r="D49" s="32">
        <f t="shared" si="6"/>
        <v>4</v>
      </c>
      <c r="E49" s="32" t="str">
        <f t="shared" si="7"/>
        <v>942</v>
      </c>
      <c r="F49" s="145" t="s">
        <v>28</v>
      </c>
      <c r="G49" s="146" t="str">
        <f>VLOOKUP(E49,BDD!$A$2:$N$567,MATCH(G$24,BDD!$A$1:$P$1,0),FALSE)</f>
        <v>La DSI maîtrise les changements programmés et les interruptions prévisibles de services.</v>
      </c>
      <c r="H49" s="149" t="str">
        <f>IF(VLOOKUP($E49,BDD!$A$2:$N$567,MATCH($H$23,BDD!$A$1:$P$1,0),FALSE)=H$24,'V9_ Services'!H$24,"")</f>
        <v/>
      </c>
      <c r="I49" s="150" t="str">
        <f>IF(VLOOKUP($E49,BDD!$A$2:$N$567,MATCH($H$23,BDD!$A$1:$P$1,0),FALSE)=I$24,'V9_ Services'!I$24,"")</f>
        <v>N2</v>
      </c>
      <c r="J49" s="150" t="str">
        <f>IF(VLOOKUP($E49,BDD!$A$2:$N$567,MATCH($H$23,BDD!$A$1:$P$1,0),FALSE)=J$24,'V9_ Services'!J$24,"")</f>
        <v/>
      </c>
      <c r="K49" s="150" t="str">
        <f>IF(VLOOKUP($E49,BDD!$A$2:$N$567,MATCH($H$23,BDD!$A$1:$P$1,0),FALSE)=K$24,'V9_ Services'!K$24,"")</f>
        <v/>
      </c>
      <c r="L49" s="151" t="str">
        <f>IF(VLOOKUP($E49,BDD!$A$2:$N$567,MATCH($H$23,BDD!$A$1:$P$1,0),FALSE)=L$24,'V9_ Services'!L$24,"")</f>
        <v/>
      </c>
      <c r="M49" s="63">
        <f t="shared" si="9"/>
        <v>0</v>
      </c>
      <c r="N49" s="146" t="str">
        <f>VLOOKUP(VLOOKUP(E49,BDD!$A$2:$P$567,15,FALSE),Suppl!$D$64:$E$68,2,FALSE)</f>
        <v>Non renseigné</v>
      </c>
      <c r="O49" s="629"/>
      <c r="P49" s="629"/>
      <c r="Q49" s="629"/>
      <c r="R49" s="629"/>
      <c r="S49" s="627">
        <f>IF(N49=Suppl!$E$65,0,IF(N49=Suppl!$E$66,1/2/(COUNTIFS($D:$D,D49,$N:$N,"Exigences"&amp;"*",G:G,"&lt;&gt;0")+COUNTIFS($D:$D,D49,$N:$N,"Non"&amp;"*",G:G,"&lt;&gt;0")),IF(N49=Suppl!$E$67,1/(COUNTIFS($D:$D,D49,$N:$N,"Exigences"&amp;"*",G:G,"&lt;&gt;0")+COUNTIFS($D:$D,D49,$N:$N,"Non"&amp;"*",G:G,"&lt;&gt;0")),0)))</f>
        <v>0</v>
      </c>
      <c r="T49" s="627"/>
      <c r="U49" s="627"/>
      <c r="V49" s="628"/>
      <c r="W49" s="356">
        <f>IFERROR(IF(N49=Suppl!$E$65,0,IF(N49=Suppl!$E$66,1/2/(COUNTIFS($N:$N,"Exigences"&amp;"*")+COUNTIFS($N:$N,"Non"&amp;"*")),IF(N49=Suppl!$E$67,1/(COUNTIFS($N:$N,"Exigences"&amp;"*")+COUNTIFS($N:$N,"Non"&amp;"*")),0))),0)</f>
        <v>0</v>
      </c>
      <c r="X49" s="30"/>
      <c r="Y49" s="30"/>
      <c r="Z49" s="30"/>
      <c r="AA49" s="30"/>
      <c r="AB49" s="30"/>
      <c r="AC49" s="30"/>
      <c r="AD49" s="30"/>
      <c r="AE49" s="30"/>
      <c r="AF49" s="30"/>
      <c r="AG49" s="30"/>
      <c r="AH49" s="311"/>
      <c r="AI49" s="30"/>
    </row>
    <row r="50" spans="1:35" ht="30" customHeight="1" x14ac:dyDescent="0.3">
      <c r="A50" s="311"/>
      <c r="B50" s="30"/>
      <c r="C50" s="30" t="str">
        <f t="shared" si="0"/>
        <v>9</v>
      </c>
      <c r="D50" s="32">
        <f t="shared" si="6"/>
        <v>4</v>
      </c>
      <c r="E50" s="32" t="str">
        <f t="shared" si="7"/>
        <v>943</v>
      </c>
      <c r="F50" s="143" t="s">
        <v>30</v>
      </c>
      <c r="G50" s="144" t="str">
        <f>VLOOKUP(E50,BDD!$A$2:$N$567,MATCH(G$24,BDD!$A$1:$P$1,0),FALSE)</f>
        <v xml:space="preserve">La DSI communique efficacement avec ses clients en cas d’incident. </v>
      </c>
      <c r="H50" s="149" t="str">
        <f>IF(VLOOKUP($E50,BDD!$A$2:$N$567,MATCH($H$23,BDD!$A$1:$P$1,0),FALSE)=H$24,'V9_ Services'!H$24,"")</f>
        <v/>
      </c>
      <c r="I50" s="150" t="str">
        <f>IF(VLOOKUP($E50,BDD!$A$2:$N$567,MATCH($H$23,BDD!$A$1:$P$1,0),FALSE)=I$24,'V9_ Services'!I$24,"")</f>
        <v>N2</v>
      </c>
      <c r="J50" s="150" t="str">
        <f>IF(VLOOKUP($E50,BDD!$A$2:$N$567,MATCH($H$23,BDD!$A$1:$P$1,0),FALSE)=J$24,'V9_ Services'!J$24,"")</f>
        <v/>
      </c>
      <c r="K50" s="150" t="str">
        <f>IF(VLOOKUP($E50,BDD!$A$2:$N$567,MATCH($H$23,BDD!$A$1:$P$1,0),FALSE)=K$24,'V9_ Services'!K$24,"")</f>
        <v/>
      </c>
      <c r="L50" s="151" t="str">
        <f>IF(VLOOKUP($E50,BDD!$A$2:$N$567,MATCH($H$23,BDD!$A$1:$P$1,0),FALSE)=L$24,'V9_ Services'!L$24,"")</f>
        <v/>
      </c>
      <c r="M50" s="63">
        <f t="shared" si="9"/>
        <v>0</v>
      </c>
      <c r="N50" s="144" t="str">
        <f>VLOOKUP(VLOOKUP(E50,BDD!$A$2:$P$567,15,FALSE),Suppl!$D$64:$E$68,2,FALSE)</f>
        <v>Non renseigné</v>
      </c>
      <c r="O50" s="629"/>
      <c r="P50" s="629"/>
      <c r="Q50" s="629"/>
      <c r="R50" s="629"/>
      <c r="S50" s="627">
        <f>IF(N50=Suppl!$E$65,0,IF(N50=Suppl!$E$66,1/2/(COUNTIFS($D:$D,D50,$N:$N,"Exigences"&amp;"*",G:G,"&lt;&gt;0")+COUNTIFS($D:$D,D50,$N:$N,"Non"&amp;"*",G:G,"&lt;&gt;0")),IF(N50=Suppl!$E$67,1/(COUNTIFS($D:$D,D50,$N:$N,"Exigences"&amp;"*",G:G,"&lt;&gt;0")+COUNTIFS($D:$D,D50,$N:$N,"Non"&amp;"*",G:G,"&lt;&gt;0")),0)))</f>
        <v>0</v>
      </c>
      <c r="T50" s="627"/>
      <c r="U50" s="627"/>
      <c r="V50" s="628"/>
      <c r="W50" s="356">
        <f>IFERROR(IF(N50=Suppl!$E$65,0,IF(N50=Suppl!$E$66,1/2/(COUNTIFS($N:$N,"Exigences"&amp;"*")+COUNTIFS($N:$N,"Non"&amp;"*")),IF(N50=Suppl!$E$67,1/(COUNTIFS($N:$N,"Exigences"&amp;"*")+COUNTIFS($N:$N,"Non"&amp;"*")),0))),0)</f>
        <v>0</v>
      </c>
      <c r="X50" s="30"/>
      <c r="Y50" s="30"/>
      <c r="Z50" s="30"/>
      <c r="AA50" s="30"/>
      <c r="AB50" s="30"/>
      <c r="AC50" s="30"/>
      <c r="AD50" s="30"/>
      <c r="AE50" s="30"/>
      <c r="AF50" s="30"/>
      <c r="AG50" s="30"/>
      <c r="AH50" s="311"/>
      <c r="AI50" s="30"/>
    </row>
    <row r="51" spans="1:35" ht="30" customHeight="1" x14ac:dyDescent="0.3">
      <c r="A51" s="311"/>
      <c r="B51" s="30"/>
      <c r="C51" s="30" t="str">
        <f t="shared" si="0"/>
        <v>9</v>
      </c>
      <c r="D51" s="32">
        <f t="shared" ref="D51:D59" si="10">IF(LEFT(F51,5)="Bonne",D49+1,D50)</f>
        <v>5</v>
      </c>
      <c r="E51" s="32" t="str">
        <f t="shared" ref="E51:E59" si="11">C51&amp;D51&amp;RIGHT(F51,1)</f>
        <v>955</v>
      </c>
      <c r="F51" s="191" t="s">
        <v>503</v>
      </c>
      <c r="G51" s="192" t="str">
        <f>VLOOKUP(E53,BDD!$A$2:$N$567,6,FALSE)</f>
        <v>Amélioration continue de services</v>
      </c>
      <c r="H51" s="190"/>
      <c r="I51" s="135"/>
      <c r="J51" s="135"/>
      <c r="K51" s="135"/>
      <c r="L51" s="136"/>
      <c r="M51" s="137"/>
      <c r="N51" s="138"/>
      <c r="O51" s="630">
        <v>0</v>
      </c>
      <c r="P51" s="630"/>
      <c r="Q51" s="630"/>
      <c r="R51" s="630"/>
      <c r="S51" s="632">
        <f>SUMIFS(S:S,$D:$D,D51,$N:$N,"Exigences"&amp;"*")</f>
        <v>0</v>
      </c>
      <c r="T51" s="632"/>
      <c r="U51" s="632"/>
      <c r="V51" s="633"/>
      <c r="W51" s="356">
        <f>IFERROR(IF(N51=Suppl!$E$65,0,IF(N51=Suppl!$E$66,1/2/(COUNTIFS($N:$N,"Exigences"&amp;"*")+COUNTIFS($N:$N,"Non"&amp;"*")),IF(N51=Suppl!$E$67,1/(COUNTIFS($N:$N,"Exigences"&amp;"*")+COUNTIFS($N:$N,"Non"&amp;"*")),0))),0)</f>
        <v>0</v>
      </c>
      <c r="X51" s="30"/>
      <c r="Y51" s="30"/>
      <c r="Z51" s="30"/>
      <c r="AA51" s="30"/>
      <c r="AB51" s="30"/>
      <c r="AC51" s="30"/>
      <c r="AD51" s="30"/>
      <c r="AE51" s="30"/>
      <c r="AF51" s="30"/>
      <c r="AG51" s="30"/>
      <c r="AH51" s="311"/>
      <c r="AI51" s="30"/>
    </row>
    <row r="52" spans="1:35" ht="30" customHeight="1" x14ac:dyDescent="0.3">
      <c r="A52" s="311"/>
      <c r="B52" s="30"/>
      <c r="C52" s="30" t="str">
        <f t="shared" si="0"/>
        <v>9</v>
      </c>
      <c r="D52" s="32">
        <f t="shared" si="10"/>
        <v>5</v>
      </c>
      <c r="E52" s="32" t="str">
        <f t="shared" si="11"/>
        <v>951</v>
      </c>
      <c r="F52" s="211" t="s">
        <v>550</v>
      </c>
      <c r="G52" s="193" t="str">
        <f>VLOOKUP(E54,BDD!$A$2:$N$567,7,FALSE)</f>
        <v>La DSI a mis en place un processus d’amélioration continue basé sur la qualité perçue par l’utilisateur.</v>
      </c>
      <c r="H52" s="139"/>
      <c r="I52" s="139"/>
      <c r="J52" s="139"/>
      <c r="K52" s="139"/>
      <c r="L52" s="140"/>
      <c r="M52" s="141"/>
      <c r="N52" s="142"/>
      <c r="O52" s="631"/>
      <c r="P52" s="631"/>
      <c r="Q52" s="631"/>
      <c r="R52" s="631"/>
      <c r="S52" s="634"/>
      <c r="T52" s="634"/>
      <c r="U52" s="634"/>
      <c r="V52" s="635"/>
      <c r="W52" s="356">
        <f>IFERROR(IF(N52=Suppl!$E$65,0,IF(N52=Suppl!$E$66,1/2/(COUNTIFS($N:$N,"Exigences"&amp;"*")+COUNTIFS($N:$N,"Non"&amp;"*")),IF(N52=Suppl!$E$67,1/(COUNTIFS($N:$N,"Exigences"&amp;"*")+COUNTIFS($N:$N,"Non"&amp;"*")),0))),0)</f>
        <v>0</v>
      </c>
      <c r="X52" s="30"/>
      <c r="Y52" s="30"/>
      <c r="Z52" s="30"/>
      <c r="AA52" s="30"/>
      <c r="AB52" s="30"/>
      <c r="AC52" s="30"/>
      <c r="AD52" s="30"/>
      <c r="AE52" s="30"/>
      <c r="AF52" s="30"/>
      <c r="AG52" s="30"/>
      <c r="AH52" s="311"/>
      <c r="AI52" s="30"/>
    </row>
    <row r="53" spans="1:35" ht="41.4" x14ac:dyDescent="0.3">
      <c r="A53" s="311"/>
      <c r="B53" s="30"/>
      <c r="C53" s="30" t="str">
        <f t="shared" si="0"/>
        <v>9</v>
      </c>
      <c r="D53" s="32">
        <f t="shared" si="10"/>
        <v>5</v>
      </c>
      <c r="E53" s="32" t="str">
        <f t="shared" si="11"/>
        <v>951</v>
      </c>
      <c r="F53" s="143" t="s">
        <v>27</v>
      </c>
      <c r="G53" s="144" t="str">
        <f>VLOOKUP(E53,BDD!$A$2:$N$567,MATCH(G$24,BDD!$A$1:$P$1,0),FALSE)</f>
        <v>La DSI a mis en place des outils de mesure du bon fonctionnement et de la performance de ses services, avec un processus de collecte des réclamations et incidents relatifs aux services délivrés aux clients.</v>
      </c>
      <c r="H53" s="149" t="str">
        <f>IF(VLOOKUP($E53,BDD!$A$2:$N$567,MATCH($H$23,BDD!$A$1:$P$1,0),FALSE)=H$24,'V9_ Services'!H$24,"")</f>
        <v>N1</v>
      </c>
      <c r="I53" s="150" t="str">
        <f>IF(VLOOKUP($E53,BDD!$A$2:$N$567,MATCH($H$23,BDD!$A$1:$P$1,0),FALSE)=I$24,'V9_ Services'!I$24,"")</f>
        <v/>
      </c>
      <c r="J53" s="150" t="str">
        <f>IF(VLOOKUP($E53,BDD!$A$2:$N$567,MATCH($H$23,BDD!$A$1:$P$1,0),FALSE)=J$24,'V9_ Services'!J$24,"")</f>
        <v/>
      </c>
      <c r="K53" s="150" t="str">
        <f>IF(VLOOKUP($E53,BDD!$A$2:$N$567,MATCH($H$23,BDD!$A$1:$P$1,0),FALSE)=K$24,'V9_ Services'!K$24,"")</f>
        <v/>
      </c>
      <c r="L53" s="151" t="str">
        <f>IF(VLOOKUP($E53,BDD!$A$2:$N$567,MATCH($H$23,BDD!$A$1:$P$1,0),FALSE)=L$24,'V9_ Services'!L$24,"")</f>
        <v/>
      </c>
      <c r="M53" s="63">
        <f t="shared" ref="M53:M59" si="12">IF(N53="Exigences partiellement respectées",1,IF(N53="Exigences respectées",2,0))</f>
        <v>0</v>
      </c>
      <c r="N53" s="144" t="str">
        <f>VLOOKUP(VLOOKUP(E53,BDD!$A$2:$P$567,15,FALSE),Suppl!$D$64:$E$68,2,FALSE)</f>
        <v>Non renseigné</v>
      </c>
      <c r="O53" s="626"/>
      <c r="P53" s="626"/>
      <c r="Q53" s="626"/>
      <c r="R53" s="626"/>
      <c r="S53" s="653">
        <f>IF(N53=Suppl!$E$65,0,IF(N53=Suppl!$E$66,1/2/(COUNTIFS($D:$D,D53,$N:$N,"Exigences"&amp;"*",G:G,"&lt;&gt;0")+COUNTIFS($D:$D,D53,$N:$N,"Non"&amp;"*",G:G,"&lt;&gt;0")),IF(N53=Suppl!$E$67,1/(COUNTIFS($D:$D,D53,$N:$N,"Exigences"&amp;"*",G:G,"&lt;&gt;0")+COUNTIFS($D:$D,D53,$N:$N,"Non"&amp;"*",G:G,"&lt;&gt;0")),0)))</f>
        <v>0</v>
      </c>
      <c r="T53" s="653"/>
      <c r="U53" s="653"/>
      <c r="V53" s="654"/>
      <c r="W53" s="356">
        <f>IFERROR(IF(N53=Suppl!$E$65,0,IF(N53=Suppl!$E$66,1/2/(COUNTIFS($N:$N,"Exigences"&amp;"*")+COUNTIFS($N:$N,"Non"&amp;"*")),IF(N53=Suppl!$E$67,1/(COUNTIFS($N:$N,"Exigences"&amp;"*")+COUNTIFS($N:$N,"Non"&amp;"*")),0))),0)</f>
        <v>0</v>
      </c>
      <c r="X53" s="30"/>
      <c r="Y53" s="30"/>
      <c r="Z53" s="30"/>
      <c r="AA53" s="30"/>
      <c r="AB53" s="30"/>
      <c r="AC53" s="30"/>
      <c r="AD53" s="30"/>
      <c r="AE53" s="30"/>
      <c r="AF53" s="30"/>
      <c r="AG53" s="30"/>
      <c r="AH53" s="311"/>
      <c r="AI53" s="30"/>
    </row>
    <row r="54" spans="1:35" ht="30" customHeight="1" x14ac:dyDescent="0.3">
      <c r="A54" s="311"/>
      <c r="B54" s="30"/>
      <c r="C54" s="30" t="str">
        <f t="shared" si="0"/>
        <v>9</v>
      </c>
      <c r="D54" s="32">
        <f t="shared" si="10"/>
        <v>5</v>
      </c>
      <c r="E54" s="32" t="str">
        <f t="shared" si="11"/>
        <v>952</v>
      </c>
      <c r="F54" s="145" t="s">
        <v>28</v>
      </c>
      <c r="G54" s="146" t="str">
        <f>VLOOKUP(E54,BDD!$A$2:$N$567,MATCH(G$24,BDD!$A$1:$P$1,0),FALSE)</f>
        <v>La DSI mesure la satisfaction des utilisateurs via des questionnaires sur la qualité du service lors de sa livraison (ex : NPS, Net Promoter Score).</v>
      </c>
      <c r="H54" s="149" t="str">
        <f>IF(VLOOKUP($E54,BDD!$A$2:$N$567,MATCH($H$23,BDD!$A$1:$P$1,0),FALSE)=H$24,'V9_ Services'!H$24,"")</f>
        <v/>
      </c>
      <c r="I54" s="150" t="str">
        <f>IF(VLOOKUP($E54,BDD!$A$2:$N$567,MATCH($H$23,BDD!$A$1:$P$1,0),FALSE)=I$24,'V9_ Services'!I$24,"")</f>
        <v/>
      </c>
      <c r="J54" s="150" t="str">
        <f>IF(VLOOKUP($E54,BDD!$A$2:$N$567,MATCH($H$23,BDD!$A$1:$P$1,0),FALSE)=J$24,'V9_ Services'!J$24,"")</f>
        <v>N3</v>
      </c>
      <c r="K54" s="150" t="str">
        <f>IF(VLOOKUP($E54,BDD!$A$2:$N$567,MATCH($H$23,BDD!$A$1:$P$1,0),FALSE)=K$24,'V9_ Services'!K$24,"")</f>
        <v/>
      </c>
      <c r="L54" s="151" t="str">
        <f>IF(VLOOKUP($E54,BDD!$A$2:$N$567,MATCH($H$23,BDD!$A$1:$P$1,0),FALSE)=L$24,'V9_ Services'!L$24,"")</f>
        <v/>
      </c>
      <c r="M54" s="63">
        <f t="shared" si="12"/>
        <v>0</v>
      </c>
      <c r="N54" s="146" t="str">
        <f>VLOOKUP(VLOOKUP(E54,BDD!$A$2:$P$567,15,FALSE),Suppl!$D$64:$E$68,2,FALSE)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311"/>
      <c r="AI54" s="30"/>
    </row>
    <row r="55" spans="1:35" ht="30" customHeight="1" x14ac:dyDescent="0.3">
      <c r="A55" s="311"/>
      <c r="B55" s="30"/>
      <c r="C55" s="30" t="str">
        <f t="shared" si="0"/>
        <v>9</v>
      </c>
      <c r="D55" s="32">
        <f t="shared" si="10"/>
        <v>5</v>
      </c>
      <c r="E55" s="32" t="str">
        <f t="shared" si="11"/>
        <v>953</v>
      </c>
      <c r="F55" s="143" t="s">
        <v>30</v>
      </c>
      <c r="G55" s="144" t="str">
        <f>VLOOKUP(E55,BDD!$A$2:$N$567,MATCH(G$24,BDD!$A$1:$P$1,0),FALSE)</f>
        <v>La DSI a mis en place un processus d’amélioration continue basé sur la qualité de service mesurée et perçue.</v>
      </c>
      <c r="H55" s="149" t="str">
        <f>IF(VLOOKUP($E55,BDD!$A$2:$N$567,MATCH($H$23,BDD!$A$1:$P$1,0),FALSE)=H$24,'V9_ Services'!H$24,"")</f>
        <v/>
      </c>
      <c r="I55" s="150" t="str">
        <f>IF(VLOOKUP($E55,BDD!$A$2:$N$567,MATCH($H$23,BDD!$A$1:$P$1,0),FALSE)=I$24,'V9_ Services'!I$24,"")</f>
        <v/>
      </c>
      <c r="J55" s="150" t="str">
        <f>IF(VLOOKUP($E55,BDD!$A$2:$N$567,MATCH($H$23,BDD!$A$1:$P$1,0),FALSE)=J$24,'V9_ Services'!J$24,"")</f>
        <v/>
      </c>
      <c r="K55" s="150" t="str">
        <f>IF(VLOOKUP($E55,BDD!$A$2:$N$567,MATCH($H$23,BDD!$A$1:$P$1,0),FALSE)=K$24,'V9_ Services'!K$24,"")</f>
        <v>N4</v>
      </c>
      <c r="L55" s="151" t="str">
        <f>IF(VLOOKUP($E55,BDD!$A$2:$N$567,MATCH($H$23,BDD!$A$1:$P$1,0),FALSE)=L$24,'V9_ Services'!L$24,"")</f>
        <v/>
      </c>
      <c r="M55" s="63">
        <f t="shared" si="12"/>
        <v>0</v>
      </c>
      <c r="N55" s="144" t="str">
        <f>VLOOKUP(VLOOKUP(E55,BDD!$A$2:$P$567,15,FALSE),Suppl!$D$64:$E$68,2,FALSE)</f>
        <v>Non renseigné</v>
      </c>
      <c r="O55" s="629"/>
      <c r="P55" s="629"/>
      <c r="Q55" s="629"/>
      <c r="R55" s="629"/>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311"/>
      <c r="AI55" s="30"/>
    </row>
    <row r="56" spans="1:35" ht="41.4" x14ac:dyDescent="0.3">
      <c r="A56" s="311"/>
      <c r="B56" s="30"/>
      <c r="C56" s="30" t="str">
        <f t="shared" si="0"/>
        <v>9</v>
      </c>
      <c r="D56" s="32">
        <f t="shared" si="10"/>
        <v>5</v>
      </c>
      <c r="E56" s="32" t="str">
        <f t="shared" si="11"/>
        <v>954</v>
      </c>
      <c r="F56" s="145" t="s">
        <v>32</v>
      </c>
      <c r="G56" s="146" t="str">
        <f>VLOOKUP(E56,BDD!$A$2:$N$567,MATCH(G$24,BDD!$A$1:$P$1,0),FALSE)</f>
        <v>Les réclamations ou incidents remontés et les écarts constatés par rapport aux engagements font l’objet d’analyses régulières et de dispositifs de résolution réduisant leurs occurrences futures.</v>
      </c>
      <c r="H56" s="149" t="str">
        <f>IF(VLOOKUP($E56,BDD!$A$2:$N$567,MATCH($H$23,BDD!$A$1:$P$1,0),FALSE)=H$24,'V9_ Services'!H$24,"")</f>
        <v/>
      </c>
      <c r="I56" s="150" t="str">
        <f>IF(VLOOKUP($E56,BDD!$A$2:$N$567,MATCH($H$23,BDD!$A$1:$P$1,0),FALSE)=I$24,'V9_ Services'!I$24,"")</f>
        <v>N2</v>
      </c>
      <c r="J56" s="150" t="str">
        <f>IF(VLOOKUP($E56,BDD!$A$2:$N$567,MATCH($H$23,BDD!$A$1:$P$1,0),FALSE)=J$24,'V9_ Services'!J$24,"")</f>
        <v/>
      </c>
      <c r="K56" s="150" t="str">
        <f>IF(VLOOKUP($E56,BDD!$A$2:$N$567,MATCH($H$23,BDD!$A$1:$P$1,0),FALSE)=K$24,'V9_ Services'!K$24,"")</f>
        <v/>
      </c>
      <c r="L56" s="151" t="str">
        <f>IF(VLOOKUP($E56,BDD!$A$2:$N$567,MATCH($H$23,BDD!$A$1:$P$1,0),FALSE)=L$24,'V9_ Services'!L$24,"")</f>
        <v/>
      </c>
      <c r="M56" s="63">
        <f t="shared" si="12"/>
        <v>0</v>
      </c>
      <c r="N56" s="146" t="str">
        <f>VLOOKUP(VLOOKUP(E56,BDD!$A$2:$P$567,15,FALSE),Suppl!$D$64:$E$68,2,FALSE)</f>
        <v>Non renseigné</v>
      </c>
      <c r="O56" s="629"/>
      <c r="P56" s="629"/>
      <c r="Q56" s="629"/>
      <c r="R56" s="629"/>
      <c r="S56" s="627">
        <f>IF(N56=Suppl!$E$65,0,IF(N56=Suppl!$E$66,1/2/(COUNTIFS($D:$D,D56,$N:$N,"Exigences"&amp;"*",G:G,"&lt;&gt;0")+COUNTIFS($D:$D,D56,$N:$N,"Non"&amp;"*",G:G,"&lt;&gt;0")),IF(N56=Suppl!$E$67,1/(COUNTIFS($D:$D,D56,$N:$N,"Exigences"&amp;"*",G:G,"&lt;&gt;0")+COUNTIFS($D:$D,D56,$N:$N,"Non"&amp;"*",G:G,"&lt;&gt;0")),0)))</f>
        <v>0</v>
      </c>
      <c r="T56" s="627"/>
      <c r="U56" s="627"/>
      <c r="V56" s="628"/>
      <c r="W56" s="356">
        <f>IFERROR(IF(N56=Suppl!$E$65,0,IF(N56=Suppl!$E$66,1/2/(COUNTIFS($N:$N,"Exigences"&amp;"*")+COUNTIFS($N:$N,"Non"&amp;"*")),IF(N56=Suppl!$E$67,1/(COUNTIFS($N:$N,"Exigences"&amp;"*")+COUNTIFS($N:$N,"Non"&amp;"*")),0))),0)</f>
        <v>0</v>
      </c>
      <c r="X56" s="30"/>
      <c r="Y56" s="30"/>
      <c r="Z56" s="30"/>
      <c r="AA56" s="30"/>
      <c r="AB56" s="30"/>
      <c r="AC56" s="30"/>
      <c r="AD56" s="30"/>
      <c r="AE56" s="30"/>
      <c r="AF56" s="30"/>
      <c r="AG56" s="30"/>
      <c r="AH56" s="311"/>
      <c r="AI56" s="30"/>
    </row>
    <row r="57" spans="1:35" ht="42.6" customHeight="1" x14ac:dyDescent="0.3">
      <c r="A57" s="311"/>
      <c r="B57" s="30"/>
      <c r="C57" s="30" t="str">
        <f t="shared" si="0"/>
        <v>9</v>
      </c>
      <c r="D57" s="32">
        <f t="shared" si="10"/>
        <v>5</v>
      </c>
      <c r="E57" s="32" t="str">
        <f t="shared" si="11"/>
        <v>955</v>
      </c>
      <c r="F57" s="143" t="s">
        <v>33</v>
      </c>
      <c r="G57" s="144" t="str">
        <f>VLOOKUP(E57,BDD!$A$2:$N$567,MATCH(G$24,BDD!$A$1:$P$1,0),FALSE)</f>
        <v>Un tableau de bord de suivi de la qualité de services est établi à partir des indicateurs mentionnés au contrat de services (performance, résolutions d’incidents, etc.).</v>
      </c>
      <c r="H57" s="149" t="str">
        <f>IF(VLOOKUP($E57,BDD!$A$2:$N$567,MATCH($H$23,BDD!$A$1:$P$1,0),FALSE)=H$24,'V9_ Services'!H$24,"")</f>
        <v/>
      </c>
      <c r="I57" s="150" t="str">
        <f>IF(VLOOKUP($E57,BDD!$A$2:$N$567,MATCH($H$23,BDD!$A$1:$P$1,0),FALSE)=I$24,'V9_ Services'!I$24,"")</f>
        <v/>
      </c>
      <c r="J57" s="150" t="str">
        <f>IF(VLOOKUP($E57,BDD!$A$2:$N$567,MATCH($H$23,BDD!$A$1:$P$1,0),FALSE)=J$24,'V9_ Services'!J$24,"")</f>
        <v>N3</v>
      </c>
      <c r="K57" s="150" t="str">
        <f>IF(VLOOKUP($E57,BDD!$A$2:$N$567,MATCH($H$23,BDD!$A$1:$P$1,0),FALSE)=K$24,'V9_ Services'!K$24,"")</f>
        <v/>
      </c>
      <c r="L57" s="151" t="str">
        <f>IF(VLOOKUP($E57,BDD!$A$2:$N$567,MATCH($H$23,BDD!$A$1:$P$1,0),FALSE)=L$24,'V9_ Services'!L$24,"")</f>
        <v/>
      </c>
      <c r="M57" s="63">
        <f t="shared" si="12"/>
        <v>0</v>
      </c>
      <c r="N57" s="144" t="str">
        <f>VLOOKUP(VLOOKUP(E57,BDD!$A$2:$P$567,15,FALSE),Suppl!$D$64:$E$68,2,FALSE)</f>
        <v>Non renseigné</v>
      </c>
      <c r="O57" s="651"/>
      <c r="P57" s="629"/>
      <c r="Q57" s="629"/>
      <c r="R57" s="629"/>
      <c r="S57" s="627">
        <f>IF(N57=Suppl!$E$65,0,IF(N57=Suppl!$E$66,1/2/(COUNTIFS($D:$D,D57,$N:$N,"Exigences"&amp;"*",G:G,"&lt;&gt;0")+COUNTIFS($D:$D,D57,$N:$N,"Non"&amp;"*",G:G,"&lt;&gt;0")),IF(N57=Suppl!$E$67,1/(COUNTIFS($D:$D,D57,$N:$N,"Exigences"&amp;"*",G:G,"&lt;&gt;0")+COUNTIFS($D:$D,D57,$N:$N,"Non"&amp;"*",G:G,"&lt;&gt;0")),0)))</f>
        <v>0</v>
      </c>
      <c r="T57" s="627"/>
      <c r="U57" s="627"/>
      <c r="V57" s="628"/>
      <c r="W57" s="356">
        <f>IFERROR(IF(N57=Suppl!$E$65,0,IF(N57=Suppl!$E$66,1/2/(COUNTIFS($N:$N,"Exigences"&amp;"*")+COUNTIFS($N:$N,"Non"&amp;"*")),IF(N57=Suppl!$E$67,1/(COUNTIFS($N:$N,"Exigences"&amp;"*")+COUNTIFS($N:$N,"Non"&amp;"*")),0))),0)</f>
        <v>0</v>
      </c>
      <c r="X57" s="30"/>
      <c r="Y57" s="30"/>
      <c r="Z57" s="30"/>
      <c r="AA57" s="30"/>
      <c r="AB57" s="30"/>
      <c r="AC57" s="30"/>
      <c r="AD57" s="30"/>
      <c r="AE57" s="30"/>
      <c r="AF57" s="30"/>
      <c r="AG57" s="30"/>
      <c r="AH57" s="311"/>
      <c r="AI57" s="30"/>
    </row>
    <row r="58" spans="1:35" ht="30" customHeight="1" x14ac:dyDescent="0.3">
      <c r="A58" s="311"/>
      <c r="B58" s="30"/>
      <c r="C58" s="30" t="str">
        <f t="shared" si="0"/>
        <v>9</v>
      </c>
      <c r="D58" s="32">
        <f t="shared" si="10"/>
        <v>5</v>
      </c>
      <c r="E58" s="32" t="str">
        <f t="shared" si="11"/>
        <v>956</v>
      </c>
      <c r="F58" s="147" t="s">
        <v>34</v>
      </c>
      <c r="G58" s="148" t="str">
        <f>VLOOKUP(E58,BDD!$A$2:$N$567,MATCH(G$24,BDD!$A$1:$P$1,0),FALSE)</f>
        <v>Les indicateurs de mesure de la qualité et les enquêtes de satisfaction participent à l’évolution des contrats de services.</v>
      </c>
      <c r="H58" s="149" t="str">
        <f>IF(VLOOKUP($E58,BDD!$A$2:$N$567,MATCH($H$23,BDD!$A$1:$P$1,0),FALSE)=H$24,'V9_ Services'!H$24,"")</f>
        <v/>
      </c>
      <c r="I58" s="150" t="str">
        <f>IF(VLOOKUP($E58,BDD!$A$2:$N$567,MATCH($H$23,BDD!$A$1:$P$1,0),FALSE)=I$24,'V9_ Services'!I$24,"")</f>
        <v/>
      </c>
      <c r="J58" s="150" t="str">
        <f>IF(VLOOKUP($E58,BDD!$A$2:$N$567,MATCH($H$23,BDD!$A$1:$P$1,0),FALSE)=J$24,'V9_ Services'!J$24,"")</f>
        <v/>
      </c>
      <c r="K58" s="150" t="str">
        <f>IF(VLOOKUP($E58,BDD!$A$2:$N$567,MATCH($H$23,BDD!$A$1:$P$1,0),FALSE)=K$24,'V9_ Services'!K$24,"")</f>
        <v>N4</v>
      </c>
      <c r="L58" s="151" t="str">
        <f>IF(VLOOKUP($E58,BDD!$A$2:$N$567,MATCH($H$23,BDD!$A$1:$P$1,0),FALSE)=L$24,'V9_ Services'!L$24,"")</f>
        <v/>
      </c>
      <c r="M58" s="63">
        <f t="shared" si="12"/>
        <v>0</v>
      </c>
      <c r="N58" s="219" t="str">
        <f>VLOOKUP(VLOOKUP(E58,BDD!$A$2:$P$567,15,FALSE),Suppl!$D$64:$E$68,2,FALSE)</f>
        <v>Non renseigné</v>
      </c>
      <c r="O58" s="629"/>
      <c r="P58" s="629"/>
      <c r="Q58" s="629"/>
      <c r="R58" s="629"/>
      <c r="S58" s="627">
        <f>IF(N58=Suppl!$E$65,0,IF(N58=Suppl!$E$66,1/2/(COUNTIFS($D:$D,D58,$N:$N,"Exigences"&amp;"*",G:G,"&lt;&gt;0")+COUNTIFS($D:$D,D58,$N:$N,"Non"&amp;"*",G:G,"&lt;&gt;0")),IF(N58=Suppl!$E$67,1/(COUNTIFS($D:$D,D58,$N:$N,"Exigences"&amp;"*",G:G,"&lt;&gt;0")+COUNTIFS($D:$D,D58,$N:$N,"Non"&amp;"*",G:G,"&lt;&gt;0")),0)))</f>
        <v>0</v>
      </c>
      <c r="T58" s="627"/>
      <c r="U58" s="627"/>
      <c r="V58" s="628"/>
      <c r="W58" s="356">
        <f>IFERROR(IF(N58=Suppl!$E$65,0,IF(N58=Suppl!$E$66,1/2/(COUNTIFS($N:$N,"Exigences"&amp;"*")+COUNTIFS($N:$N,"Non"&amp;"*")),IF(N58=Suppl!$E$67,1/(COUNTIFS($N:$N,"Exigences"&amp;"*")+COUNTIFS($N:$N,"Non"&amp;"*")),0))),0)</f>
        <v>0</v>
      </c>
      <c r="X58" s="30"/>
      <c r="Y58" s="30"/>
      <c r="Z58" s="30"/>
      <c r="AA58" s="30"/>
      <c r="AB58" s="30"/>
      <c r="AC58" s="30"/>
      <c r="AD58" s="30"/>
      <c r="AE58" s="30"/>
      <c r="AF58" s="30"/>
      <c r="AG58" s="30"/>
      <c r="AH58" s="311"/>
      <c r="AI58" s="30"/>
    </row>
    <row r="59" spans="1:35" ht="30" customHeight="1" x14ac:dyDescent="0.3">
      <c r="A59" s="311"/>
      <c r="B59" s="30"/>
      <c r="C59" s="30" t="str">
        <f t="shared" si="0"/>
        <v>9</v>
      </c>
      <c r="D59" s="32">
        <f t="shared" si="10"/>
        <v>5</v>
      </c>
      <c r="E59" s="32" t="str">
        <f t="shared" si="11"/>
        <v>957</v>
      </c>
      <c r="F59" s="143" t="s">
        <v>36</v>
      </c>
      <c r="G59" s="144" t="str">
        <f>VLOOKUP(E59,BDD!$A$2:$N$567,MATCH(G$24,BDD!$A$1:$P$1,0),FALSE)</f>
        <v>La DSI valorise la mise en œuvre d’approches innovantes dans la délivrance de ses services.</v>
      </c>
      <c r="H59" s="149" t="str">
        <f>IF(VLOOKUP($E59,BDD!$A$2:$N$567,MATCH($H$23,BDD!$A$1:$P$1,0),FALSE)=H$24,'V9_ Services'!H$24,"")</f>
        <v/>
      </c>
      <c r="I59" s="150" t="str">
        <f>IF(VLOOKUP($E59,BDD!$A$2:$N$567,MATCH($H$23,BDD!$A$1:$P$1,0),FALSE)=I$24,'V9_ Services'!I$24,"")</f>
        <v/>
      </c>
      <c r="J59" s="150" t="str">
        <f>IF(VLOOKUP($E59,BDD!$A$2:$N$567,MATCH($H$23,BDD!$A$1:$P$1,0),FALSE)=J$24,'V9_ Services'!J$24,"")</f>
        <v/>
      </c>
      <c r="K59" s="150" t="str">
        <f>IF(VLOOKUP($E59,BDD!$A$2:$N$567,MATCH($H$23,BDD!$A$1:$P$1,0),FALSE)=K$24,'V9_ Services'!K$24,"")</f>
        <v/>
      </c>
      <c r="L59" s="151" t="str">
        <f>IF(VLOOKUP($E59,BDD!$A$2:$N$567,MATCH($H$23,BDD!$A$1:$P$1,0),FALSE)=L$24,'V9_ Services'!L$24,"")</f>
        <v>N5</v>
      </c>
      <c r="M59" s="63">
        <f t="shared" si="12"/>
        <v>0</v>
      </c>
      <c r="N59" s="144" t="str">
        <f>VLOOKUP(VLOOKUP(E59,BDD!$A$2:$P$567,15,FALSE),Suppl!$D$64:$E$68,2,FALSE)</f>
        <v>Non renseigné</v>
      </c>
      <c r="O59" s="636"/>
      <c r="P59" s="636"/>
      <c r="Q59" s="636"/>
      <c r="R59" s="636"/>
      <c r="S59" s="624">
        <f>IF(N59=Suppl!$E$65,0,IF(N59=Suppl!$E$66,1/2/(COUNTIFS($D:$D,D59,$N:$N,"Exigences"&amp;"*",G:G,"&lt;&gt;0")+COUNTIFS($D:$D,D59,$N:$N,"Non"&amp;"*",G:G,"&lt;&gt;0")),IF(N59=Suppl!$E$67,1/(COUNTIFS($D:$D,D59,$N:$N,"Exigences"&amp;"*",G:G,"&lt;&gt;0")+COUNTIFS($D:$D,D59,$N:$N,"Non"&amp;"*",G:G,"&lt;&gt;0")),0)))</f>
        <v>0</v>
      </c>
      <c r="T59" s="624"/>
      <c r="U59" s="624"/>
      <c r="V59" s="625"/>
      <c r="W59" s="356">
        <f>IFERROR(IF(N59=Suppl!$E$65,0,IF(N59=Suppl!$E$66,1/2/(COUNTIFS($N:$N,"Exigences"&amp;"*")+COUNTIFS($N:$N,"Non"&amp;"*")),IF(N59=Suppl!$E$67,1/(COUNTIFS($N:$N,"Exigences"&amp;"*")+COUNTIFS($N:$N,"Non"&amp;"*")),0))),0)</f>
        <v>0</v>
      </c>
      <c r="X59" s="30"/>
      <c r="Y59" s="30"/>
      <c r="Z59" s="30"/>
      <c r="AA59" s="30"/>
      <c r="AB59" s="30"/>
      <c r="AC59" s="30"/>
      <c r="AD59" s="30"/>
      <c r="AE59" s="30"/>
      <c r="AF59" s="30"/>
      <c r="AG59" s="30"/>
      <c r="AH59" s="311"/>
      <c r="AI59" s="30"/>
    </row>
    <row r="60" spans="1:35" ht="30" customHeight="1" x14ac:dyDescent="0.3">
      <c r="A60" s="311"/>
      <c r="B60" s="30"/>
      <c r="C60" s="30"/>
      <c r="D60" s="32"/>
      <c r="E60" s="32"/>
      <c r="F60" s="30"/>
      <c r="G60" s="32"/>
      <c r="H60" s="32"/>
      <c r="I60" s="32"/>
      <c r="J60" s="32"/>
      <c r="K60" s="32"/>
      <c r="L60" s="32"/>
      <c r="M60" s="32"/>
      <c r="N60" s="30"/>
      <c r="O60" s="30"/>
      <c r="P60" s="30"/>
      <c r="Q60" s="30"/>
      <c r="R60" s="30"/>
      <c r="S60" s="30"/>
      <c r="T60" s="30"/>
      <c r="U60" s="30"/>
      <c r="V60" s="30"/>
      <c r="W60" s="33"/>
      <c r="X60" s="30"/>
      <c r="Y60" s="30"/>
      <c r="Z60" s="30"/>
      <c r="AA60" s="30"/>
      <c r="AB60" s="30"/>
      <c r="AC60" s="30"/>
      <c r="AD60" s="30"/>
      <c r="AE60" s="30"/>
      <c r="AF60" s="30"/>
      <c r="AG60" s="30"/>
      <c r="AH60" s="311"/>
      <c r="AI60" s="30"/>
    </row>
    <row r="61" spans="1:35" ht="30" customHeight="1" x14ac:dyDescent="0.3">
      <c r="A61" s="311" t="s">
        <v>164</v>
      </c>
      <c r="B61" s="311"/>
      <c r="C61" s="311"/>
      <c r="D61" s="311"/>
      <c r="E61" s="311"/>
      <c r="F61" s="311"/>
      <c r="G61" s="316"/>
      <c r="H61" s="316"/>
      <c r="I61" s="316"/>
      <c r="J61" s="316"/>
      <c r="K61" s="316"/>
      <c r="L61" s="316"/>
      <c r="M61" s="316"/>
      <c r="N61" s="311"/>
      <c r="O61" s="311"/>
      <c r="P61" s="311"/>
      <c r="Q61" s="311"/>
      <c r="R61" s="311"/>
      <c r="S61" s="311"/>
      <c r="T61" s="311"/>
      <c r="U61" s="311"/>
      <c r="V61" s="311"/>
      <c r="W61" s="319"/>
      <c r="X61" s="311"/>
      <c r="Y61" s="311"/>
      <c r="Z61" s="311"/>
      <c r="AA61" s="311"/>
      <c r="AB61" s="311"/>
      <c r="AC61" s="311"/>
      <c r="AD61" s="311"/>
      <c r="AE61" s="311"/>
      <c r="AF61" s="311"/>
      <c r="AG61" s="311"/>
      <c r="AH61" s="311" t="s">
        <v>164</v>
      </c>
      <c r="AI61" s="30"/>
    </row>
  </sheetData>
  <sheetProtection algorithmName="SHA-512" hashValue="VwGbnlb7JZOhUXdwPYKFbntIrFyyPsACLyo6VcaBVVdXJQ81FQyxsMuyDhSyR4OHIKVjiRD65hLWafJeXM1wLQ==" saltValue="q/3CyjbHWpM7dDOSvxechw=="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66">
    <mergeCell ref="AD7:AD10"/>
    <mergeCell ref="O21:R21"/>
    <mergeCell ref="O22:R22"/>
    <mergeCell ref="O24:R24"/>
    <mergeCell ref="S24:V24"/>
    <mergeCell ref="O20:R20"/>
    <mergeCell ref="O25:R26"/>
    <mergeCell ref="S25:V26"/>
    <mergeCell ref="O30:R30"/>
    <mergeCell ref="S30:V30"/>
    <mergeCell ref="O31:R31"/>
    <mergeCell ref="S31:V31"/>
    <mergeCell ref="O32:R32"/>
    <mergeCell ref="S32:V32"/>
    <mergeCell ref="O27:R27"/>
    <mergeCell ref="S27:V27"/>
    <mergeCell ref="O28:R28"/>
    <mergeCell ref="S28:V28"/>
    <mergeCell ref="O29:R29"/>
    <mergeCell ref="S29:V29"/>
    <mergeCell ref="O36:R36"/>
    <mergeCell ref="S36:V36"/>
    <mergeCell ref="O37:R37"/>
    <mergeCell ref="S37:V37"/>
    <mergeCell ref="O33:R34"/>
    <mergeCell ref="S33:V34"/>
    <mergeCell ref="O35:R35"/>
    <mergeCell ref="S35:V35"/>
    <mergeCell ref="O38:R39"/>
    <mergeCell ref="S38:V39"/>
    <mergeCell ref="O40:R40"/>
    <mergeCell ref="S40:V40"/>
    <mergeCell ref="O41:R41"/>
    <mergeCell ref="S41:V41"/>
    <mergeCell ref="O45:R45"/>
    <mergeCell ref="S45:V45"/>
    <mergeCell ref="O46:R47"/>
    <mergeCell ref="S46:V47"/>
    <mergeCell ref="O42:R42"/>
    <mergeCell ref="S42:V42"/>
    <mergeCell ref="O43:R43"/>
    <mergeCell ref="S43:V43"/>
    <mergeCell ref="O44:R44"/>
    <mergeCell ref="S44:V44"/>
    <mergeCell ref="O48:R48"/>
    <mergeCell ref="S48:V48"/>
    <mergeCell ref="O49:R49"/>
    <mergeCell ref="S49:V49"/>
    <mergeCell ref="O50:R50"/>
    <mergeCell ref="S50:V50"/>
    <mergeCell ref="O58:R58"/>
    <mergeCell ref="S58:V58"/>
    <mergeCell ref="O59:R59"/>
    <mergeCell ref="S59:V59"/>
    <mergeCell ref="O51:R52"/>
    <mergeCell ref="S51:V52"/>
    <mergeCell ref="O53:R53"/>
    <mergeCell ref="S53:V53"/>
    <mergeCell ref="O57:R57"/>
    <mergeCell ref="S57:V57"/>
    <mergeCell ref="O54:R54"/>
    <mergeCell ref="S54:V54"/>
    <mergeCell ref="O55:R55"/>
    <mergeCell ref="S55:V55"/>
    <mergeCell ref="O56:R56"/>
    <mergeCell ref="S56:V56"/>
  </mergeCells>
  <conditionalFormatting sqref="G13:G19 G22">
    <cfRule type="expression" dxfId="59" priority="13">
      <formula>$G13&lt;&gt;""</formula>
    </cfRule>
  </conditionalFormatting>
  <conditionalFormatting sqref="H27:L59">
    <cfRule type="expression" dxfId="58" priority="14">
      <formula>AND($N27="Non évalué",H27&lt;&gt;"")</formula>
    </cfRule>
    <cfRule type="expression" dxfId="57" priority="15">
      <formula>AND($N27="Exigences non respectées",H27&lt;&gt;"")</formula>
    </cfRule>
    <cfRule type="expression" dxfId="56" priority="16">
      <formula>AND($N27="Exigences partiellement respectées",H27&lt;&gt;"")</formula>
    </cfRule>
    <cfRule type="expression" dxfId="55" priority="17">
      <formula>AND($N27="Exigences respectées",H27&lt;&gt;"")</formula>
    </cfRule>
  </conditionalFormatting>
  <conditionalFormatting sqref="G5:G11">
    <cfRule type="expression" dxfId="54" priority="6">
      <formula>$G5&lt;&gt;""</formula>
    </cfRule>
  </conditionalFormatting>
  <conditionalFormatting sqref="O8:U12">
    <cfRule type="cellIs" dxfId="53" priority="3" operator="equal">
      <formula>3</formula>
    </cfRule>
    <cfRule type="cellIs" dxfId="52" priority="4" operator="equal">
      <formula>2</formula>
    </cfRule>
    <cfRule type="cellIs" dxfId="51" priority="5" operator="equal">
      <formula>1</formula>
    </cfRule>
  </conditionalFormatting>
  <conditionalFormatting sqref="G20:G21">
    <cfRule type="expression" dxfId="50" priority="2">
      <formula>$G20&lt;&gt;""</formula>
    </cfRule>
  </conditionalFormatting>
  <conditionalFormatting sqref="O20:R20">
    <cfRule type="cellIs" dxfId="49"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6E62AE9-107F-49FB-95D9-2A327AD75A0D}">
          <x14:formula1>
            <xm:f>Suppl!$E$65:$E$69</xm:f>
          </x14:formula1>
          <xm:sqref>W15 W8:W12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C59EA-DCA8-4C22-B7F0-11286A88CF92}">
  <sheetPr codeName="Feuil48">
    <tabColor rgb="FF69625F"/>
  </sheetPr>
  <dimension ref="A1:P118"/>
  <sheetViews>
    <sheetView showGridLines="0" showRowColHeaders="0" zoomScale="67" zoomScaleNormal="67" workbookViewId="0">
      <selection activeCell="J95" sqref="J95"/>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109"/>
      <c r="B1" s="231" t="s">
        <v>567</v>
      </c>
      <c r="C1" s="110"/>
      <c r="D1" s="110"/>
      <c r="E1" s="110"/>
      <c r="F1" s="110"/>
      <c r="G1" s="109"/>
      <c r="H1" s="111"/>
      <c r="I1" s="111"/>
      <c r="J1" s="232" t="str">
        <f>VLOOKUP($E$12,BDD!$A$2:$N$567,3,FALSE)</f>
        <v xml:space="preserve">Ressources humaines </v>
      </c>
      <c r="K1" s="111"/>
      <c r="L1" s="109"/>
      <c r="M1" s="109"/>
      <c r="N1" s="109"/>
      <c r="O1" s="109"/>
      <c r="P1" s="109"/>
    </row>
    <row r="2" spans="1:16" ht="45" customHeight="1" x14ac:dyDescent="0.3">
      <c r="A2" s="109"/>
      <c r="B2" s="109"/>
      <c r="C2" s="109"/>
      <c r="D2" s="109"/>
      <c r="E2" s="109"/>
      <c r="F2" s="109"/>
      <c r="G2" s="109"/>
      <c r="H2" s="109"/>
      <c r="I2" s="109"/>
      <c r="J2" s="114" t="str">
        <f>VLOOKUP($E$12,BDD!$A$2:$N$567,4,FALSE)</f>
        <v>Acquérir, organiser et manager les talents et les compétences.</v>
      </c>
      <c r="K2" s="109"/>
      <c r="L2" s="109"/>
      <c r="M2" s="109"/>
      <c r="N2" s="109"/>
      <c r="O2" s="109"/>
      <c r="P2" s="109"/>
    </row>
    <row r="3" spans="1:16" ht="18" x14ac:dyDescent="0.35">
      <c r="A3" s="109"/>
      <c r="B3" s="68"/>
      <c r="C3" s="68"/>
      <c r="D3" s="68"/>
      <c r="E3" s="68"/>
      <c r="F3" s="68"/>
      <c r="G3" s="69" t="str">
        <f>IF(Suppl!B64=2,"Le vecteur n'est pas utilisé","")</f>
        <v/>
      </c>
      <c r="H3" s="69"/>
      <c r="I3" s="69"/>
      <c r="J3" s="69"/>
      <c r="K3" s="69"/>
      <c r="L3" s="70"/>
      <c r="M3" s="68"/>
      <c r="N3" s="68"/>
      <c r="O3" s="68"/>
      <c r="P3" s="109"/>
    </row>
    <row r="4" spans="1:16" x14ac:dyDescent="0.3">
      <c r="A4" s="109"/>
      <c r="B4" s="68"/>
      <c r="C4" s="68"/>
      <c r="D4" s="68"/>
      <c r="E4" s="68"/>
      <c r="F4" s="68"/>
      <c r="G4" s="68"/>
      <c r="H4" s="68"/>
      <c r="I4" s="68"/>
      <c r="J4" s="68"/>
      <c r="K4" s="68"/>
      <c r="L4" s="68"/>
      <c r="M4" s="68"/>
      <c r="N4" s="68"/>
      <c r="O4" s="68"/>
      <c r="P4" s="109"/>
    </row>
    <row r="5" spans="1:16" ht="25.8" x14ac:dyDescent="0.5">
      <c r="A5" s="229"/>
      <c r="B5" s="74"/>
      <c r="C5" s="68" t="str">
        <f>IF(LEFT(RIGHT($B$1,2),1)=" ",RIGHT($B$1,1),RIGHT($B$1,2))</f>
        <v>10</v>
      </c>
      <c r="D5" s="68">
        <f>IF(LEFT(F5,14)="Bonne pratique",D4+1,D4)</f>
        <v>1</v>
      </c>
      <c r="E5" s="71"/>
      <c r="F5" s="208" t="s">
        <v>499</v>
      </c>
      <c r="G5" s="75"/>
      <c r="H5" s="205"/>
      <c r="I5" s="73"/>
      <c r="J5" s="73" t="str">
        <f>VLOOKUP(E12,BDD!$A$2:$N$567,6,FALSE)</f>
        <v>Plan RH cohérent avec la stratégie numérique</v>
      </c>
      <c r="K5" s="72"/>
      <c r="L5" s="75"/>
      <c r="M5" s="75"/>
      <c r="N5" s="75"/>
      <c r="O5" s="74"/>
      <c r="P5" s="229"/>
    </row>
    <row r="6" spans="1:16" x14ac:dyDescent="0.3">
      <c r="A6" s="109"/>
      <c r="B6" s="68"/>
      <c r="C6" s="68" t="str">
        <f t="shared" ref="C6:C69" si="0">IF(LEFT(RIGHT($B$1,2),1)=" ",RIGHT($B$1,1),RIGHT($B$1,2))</f>
        <v>10</v>
      </c>
      <c r="D6" s="68">
        <f>IF(LEFT(F6,14)="Bonne pratique",D5+1,D5)</f>
        <v>1</v>
      </c>
      <c r="E6" s="68"/>
      <c r="F6" s="68"/>
      <c r="G6" s="68"/>
      <c r="H6" s="68"/>
      <c r="I6" s="68"/>
      <c r="J6" s="68"/>
      <c r="K6" s="68"/>
      <c r="L6" s="68"/>
      <c r="M6" s="68"/>
      <c r="N6" s="68"/>
      <c r="O6" s="68"/>
      <c r="P6" s="109"/>
    </row>
    <row r="7" spans="1:16" ht="23.4" customHeight="1" x14ac:dyDescent="0.35">
      <c r="A7" s="230"/>
      <c r="B7" s="76"/>
      <c r="C7" s="68" t="str">
        <f t="shared" si="0"/>
        <v>10</v>
      </c>
      <c r="D7" s="68">
        <f t="shared" ref="D7:D67" si="1">IF(LEFT(F7,14)="Bonne pratique",D6+1,D6)</f>
        <v>1</v>
      </c>
      <c r="E7" s="76"/>
      <c r="F7" s="76"/>
      <c r="G7" s="76"/>
      <c r="H7" s="76"/>
      <c r="I7" s="77"/>
      <c r="J7" s="207" t="str">
        <f>IFERROR(_xlfn.TEXTBEFORE(VLOOKUP(E12,BDD!$A$2:$N$567,7,FALSE)," ",30),VLOOKUP(E12,BDD!$A$2:$N$567,7,FALSE))</f>
        <v>La gestion des ressources humaines du numérique permet de garantir le fonctionnement des systèmes actuels et d’anticiper les besoins futurs de l’organisation.</v>
      </c>
      <c r="K7" s="77"/>
      <c r="L7" s="76"/>
      <c r="M7" s="76"/>
      <c r="N7" s="76"/>
      <c r="O7" s="76"/>
      <c r="P7" s="230"/>
    </row>
    <row r="8" spans="1:16" ht="18" x14ac:dyDescent="0.35">
      <c r="A8" s="109"/>
      <c r="B8" s="68"/>
      <c r="C8" s="68" t="str">
        <f t="shared" si="0"/>
        <v>10</v>
      </c>
      <c r="D8" s="68">
        <f t="shared" si="1"/>
        <v>1</v>
      </c>
      <c r="E8" s="68"/>
      <c r="F8" s="68"/>
      <c r="G8" s="68"/>
      <c r="H8" s="68"/>
      <c r="I8" s="68"/>
      <c r="J8" s="207" t="str">
        <f>IFERROR(_xlfn.TEXTAFTER(VLOOKUP(E12,BDD!$A$2:$N$567,7,FALSE)," ",30),"")</f>
        <v/>
      </c>
      <c r="K8" s="68"/>
      <c r="L8" s="68"/>
      <c r="M8" s="68"/>
      <c r="N8" s="68"/>
      <c r="O8" s="68"/>
      <c r="P8" s="109"/>
    </row>
    <row r="9" spans="1:16" x14ac:dyDescent="0.3">
      <c r="A9" s="109"/>
      <c r="B9" s="68"/>
      <c r="C9" s="68" t="str">
        <f t="shared" si="0"/>
        <v>10</v>
      </c>
      <c r="D9" s="68">
        <f t="shared" si="1"/>
        <v>1</v>
      </c>
      <c r="E9" s="68"/>
      <c r="F9" s="68"/>
      <c r="G9" s="78"/>
      <c r="H9" s="78"/>
      <c r="I9" s="78"/>
      <c r="J9" s="78"/>
      <c r="K9" s="78"/>
      <c r="L9" s="78"/>
      <c r="M9" s="618" t="s">
        <v>92</v>
      </c>
      <c r="N9" s="618"/>
      <c r="O9" s="68"/>
      <c r="P9" s="109"/>
    </row>
    <row r="10" spans="1:16" ht="33" x14ac:dyDescent="0.3">
      <c r="A10" s="109"/>
      <c r="B10" s="68"/>
      <c r="C10" s="68" t="str">
        <f t="shared" si="0"/>
        <v>10</v>
      </c>
      <c r="D10" s="68">
        <f t="shared" si="1"/>
        <v>1</v>
      </c>
      <c r="E10" s="68"/>
      <c r="F10" s="79"/>
      <c r="G10" s="80" t="s">
        <v>561</v>
      </c>
      <c r="H10" s="80" t="s">
        <v>82</v>
      </c>
      <c r="I10" s="126" t="s">
        <v>21</v>
      </c>
      <c r="J10" s="80" t="s">
        <v>84</v>
      </c>
      <c r="K10" s="80" t="s">
        <v>549</v>
      </c>
      <c r="L10" s="78"/>
      <c r="M10" s="81" t="s">
        <v>86</v>
      </c>
      <c r="N10" s="82" t="s">
        <v>87</v>
      </c>
      <c r="O10" s="68"/>
      <c r="P10" s="109"/>
    </row>
    <row r="11" spans="1:16" x14ac:dyDescent="0.3">
      <c r="A11" s="109"/>
      <c r="B11" s="68"/>
      <c r="C11" s="68" t="str">
        <f t="shared" si="0"/>
        <v>10</v>
      </c>
      <c r="D11" s="68">
        <f t="shared" si="1"/>
        <v>1</v>
      </c>
      <c r="E11" s="68"/>
      <c r="F11" s="68"/>
      <c r="G11" s="83"/>
      <c r="H11" s="83"/>
      <c r="I11" s="83"/>
      <c r="J11" s="68"/>
      <c r="K11" s="83"/>
      <c r="L11" s="68"/>
      <c r="M11" s="68"/>
      <c r="N11" s="68"/>
      <c r="O11" s="68"/>
      <c r="P11" s="109"/>
    </row>
    <row r="12" spans="1:16" ht="135.6" customHeight="1" x14ac:dyDescent="0.3">
      <c r="A12" s="109"/>
      <c r="B12" s="68"/>
      <c r="C12" s="68" t="str">
        <f t="shared" si="0"/>
        <v>10</v>
      </c>
      <c r="D12" s="68">
        <f t="shared" si="1"/>
        <v>1</v>
      </c>
      <c r="E12" s="84" t="str">
        <f>C12&amp;D12&amp;RIGHT(F12,1)</f>
        <v>1011</v>
      </c>
      <c r="F12" s="66" t="s">
        <v>27</v>
      </c>
      <c r="G12" s="67" t="str">
        <f>IFERROR(IF(VLOOKUP($E12,BDD!$A$1:$S$567,MATCH(G$10,BDD!$A$1:$P$1,0),FALSE)=0,"",VLOOKUP($E12,BDD!$A$1:$S$567,MATCH(G$10,BDD!$A$1:$P$1,0),FALSE)),"")</f>
        <v>Un plan RH de moyen terme de la DSI est formalisé, aligné sur le plan SI et en cohérence avec la stratégie et la politique RH de l’entreprise.</v>
      </c>
      <c r="H12" s="85" t="str">
        <f>IF(VLOOKUP(E12,BDD!$A$1:$S$567,15,FALSE)=0,"Critère non évalué","")</f>
        <v>Critère non évalué</v>
      </c>
      <c r="I12" s="66" t="str">
        <f>IFERROR(IF(VLOOKUP($E12,BDD!$A$1:$S$567,MATCH(I$10,BDD!$A$1:$P$1,0),FALSE)=0,"",VLOOKUP($E12,BDD!$A$1:$S$567,MATCH(I$10,BDD!$A$1:$P$1,0),FALSE)),"")</f>
        <v>N2</v>
      </c>
      <c r="J12" s="86"/>
      <c r="K12" s="67" t="str">
        <f>IFERROR(IF(VLOOKUP($E12,BDD!$A$1:$S$567,MATCH(K$10,BDD!$A$1:$P$1,0),FALSE)=0,"",VLOOKUP($E12,BDD!$A$1:$S$567,MATCH(K$10,BDD!$A$1:$P$1,0),FALSE)),"")</f>
        <v>• Il définit les besoins futurs en compétences et le calendrier de disponibilité des ressources.
• Il décrit les moyens mis en œuvre pour les acquérir (formation et développement professionnel des collaborateurs, partenariat avec les écoles, salons, approche directe, etc.).
• Il intègre les perspectives d'externalisation.
• Il prend en compte les technologies émergentes (Intelligence Artificielle, Low Code, etc.) et leurs impacts sur les métiers de la DSI.
• Il s’inscrit dans un horizon pluriannuel aligné sur le plan stratégique de l’entreprise.
• Il repose sur une démarche de planification des ressources permettant de se projeter à moyen terme (3-5 ans) afin d’anticiper les évolutions technologiques.</v>
      </c>
      <c r="L12" s="68"/>
      <c r="M12" s="87"/>
      <c r="N12" s="87"/>
      <c r="O12" s="68"/>
      <c r="P12" s="109"/>
    </row>
    <row r="13" spans="1:16" ht="130.05000000000001" customHeight="1" x14ac:dyDescent="0.3">
      <c r="A13" s="109"/>
      <c r="B13" s="68"/>
      <c r="C13" s="68" t="str">
        <f t="shared" si="0"/>
        <v>10</v>
      </c>
      <c r="D13" s="68">
        <f t="shared" si="1"/>
        <v>1</v>
      </c>
      <c r="E13" s="84" t="str">
        <f t="shared" ref="E13:E82" si="2">C13&amp;D13&amp;RIGHT(F13,1)</f>
        <v>1012</v>
      </c>
      <c r="F13" s="94" t="s">
        <v>28</v>
      </c>
      <c r="G13" s="65" t="str">
        <f>IFERROR(IF(VLOOKUP($E13,BDD!$A$1:$S$567,MATCH(G$10,BDD!$A$1:$P$1,0),FALSE)=0,"",VLOOKUP($E13,BDD!$A$1:$S$567,MATCH(G$10,BDD!$A$1:$P$1,0),FALSE)),"")</f>
        <v>Un plan de résorption des écarts entre les besoins et la situation actuelle est réalisé, formalisé et mis en œuvre (formation, recrutement, partenariats fournisseurs et startups). La synthèse en est présentée au comité de direction de la DSI et partagée avec la DRH.</v>
      </c>
      <c r="H13" s="88" t="str">
        <f>IF(VLOOKUP(E13,BDD!$A$1:$S$567,15,FALSE)=0,"Critère non évalué","")</f>
        <v>Critère non évalué</v>
      </c>
      <c r="I13" s="64" t="str">
        <f>IFERROR(IF(VLOOKUP($E13,BDD!$A$1:$S$567,MATCH(I$10,BDD!$A$1:$P$1,0),FALSE)=0,"",VLOOKUP($E13,BDD!$A$1:$S$567,MATCH(I$10,BDD!$A$1:$P$1,0),FALSE)),"")</f>
        <v>N3</v>
      </c>
      <c r="J13" s="89"/>
      <c r="K13" s="65" t="str">
        <f>IFERROR(IF(VLOOKUP($E13,BDD!$A$1:$S$567,MATCH(K$10,BDD!$A$1:$P$1,0),FALSE)=0,"",VLOOKUP($E13,BDD!$A$1:$S$567,MATCH(K$10,BDD!$A$1:$P$1,0),FALSE)),"")</f>
        <v xml:space="preserve">• Dans le cadre de ce plan, les organisations peuvent prévoir de faire appel à de la sous-traitance pour combler les écarts de compétence.
• Le plan de gestion RH inclut par exemple :
- le plan de recrutement
- l'évolution prévisionnelle de la pyramide des âges
- le plan de formation et de développement professionnel
- la gestion de la mobilité interne
- l'identification des compétences en tension   </v>
      </c>
      <c r="L13" s="68"/>
      <c r="M13" s="90"/>
      <c r="N13" s="90"/>
      <c r="O13" s="68"/>
      <c r="P13" s="109"/>
    </row>
    <row r="14" spans="1:16" ht="130.05000000000001" customHeight="1" x14ac:dyDescent="0.3">
      <c r="A14" s="109"/>
      <c r="B14" s="68"/>
      <c r="C14" s="68" t="str">
        <f t="shared" si="0"/>
        <v>10</v>
      </c>
      <c r="D14" s="68">
        <f t="shared" si="1"/>
        <v>1</v>
      </c>
      <c r="E14" s="84" t="str">
        <f t="shared" si="2"/>
        <v>1013</v>
      </c>
      <c r="F14" s="66" t="s">
        <v>30</v>
      </c>
      <c r="G14" s="67" t="str">
        <f>IFERROR(IF(VLOOKUP($E14,BDD!$A$1:$S$567,MATCH(G$10,BDD!$A$1:$P$1,0),FALSE)=0,"",VLOOKUP($E14,BDD!$A$1:$S$567,MATCH(G$10,BDD!$A$1:$P$1,0),FALSE)),"")</f>
        <v>Des bilans évaluent régulièrement l’adéquation entre les ressources SI allouées et les besoins identifiés, et des mesures correctives de la trajectoire sont élaborées par la DSI aidée de la DRH.</v>
      </c>
      <c r="H14" s="85" t="str">
        <f>IF(VLOOKUP(E14,BDD!$A$1:$S$567,15,FALSE)=0,"Critère non évalué","")</f>
        <v>Critère non évalué</v>
      </c>
      <c r="I14" s="66" t="str">
        <f>IFERROR(IF(VLOOKUP($E14,BDD!$A$1:$S$567,MATCH(I$10,BDD!$A$1:$P$1,0),FALSE)=0,"",VLOOKUP($E14,BDD!$A$1:$S$567,MATCH(I$10,BDD!$A$1:$P$1,0),FALSE)),"")</f>
        <v>N3</v>
      </c>
      <c r="J14" s="86"/>
      <c r="K14" s="67" t="str">
        <f>IFERROR(IF(VLOOKUP($E14,BDD!$A$1:$S$567,MATCH(K$10,BDD!$A$1:$P$1,0),FALSE)=0,"",VLOOKUP($E14,BDD!$A$1:$S$567,MATCH(K$10,BDD!$A$1:$P$1,0),FALSE)),"")</f>
        <v>• Des indicateurs de pilotage et de performance sont partagés.</v>
      </c>
      <c r="L14" s="68"/>
      <c r="M14" s="87"/>
      <c r="N14" s="87"/>
      <c r="O14" s="68"/>
      <c r="P14" s="109"/>
    </row>
    <row r="15" spans="1:16" ht="130.05000000000001" customHeight="1" x14ac:dyDescent="0.3">
      <c r="A15" s="109"/>
      <c r="B15" s="68"/>
      <c r="C15" s="68" t="str">
        <f t="shared" si="0"/>
        <v>10</v>
      </c>
      <c r="D15" s="68">
        <f t="shared" si="1"/>
        <v>1</v>
      </c>
      <c r="E15" s="84" t="str">
        <f t="shared" si="2"/>
        <v>1014</v>
      </c>
      <c r="F15" s="64" t="s">
        <v>32</v>
      </c>
      <c r="G15" s="65" t="str">
        <f>IFERROR(IF(VLOOKUP($E15,BDD!$A$1:$S$567,MATCH(G$10,BDD!$A$1:$P$1,0),FALSE)=0,"",VLOOKUP($E15,BDD!$A$1:$S$567,MATCH(G$10,BDD!$A$1:$P$1,0),FALSE)),"")</f>
        <v>En liaison avec sa démarche d’innovation et en anticipation des besoins futurs de l'organisation, la DSI réalise une veille sur les moyens d'acquérir les compétences requises.</v>
      </c>
      <c r="H15" s="88" t="str">
        <f>IF(VLOOKUP(E15,BDD!$A$1:$S$567,15,FALSE)=0,"Critère non évalué","")</f>
        <v>Critère non évalué</v>
      </c>
      <c r="I15" s="64" t="str">
        <f>IFERROR(IF(VLOOKUP($E15,BDD!$A$1:$S$567,MATCH(I$10,BDD!$A$1:$P$1,0),FALSE)=0,"",VLOOKUP($E15,BDD!$A$1:$S$567,MATCH(I$10,BDD!$A$1:$P$1,0),FALSE)),"")</f>
        <v>N3</v>
      </c>
      <c r="J15" s="91"/>
      <c r="K15" s="65" t="str">
        <f>IFERROR(IF(VLOOKUP($E15,BDD!$A$1:$S$567,MATCH(K$10,BDD!$A$1:$P$1,0),FALSE)=0,"",VLOOKUP($E15,BDD!$A$1:$S$567,MATCH(K$10,BDD!$A$1:$P$1,0),FALSE)),"")</f>
        <v/>
      </c>
      <c r="L15" s="68"/>
      <c r="M15" s="90"/>
      <c r="N15" s="90"/>
      <c r="O15" s="68"/>
      <c r="P15" s="109"/>
    </row>
    <row r="16" spans="1:16" ht="130.05000000000001" customHeight="1" x14ac:dyDescent="0.3">
      <c r="A16" s="109"/>
      <c r="B16" s="68"/>
      <c r="C16" s="68" t="str">
        <f t="shared" si="0"/>
        <v>10</v>
      </c>
      <c r="D16" s="68">
        <f t="shared" si="1"/>
        <v>1</v>
      </c>
      <c r="E16" s="84" t="str">
        <f t="shared" si="2"/>
        <v>1015</v>
      </c>
      <c r="F16" s="66" t="s">
        <v>33</v>
      </c>
      <c r="G16" s="67" t="str">
        <f>IFERROR(IF(VLOOKUP($E16,BDD!$A$1:$S$567,MATCH(G$10,BDD!$A$1:$P$1,0),FALSE)=0,"",VLOOKUP($E16,BDD!$A$1:$S$567,MATCH(G$10,BDD!$A$1:$P$1,0),FALSE)),"")</f>
        <v>La gestion RH de la DSI est alignée avec la politique RH ainsi qu'avec la stratégie RSE de l'organisation (féminisation, inclusion et diversité, etc.).</v>
      </c>
      <c r="H16" s="85" t="str">
        <f>IF(VLOOKUP(E16,BDD!$A$1:$S$567,15,FALSE)=0,"Critère non évalué","")</f>
        <v>Critère non évalué</v>
      </c>
      <c r="I16" s="66" t="str">
        <f>IFERROR(IF(VLOOKUP($E16,BDD!$A$1:$S$567,MATCH(I$10,BDD!$A$1:$P$1,0),FALSE)=0,"",VLOOKUP($E16,BDD!$A$1:$S$567,MATCH(I$10,BDD!$A$1:$P$1,0),FALSE)),"")</f>
        <v>N1</v>
      </c>
      <c r="J16" s="86"/>
      <c r="K16" s="67" t="str">
        <f>IFERROR(IF(VLOOKUP($E16,BDD!$A$1:$S$567,MATCH(K$10,BDD!$A$1:$P$1,0),FALSE)=0,"",VLOOKUP($E16,BDD!$A$1:$S$567,MATCH(K$10,BDD!$A$1:$P$1,0),FALSE)),"")</f>
        <v>• Par exemple, pour les démarches de qualité de vie au travail, des initiatives en faveur de la parité telles que Femmes@Numérique (collectif d’associations, fondation d’entreprises et soutien de l’État) et SheLeadsTech (ISACA France).</v>
      </c>
      <c r="L16" s="68"/>
      <c r="M16" s="82"/>
      <c r="N16" s="82"/>
      <c r="O16" s="68"/>
      <c r="P16" s="109"/>
    </row>
    <row r="17" spans="1:16" ht="130.05000000000001" customHeight="1" x14ac:dyDescent="0.3">
      <c r="A17" s="109"/>
      <c r="B17" s="68"/>
      <c r="C17" s="68" t="str">
        <f t="shared" si="0"/>
        <v>10</v>
      </c>
      <c r="D17" s="68">
        <f t="shared" si="1"/>
        <v>1</v>
      </c>
      <c r="E17" s="84" t="str">
        <f t="shared" si="2"/>
        <v>1016</v>
      </c>
      <c r="F17" s="64" t="s">
        <v>34</v>
      </c>
      <c r="G17" s="96" t="str">
        <f>IFERROR(IF(VLOOKUP($E17,BDD!$A$1:$S$567,MATCH(G$10,BDD!$A$1:$P$1,0),FALSE)=0,"",VLOOKUP($E17,BDD!$A$1:$S$567,MATCH(G$10,BDD!$A$1:$P$1,0),FALSE)),"")</f>
        <v>Un plan de transfert des compétences rares ou en voie de disparition est formalisé.</v>
      </c>
      <c r="H17" s="92" t="str">
        <f>IF(VLOOKUP(E17,BDD!$A$1:$S$567,15,FALSE)=0,"Critère non évalué","")</f>
        <v>Critère non évalué</v>
      </c>
      <c r="I17" s="64" t="str">
        <f>IFERROR(IF(VLOOKUP($E17,BDD!$A$1:$S$567,MATCH(I$10,BDD!$A$1:$P$1,0),FALSE)=0,"",VLOOKUP($E17,BDD!$A$1:$S$567,MATCH(I$10,BDD!$A$1:$P$1,0),FALSE)),"")</f>
        <v>N3</v>
      </c>
      <c r="J17" s="206"/>
      <c r="K17" s="96" t="str">
        <f>IFERROR(IF(VLOOKUP($E17,BDD!$A$1:$S$567,MATCH(K$10,BDD!$A$1:$P$1,0),FALSE)=0,"",VLOOKUP($E17,BDD!$A$1:$S$567,MATCH(K$10,BDD!$A$1:$P$1,0),FALSE)),"")</f>
        <v>• Il permet à La DSI d’organiser le maintien des compétences sur les technologies en voie d'obsolescence.
• Il permet à la DSI de maîtriser le transfert de compétences critiques.</v>
      </c>
      <c r="L17" s="68"/>
      <c r="M17" s="90"/>
      <c r="N17" s="90"/>
      <c r="O17" s="68"/>
      <c r="P17" s="109"/>
    </row>
    <row r="18" spans="1:16" ht="130.05000000000001" hidden="1" customHeight="1" x14ac:dyDescent="0.3">
      <c r="A18" s="109"/>
      <c r="B18" s="68"/>
      <c r="C18" s="68" t="str">
        <f t="shared" si="0"/>
        <v>10</v>
      </c>
      <c r="D18" s="68">
        <f t="shared" si="1"/>
        <v>1</v>
      </c>
      <c r="E18" s="84" t="str">
        <f t="shared" si="2"/>
        <v>1017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109"/>
    </row>
    <row r="19" spans="1:16" ht="18" x14ac:dyDescent="0.35">
      <c r="A19" s="109"/>
      <c r="B19" s="68"/>
      <c r="C19" s="68" t="str">
        <f t="shared" si="0"/>
        <v>10</v>
      </c>
      <c r="D19" s="68">
        <f t="shared" si="1"/>
        <v>1</v>
      </c>
      <c r="E19" s="84" t="str">
        <f t="shared" si="2"/>
        <v>101</v>
      </c>
      <c r="F19" s="68"/>
      <c r="G19" s="69" t="str">
        <f>IF(Suppl!B80=2,"Le vecteur n'est pas utilisé","")</f>
        <v/>
      </c>
      <c r="H19" s="69"/>
      <c r="I19" s="69"/>
      <c r="J19" s="69"/>
      <c r="K19" s="69"/>
      <c r="L19" s="70"/>
      <c r="M19" s="68"/>
      <c r="N19" s="68"/>
      <c r="O19" s="68"/>
      <c r="P19" s="109"/>
    </row>
    <row r="20" spans="1:16" x14ac:dyDescent="0.3">
      <c r="A20" s="109"/>
      <c r="B20" s="68"/>
      <c r="C20" s="68" t="str">
        <f t="shared" si="0"/>
        <v>10</v>
      </c>
      <c r="D20" s="68">
        <f>IF(LEFT(F20,14)="Bonne pratique",D19+1,D19)</f>
        <v>1</v>
      </c>
      <c r="E20" s="84" t="str">
        <f t="shared" si="2"/>
        <v>101</v>
      </c>
      <c r="F20" s="68"/>
      <c r="G20" s="68"/>
      <c r="H20" s="68"/>
      <c r="I20" s="68"/>
      <c r="J20" s="68"/>
      <c r="K20" s="68"/>
      <c r="L20" s="68"/>
      <c r="M20" s="68"/>
      <c r="N20" s="68"/>
      <c r="O20" s="68"/>
      <c r="P20" s="109"/>
    </row>
    <row r="21" spans="1:16" ht="30" x14ac:dyDescent="0.5">
      <c r="A21" s="229"/>
      <c r="B21" s="74"/>
      <c r="C21" s="68" t="str">
        <f t="shared" si="0"/>
        <v>10</v>
      </c>
      <c r="D21" s="68">
        <f t="shared" si="1"/>
        <v>2</v>
      </c>
      <c r="E21" s="84" t="str">
        <f t="shared" si="2"/>
        <v>1022</v>
      </c>
      <c r="F21" s="208" t="s">
        <v>500</v>
      </c>
      <c r="G21" s="75"/>
      <c r="H21" s="205"/>
      <c r="I21" s="73"/>
      <c r="J21" s="73" t="str">
        <f>VLOOKUP(E28,BDD!$A$2:$N$567,6,FALSE)</f>
        <v>Référentiel</v>
      </c>
      <c r="K21" s="72"/>
      <c r="L21" s="75"/>
      <c r="M21" s="75"/>
      <c r="N21" s="75"/>
      <c r="O21" s="74"/>
      <c r="P21" s="229"/>
    </row>
    <row r="22" spans="1:16" x14ac:dyDescent="0.3">
      <c r="A22" s="109"/>
      <c r="B22" s="68"/>
      <c r="C22" s="68" t="str">
        <f t="shared" si="0"/>
        <v>10</v>
      </c>
      <c r="D22" s="68">
        <f t="shared" si="1"/>
        <v>2</v>
      </c>
      <c r="E22" s="84" t="str">
        <f t="shared" si="2"/>
        <v>102</v>
      </c>
      <c r="F22" s="68"/>
      <c r="G22" s="68"/>
      <c r="H22" s="68"/>
      <c r="I22" s="68"/>
      <c r="J22" s="68"/>
      <c r="K22" s="68"/>
      <c r="L22" s="68"/>
      <c r="M22" s="68"/>
      <c r="N22" s="68"/>
      <c r="O22" s="68"/>
      <c r="P22" s="109"/>
    </row>
    <row r="23" spans="1:16" ht="18" x14ac:dyDescent="0.35">
      <c r="A23" s="230"/>
      <c r="B23" s="76"/>
      <c r="C23" s="68" t="str">
        <f t="shared" si="0"/>
        <v>10</v>
      </c>
      <c r="D23" s="68">
        <f t="shared" si="1"/>
        <v>2</v>
      </c>
      <c r="E23" s="84" t="str">
        <f t="shared" si="2"/>
        <v>102</v>
      </c>
      <c r="F23" s="76"/>
      <c r="G23" s="76"/>
      <c r="H23" s="76"/>
      <c r="I23" s="77"/>
      <c r="J23" s="207" t="str">
        <f>IFERROR(_xlfn.TEXTBEFORE(VLOOKUP(E28,BDD!$A$2:$N$567,7,FALSE)," ",30),VLOOKUP(E28,BDD!$A$2:$N$567,7,FALSE))</f>
        <v>Un référentiel des compétences requises est formalisé.</v>
      </c>
      <c r="K23" s="77"/>
      <c r="L23" s="76"/>
      <c r="M23" s="76"/>
      <c r="N23" s="76"/>
      <c r="O23" s="76"/>
      <c r="P23" s="230"/>
    </row>
    <row r="24" spans="1:16" ht="18" x14ac:dyDescent="0.35">
      <c r="A24" s="109"/>
      <c r="B24" s="68"/>
      <c r="C24" s="68" t="str">
        <f t="shared" si="0"/>
        <v>10</v>
      </c>
      <c r="D24" s="68">
        <f t="shared" si="1"/>
        <v>2</v>
      </c>
      <c r="E24" s="84" t="str">
        <f t="shared" si="2"/>
        <v>102</v>
      </c>
      <c r="F24" s="68"/>
      <c r="G24" s="68"/>
      <c r="H24" s="68"/>
      <c r="I24" s="68"/>
      <c r="J24" s="207" t="str">
        <f>IFERROR(_xlfn.TEXTAFTER(VLOOKUP(E28,BDD!$A$2:$N$567,7,FALSE)," ",30),"")</f>
        <v/>
      </c>
      <c r="K24" s="68"/>
      <c r="L24" s="68"/>
      <c r="M24" s="68"/>
      <c r="N24" s="68"/>
      <c r="O24" s="68"/>
      <c r="P24" s="109"/>
    </row>
    <row r="25" spans="1:16" x14ac:dyDescent="0.3">
      <c r="A25" s="109"/>
      <c r="B25" s="68"/>
      <c r="C25" s="68" t="str">
        <f t="shared" si="0"/>
        <v>10</v>
      </c>
      <c r="D25" s="68">
        <f t="shared" si="1"/>
        <v>2</v>
      </c>
      <c r="E25" s="84" t="str">
        <f t="shared" si="2"/>
        <v>102</v>
      </c>
      <c r="F25" s="68"/>
      <c r="G25" s="68"/>
      <c r="H25" s="68"/>
      <c r="I25" s="68"/>
      <c r="J25" s="78"/>
      <c r="K25" s="68"/>
      <c r="L25" s="68"/>
      <c r="M25" s="619" t="s">
        <v>92</v>
      </c>
      <c r="N25" s="619"/>
      <c r="O25" s="68"/>
      <c r="P25" s="109"/>
    </row>
    <row r="26" spans="1:16" ht="33" x14ac:dyDescent="0.3">
      <c r="A26" s="109"/>
      <c r="B26" s="68"/>
      <c r="C26" s="68" t="str">
        <f t="shared" si="0"/>
        <v>10</v>
      </c>
      <c r="D26" s="68">
        <f t="shared" si="1"/>
        <v>2</v>
      </c>
      <c r="E26" s="84" t="str">
        <f t="shared" si="2"/>
        <v>102</v>
      </c>
      <c r="F26" s="93"/>
      <c r="G26" s="80" t="s">
        <v>561</v>
      </c>
      <c r="H26" s="80" t="s">
        <v>82</v>
      </c>
      <c r="I26" s="80" t="s">
        <v>83</v>
      </c>
      <c r="J26" s="80" t="s">
        <v>84</v>
      </c>
      <c r="K26" s="80" t="s">
        <v>85</v>
      </c>
      <c r="L26" s="78"/>
      <c r="M26" s="81" t="s">
        <v>86</v>
      </c>
      <c r="N26" s="82" t="s">
        <v>87</v>
      </c>
      <c r="O26" s="68"/>
      <c r="P26" s="109"/>
    </row>
    <row r="27" spans="1:16" x14ac:dyDescent="0.3">
      <c r="A27" s="109"/>
      <c r="B27" s="68"/>
      <c r="C27" s="68" t="str">
        <f t="shared" si="0"/>
        <v>10</v>
      </c>
      <c r="D27" s="68">
        <f t="shared" si="1"/>
        <v>2</v>
      </c>
      <c r="E27" s="84" t="str">
        <f t="shared" si="2"/>
        <v>102</v>
      </c>
      <c r="F27" s="68"/>
      <c r="G27" s="83"/>
      <c r="H27" s="83"/>
      <c r="I27" s="83"/>
      <c r="J27" s="68"/>
      <c r="K27" s="83"/>
      <c r="L27" s="68"/>
      <c r="M27" s="68"/>
      <c r="N27" s="68"/>
      <c r="O27" s="68"/>
      <c r="P27" s="109"/>
    </row>
    <row r="28" spans="1:16" ht="130.05000000000001" customHeight="1" x14ac:dyDescent="0.3">
      <c r="A28" s="109"/>
      <c r="B28" s="68"/>
      <c r="C28" s="68" t="str">
        <f t="shared" si="0"/>
        <v>10</v>
      </c>
      <c r="D28" s="68">
        <f t="shared" si="1"/>
        <v>2</v>
      </c>
      <c r="E28" s="84" t="str">
        <f t="shared" si="2"/>
        <v>1021</v>
      </c>
      <c r="F28" s="66" t="s">
        <v>27</v>
      </c>
      <c r="G28" s="67" t="str">
        <f>IFERROR(IF(VLOOKUP($E28,BDD!$A$1:$S$567,MATCH(G$10,BDD!$A$1:$P$1,0),FALSE)=0,"",VLOOKUP($E28,BDD!$A$1:$S$567,MATCH(G$10,BDD!$A$1:$P$1,0),FALSE)),"")</f>
        <v>Un référentiel répertoriant les profils métiers du numérique est établi en cohérence avec les référentiels de la profession et est partagé avec les parties prenantes. Il identifie et décrit des passerelles potentielles entre les catégories d’emplois.</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Le référentiel est maintenu en adéquation avec les bonnes pratiques de la place, les évolutions technologiques et la stratégie de l’entreprise par une mise à jour régulière.
• Le référentiel peut également couvrir des emplois hors de la DSI (product owner par exemple).
• Cf. Nomenclature des profils métiers du SI, Cigref, 2025.</v>
      </c>
      <c r="L28" s="68"/>
      <c r="M28" s="87"/>
      <c r="N28" s="87"/>
      <c r="O28" s="68"/>
      <c r="P28" s="109"/>
    </row>
    <row r="29" spans="1:16" ht="130.05000000000001" customHeight="1" x14ac:dyDescent="0.3">
      <c r="A29" s="109"/>
      <c r="B29" s="68"/>
      <c r="C29" s="68" t="str">
        <f t="shared" si="0"/>
        <v>10</v>
      </c>
      <c r="D29" s="68">
        <f t="shared" si="1"/>
        <v>2</v>
      </c>
      <c r="E29" s="84" t="str">
        <f t="shared" si="2"/>
        <v>1022</v>
      </c>
      <c r="F29" s="94" t="s">
        <v>28</v>
      </c>
      <c r="G29" s="65" t="str">
        <f>IFERROR(IF(VLOOKUP($E29,BDD!$A$1:$S$567,MATCH(G$10,BDD!$A$1:$P$1,0),FALSE)=0,"",VLOOKUP($E29,BDD!$A$1:$S$567,MATCH(G$10,BDD!$A$1:$P$1,0),FALSE)),"")</f>
        <v>Des fiches de postes rattachées aux emplois du référentiel sont formalisées..</v>
      </c>
      <c r="H29" s="88" t="str">
        <f>IF(VLOOKUP(E29,BDD!$A$1:$S$567,15,FALSE)=0,"Critère non évalué","")</f>
        <v>Critère non évalué</v>
      </c>
      <c r="I29" s="64" t="str">
        <f>IFERROR(IF(VLOOKUP($E29,BDD!$A$1:$S$567,MATCH(I$10,BDD!$A$1:$P$1,0),FALSE)=0,"",VLOOKUP($E29,BDD!$A$1:$S$567,MATCH(I$10,BDD!$A$1:$P$1,0),FALSE)),"")</f>
        <v>N1</v>
      </c>
      <c r="J29" s="89"/>
      <c r="K29" s="65" t="str">
        <f>IFERROR(IF(VLOOKUP($E29,BDD!$A$1:$S$567,MATCH(K$10,BDD!$A$1:$P$1,0),FALSE)=0,"",VLOOKUP($E29,BDD!$A$1:$S$567,MATCH(K$10,BDD!$A$1:$P$1,0),FALSE)),"")</f>
        <v>• Chaque collaborateur doit avoir une fiche de poste rattachée au référentiel des métiers numériques de l'organisation.
• Lors des recrutements, les fiches de postes sont diffusées et connues de l’ensemble des collaborateurs de la DSI.</v>
      </c>
      <c r="L29" s="68"/>
      <c r="M29" s="90"/>
      <c r="N29" s="90"/>
      <c r="O29" s="68"/>
      <c r="P29" s="109"/>
    </row>
    <row r="30" spans="1:16" ht="130.05000000000001" customHeight="1" x14ac:dyDescent="0.3">
      <c r="A30" s="109"/>
      <c r="B30" s="68"/>
      <c r="C30" s="68" t="str">
        <f t="shared" si="0"/>
        <v>10</v>
      </c>
      <c r="D30" s="68">
        <f t="shared" si="1"/>
        <v>2</v>
      </c>
      <c r="E30" s="84" t="str">
        <f t="shared" si="2"/>
        <v>1023</v>
      </c>
      <c r="F30" s="66" t="s">
        <v>30</v>
      </c>
      <c r="G30" s="67" t="str">
        <f>IFERROR(IF(VLOOKUP($E30,BDD!$A$1:$S$567,MATCH(G$10,BDD!$A$1:$P$1,0),FALSE)=0,"",VLOOKUP($E30,BDD!$A$1:$S$567,MATCH(G$10,BDD!$A$1:$P$1,0),FALSE)),"")</f>
        <v>Il existe une cartographie des métiers SI et numériques qui répertorie les compétences nécessaires et identifie les postes critiques ou clés .</v>
      </c>
      <c r="H30" s="85" t="str">
        <f>IF(VLOOKUP(E30,BDD!$A$1:$S$567,15,FALSE)=0,"Critère non évalué","")</f>
        <v>Critère non évalué</v>
      </c>
      <c r="I30" s="66" t="str">
        <f>IFERROR(IF(VLOOKUP($E30,BDD!$A$1:$S$567,MATCH(I$10,BDD!$A$1:$P$1,0),FALSE)=0,"",VLOOKUP($E30,BDD!$A$1:$S$567,MATCH(I$10,BDD!$A$1:$P$1,0),FALSE)),"")</f>
        <v>N3</v>
      </c>
      <c r="J30" s="86"/>
      <c r="K30" s="67" t="str">
        <f>IFERROR(IF(VLOOKUP($E30,BDD!$A$1:$S$567,MATCH(K$10,BDD!$A$1:$P$1,0),FALSE)=0,"",VLOOKUP($E30,BDD!$A$1:$S$567,MATCH(K$10,BDD!$A$1:$P$1,0),FALSE)),"")</f>
        <v>•  La cartographie décrit les compétences nécessaires pour répondre aux besoins actuels et à leur évolution à court et moyen terme.</v>
      </c>
      <c r="L30" s="68"/>
      <c r="M30" s="87"/>
      <c r="N30" s="87"/>
      <c r="O30" s="68"/>
      <c r="P30" s="109"/>
    </row>
    <row r="31" spans="1:16" ht="130.05000000000001" hidden="1" customHeight="1" x14ac:dyDescent="0.3">
      <c r="A31" s="109"/>
      <c r="B31" s="68"/>
      <c r="C31" s="68" t="str">
        <f t="shared" si="0"/>
        <v>10</v>
      </c>
      <c r="D31" s="68">
        <f t="shared" si="1"/>
        <v>2</v>
      </c>
      <c r="E31" s="84" t="str">
        <f t="shared" si="2"/>
        <v>1024</v>
      </c>
      <c r="F31" s="64" t="s">
        <v>32</v>
      </c>
      <c r="G31" s="65" t="str">
        <f>IFERROR(IF(VLOOKUP($E31,BDD!$A$1:$S$567,MATCH(G$10,BDD!$A$1:$P$1,0),FALSE)=0,"",VLOOKUP($E31,BDD!$A$1:$S$567,MATCH(G$10,BDD!$A$1:$P$1,0),FALSE)),"")</f>
        <v/>
      </c>
      <c r="H31" s="88" t="str">
        <f>IF(VLOOKUP(E31,BDD!$A$1:$S$567,15,FALSE)=0,"Critère non évalué","")</f>
        <v>Critère non évalué</v>
      </c>
      <c r="I31" s="64" t="str">
        <f>IFERROR(IF(VLOOKUP($E31,BDD!$A$1:$S$567,MATCH(I$10,BDD!$A$1:$P$1,0),FALSE)=0,"",VLOOKUP($E31,BDD!$A$1:$S$567,MATCH(I$10,BDD!$A$1:$P$1,0),FALSE)),"")</f>
        <v xml:space="preserve"> </v>
      </c>
      <c r="J31" s="91"/>
      <c r="K31" s="65" t="str">
        <f>IFERROR(IF(VLOOKUP($E31,BDD!$A$1:$S$567,MATCH(K$10,BDD!$A$1:$P$1,0),FALSE)=0,"",VLOOKUP($E31,BDD!$A$1:$S$567,MATCH(K$10,BDD!$A$1:$P$1,0),FALSE)),"")</f>
        <v/>
      </c>
      <c r="L31" s="68"/>
      <c r="M31" s="90"/>
      <c r="N31" s="90"/>
      <c r="O31" s="68"/>
      <c r="P31" s="109"/>
    </row>
    <row r="32" spans="1:16" ht="130.05000000000001" hidden="1" customHeight="1" x14ac:dyDescent="0.3">
      <c r="A32" s="109"/>
      <c r="B32" s="68"/>
      <c r="C32" s="68" t="str">
        <f t="shared" si="0"/>
        <v>10</v>
      </c>
      <c r="D32" s="68">
        <f t="shared" si="1"/>
        <v>2</v>
      </c>
      <c r="E32" s="84" t="str">
        <f t="shared" si="2"/>
        <v>1025</v>
      </c>
      <c r="F32" s="66" t="s">
        <v>33</v>
      </c>
      <c r="G32" s="67" t="str">
        <f>IFERROR(IF(VLOOKUP($E32,BDD!$A$1:$S$567,MATCH(G$10,BDD!$A$1:$P$1,0),FALSE)=0,"",VLOOKUP($E32,BDD!$A$1:$S$567,MATCH(G$10,BDD!$A$1:$P$1,0),FALSE)),"")</f>
        <v/>
      </c>
      <c r="H32" s="85" t="str">
        <f>IF(VLOOKUP(E32,BDD!$A$1:$S$567,15,FALSE)=0,"Critère non évalué","")</f>
        <v>Critère non évalué</v>
      </c>
      <c r="I32" s="66" t="str">
        <f>IFERROR(IF(VLOOKUP($E32,BDD!$A$1:$S$567,MATCH(I$10,BDD!$A$1:$P$1,0),FALSE)=0,"",VLOOKUP($E32,BDD!$A$1:$S$567,MATCH(I$10,BDD!$A$1:$P$1,0),FALSE)),"")</f>
        <v xml:space="preserve"> </v>
      </c>
      <c r="J32" s="86"/>
      <c r="K32" s="67" t="str">
        <f>IFERROR(IF(VLOOKUP($E32,BDD!$A$1:$S$567,MATCH(K$10,BDD!$A$1:$P$1,0),FALSE)=0,"",VLOOKUP($E32,BDD!$A$1:$S$567,MATCH(K$10,BDD!$A$1:$P$1,0),FALSE)),"")</f>
        <v/>
      </c>
      <c r="L32" s="68"/>
      <c r="M32" s="82"/>
      <c r="N32" s="82"/>
      <c r="O32" s="68"/>
      <c r="P32" s="109"/>
    </row>
    <row r="33" spans="1:16" ht="130.05000000000001" hidden="1" customHeight="1" x14ac:dyDescent="0.3">
      <c r="A33" s="109"/>
      <c r="B33" s="68"/>
      <c r="C33" s="68" t="str">
        <f t="shared" si="0"/>
        <v>10</v>
      </c>
      <c r="D33" s="68">
        <f t="shared" si="1"/>
        <v>2</v>
      </c>
      <c r="E33" s="84" t="str">
        <f t="shared" si="2"/>
        <v>1026</v>
      </c>
      <c r="F33" s="64" t="s">
        <v>34</v>
      </c>
      <c r="G33" s="65" t="str">
        <f>IFERROR(IF(VLOOKUP($E33,BDD!$A$1:$S$567,MATCH(G$10,BDD!$A$1:$P$1,0),FALSE)=0,"",VLOOKUP($E33,BDD!$A$1:$S$567,MATCH(G$10,BDD!$A$1:$P$1,0),FALSE)),"")</f>
        <v/>
      </c>
      <c r="H33" s="92" t="str">
        <f>IF(VLOOKUP(E33,BDD!$A$1:$S$567,15,FALSE)=0,"Critère non évalué","")</f>
        <v>Critère non évalué</v>
      </c>
      <c r="I33" s="64" t="str">
        <f>IFERROR(IF(VLOOKUP($E33,BDD!$A$1:$S$567,MATCH(I$10,BDD!$A$1:$P$1,0),FALSE)=0,"",VLOOKUP($E33,BDD!$A$1:$S$567,MATCH(I$10,BDD!$A$1:$P$1,0),FALSE)),"")</f>
        <v xml:space="preserve"> </v>
      </c>
      <c r="J33" s="89"/>
      <c r="K33" s="65" t="str">
        <f>IFERROR(IF(VLOOKUP($E33,BDD!$A$1:$S$567,MATCH(K$10,BDD!$A$1:$P$1,0),FALSE)=0,"",VLOOKUP($E33,BDD!$A$1:$S$567,MATCH(K$10,BDD!$A$1:$P$1,0),FALSE)),"")</f>
        <v/>
      </c>
      <c r="L33" s="68"/>
      <c r="M33" s="90"/>
      <c r="N33" s="90"/>
      <c r="O33" s="68"/>
      <c r="P33" s="109"/>
    </row>
    <row r="34" spans="1:16" ht="130.05000000000001" hidden="1" customHeight="1" x14ac:dyDescent="0.3">
      <c r="A34" s="109"/>
      <c r="B34" s="68"/>
      <c r="C34" s="68" t="str">
        <f t="shared" si="0"/>
        <v>10</v>
      </c>
      <c r="D34" s="68">
        <f t="shared" si="1"/>
        <v>2</v>
      </c>
      <c r="E34" s="84" t="str">
        <f t="shared" si="2"/>
        <v>1027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xml:space="preserve"> </v>
      </c>
      <c r="J34" s="86"/>
      <c r="K34" s="67" t="str">
        <f>IFERROR(IF(VLOOKUP($E34,BDD!$A$1:$S$567,MATCH(K$10,BDD!$A$1:$P$1,0),FALSE)=0,"",VLOOKUP($E34,BDD!$A$1:$S$567,MATCH(K$10,BDD!$A$1:$P$1,0),FALSE)),"")</f>
        <v/>
      </c>
      <c r="L34" s="68"/>
      <c r="M34" s="82"/>
      <c r="N34" s="82"/>
      <c r="O34" s="68"/>
      <c r="P34" s="109"/>
    </row>
    <row r="35" spans="1:16" ht="18" x14ac:dyDescent="0.35">
      <c r="A35" s="109"/>
      <c r="B35" s="68"/>
      <c r="C35" s="68" t="str">
        <f t="shared" si="0"/>
        <v>10</v>
      </c>
      <c r="D35" s="68">
        <f t="shared" si="1"/>
        <v>2</v>
      </c>
      <c r="E35" s="84" t="str">
        <f t="shared" si="2"/>
        <v>102</v>
      </c>
      <c r="F35" s="68"/>
      <c r="G35" s="69" t="str">
        <f>IF(Suppl!B96=2,"Le vecteur n'est pas utilisé","")</f>
        <v/>
      </c>
      <c r="H35" s="69"/>
      <c r="I35" s="68"/>
      <c r="J35" s="69"/>
      <c r="K35" s="69"/>
      <c r="L35" s="70"/>
      <c r="M35" s="68"/>
      <c r="N35" s="68"/>
      <c r="O35" s="68"/>
      <c r="P35" s="109"/>
    </row>
    <row r="36" spans="1:16" x14ac:dyDescent="0.3">
      <c r="A36" s="109"/>
      <c r="B36" s="68"/>
      <c r="C36" s="68" t="str">
        <f t="shared" si="0"/>
        <v>10</v>
      </c>
      <c r="D36" s="68">
        <f>IF(LEFT(F36,14)="Bonne pratique",D35+1,D35)</f>
        <v>2</v>
      </c>
      <c r="E36" s="84" t="str">
        <f t="shared" si="2"/>
        <v>102</v>
      </c>
      <c r="F36" s="68"/>
      <c r="G36" s="68"/>
      <c r="H36" s="68"/>
      <c r="I36" s="68"/>
      <c r="J36" s="68"/>
      <c r="K36" s="68"/>
      <c r="L36" s="68"/>
      <c r="M36" s="68"/>
      <c r="N36" s="68"/>
      <c r="O36" s="68"/>
      <c r="P36" s="109"/>
    </row>
    <row r="37" spans="1:16" ht="30" x14ac:dyDescent="0.5">
      <c r="A37" s="229"/>
      <c r="B37" s="74"/>
      <c r="C37" s="68" t="str">
        <f t="shared" si="0"/>
        <v>10</v>
      </c>
      <c r="D37" s="68">
        <f t="shared" si="1"/>
        <v>3</v>
      </c>
      <c r="E37" s="84" t="str">
        <f t="shared" si="2"/>
        <v>1033</v>
      </c>
      <c r="F37" s="208" t="s">
        <v>501</v>
      </c>
      <c r="G37" s="75"/>
      <c r="H37" s="205"/>
      <c r="I37" s="73"/>
      <c r="J37" s="73" t="str">
        <f>VLOOKUP(E44,BDD!$A$2:$N$567,6,FALSE)</f>
        <v>Gestion des emplois et parcours professionnels (GEPP / Strategic Workforce Planning)</v>
      </c>
      <c r="K37" s="72"/>
      <c r="L37" s="75"/>
      <c r="M37" s="75"/>
      <c r="N37" s="75"/>
      <c r="O37" s="74"/>
      <c r="P37" s="229"/>
    </row>
    <row r="38" spans="1:16" x14ac:dyDescent="0.3">
      <c r="A38" s="109"/>
      <c r="B38" s="68"/>
      <c r="C38" s="68" t="str">
        <f t="shared" si="0"/>
        <v>10</v>
      </c>
      <c r="D38" s="68">
        <f t="shared" si="1"/>
        <v>3</v>
      </c>
      <c r="E38" s="84" t="str">
        <f t="shared" si="2"/>
        <v>103</v>
      </c>
      <c r="F38" s="68"/>
      <c r="G38" s="68"/>
      <c r="H38" s="68"/>
      <c r="I38" s="68"/>
      <c r="J38" s="68"/>
      <c r="K38" s="68"/>
      <c r="L38" s="68"/>
      <c r="M38" s="68"/>
      <c r="N38" s="68"/>
      <c r="O38" s="68"/>
      <c r="P38" s="109"/>
    </row>
    <row r="39" spans="1:16" ht="18" x14ac:dyDescent="0.35">
      <c r="A39" s="230"/>
      <c r="B39" s="76"/>
      <c r="C39" s="68" t="str">
        <f t="shared" si="0"/>
        <v>10</v>
      </c>
      <c r="D39" s="68">
        <f t="shared" si="1"/>
        <v>3</v>
      </c>
      <c r="E39" s="84" t="str">
        <f t="shared" si="2"/>
        <v>103</v>
      </c>
      <c r="F39" s="76"/>
      <c r="G39" s="76"/>
      <c r="H39" s="76"/>
      <c r="I39" s="77"/>
      <c r="J39" s="207" t="str">
        <f>IFERROR(_xlfn.TEXTBEFORE(VLOOKUP(E44,BDD!$A$2:$N$567,7,FALSE)," ",30),VLOOKUP(E44,BDD!$A$2:$N$567,7,FALSE))</f>
        <v>Un plan d’adéquation des compétences aux besoins actuels et futurs de l'organisation est formalisé et mis en place, et il s'intègre dans le processus RH de l'organisation.</v>
      </c>
      <c r="K39" s="77"/>
      <c r="L39" s="76"/>
      <c r="M39" s="76"/>
      <c r="N39" s="76"/>
      <c r="O39" s="76"/>
      <c r="P39" s="230"/>
    </row>
    <row r="40" spans="1:16" ht="18" x14ac:dyDescent="0.35">
      <c r="A40" s="109"/>
      <c r="B40" s="68"/>
      <c r="C40" s="68" t="str">
        <f t="shared" si="0"/>
        <v>10</v>
      </c>
      <c r="D40" s="68">
        <f t="shared" si="1"/>
        <v>3</v>
      </c>
      <c r="E40" s="84" t="str">
        <f t="shared" si="2"/>
        <v>103</v>
      </c>
      <c r="F40" s="68"/>
      <c r="G40" s="68"/>
      <c r="H40" s="68"/>
      <c r="I40" s="68"/>
      <c r="J40" s="207" t="str">
        <f>IFERROR(_xlfn.TEXTAFTER(VLOOKUP(E44,BDD!$A$2:$N$567,7,FALSE)," ",30),"")</f>
        <v/>
      </c>
      <c r="K40" s="68"/>
      <c r="L40" s="68"/>
      <c r="M40" s="68"/>
      <c r="N40" s="68"/>
      <c r="O40" s="68"/>
      <c r="P40" s="109"/>
    </row>
    <row r="41" spans="1:16" x14ac:dyDescent="0.3">
      <c r="A41" s="109"/>
      <c r="B41" s="68"/>
      <c r="C41" s="68" t="str">
        <f t="shared" si="0"/>
        <v>10</v>
      </c>
      <c r="D41" s="68">
        <f t="shared" si="1"/>
        <v>3</v>
      </c>
      <c r="E41" s="84" t="str">
        <f t="shared" si="2"/>
        <v>103</v>
      </c>
      <c r="F41" s="68"/>
      <c r="G41" s="68"/>
      <c r="H41" s="68"/>
      <c r="I41" s="68"/>
      <c r="J41" s="78"/>
      <c r="K41" s="68"/>
      <c r="L41" s="68"/>
      <c r="M41" s="619" t="s">
        <v>92</v>
      </c>
      <c r="N41" s="619"/>
      <c r="O41" s="68"/>
      <c r="P41" s="109"/>
    </row>
    <row r="42" spans="1:16" ht="33" x14ac:dyDescent="0.3">
      <c r="A42" s="109"/>
      <c r="B42" s="68"/>
      <c r="C42" s="68" t="str">
        <f t="shared" si="0"/>
        <v>10</v>
      </c>
      <c r="D42" s="68">
        <f t="shared" si="1"/>
        <v>3</v>
      </c>
      <c r="E42" s="84" t="str">
        <f t="shared" si="2"/>
        <v>103</v>
      </c>
      <c r="F42" s="79"/>
      <c r="G42" s="80" t="s">
        <v>561</v>
      </c>
      <c r="H42" s="80" t="s">
        <v>82</v>
      </c>
      <c r="I42" s="80" t="s">
        <v>83</v>
      </c>
      <c r="J42" s="80" t="s">
        <v>84</v>
      </c>
      <c r="K42" s="80" t="s">
        <v>85</v>
      </c>
      <c r="L42" s="78"/>
      <c r="M42" s="81" t="s">
        <v>86</v>
      </c>
      <c r="N42" s="82" t="s">
        <v>87</v>
      </c>
      <c r="O42" s="68"/>
      <c r="P42" s="109"/>
    </row>
    <row r="43" spans="1:16" x14ac:dyDescent="0.3">
      <c r="A43" s="109"/>
      <c r="B43" s="68"/>
      <c r="C43" s="68" t="str">
        <f t="shared" si="0"/>
        <v>10</v>
      </c>
      <c r="D43" s="68">
        <f t="shared" si="1"/>
        <v>3</v>
      </c>
      <c r="E43" s="84" t="str">
        <f t="shared" si="2"/>
        <v>103</v>
      </c>
      <c r="F43" s="68"/>
      <c r="G43" s="83"/>
      <c r="H43" s="83"/>
      <c r="I43" s="83"/>
      <c r="J43" s="68"/>
      <c r="K43" s="83"/>
      <c r="L43" s="68"/>
      <c r="M43" s="68"/>
      <c r="N43" s="68"/>
      <c r="O43" s="68"/>
      <c r="P43" s="109"/>
    </row>
    <row r="44" spans="1:16" ht="130.05000000000001" customHeight="1" x14ac:dyDescent="0.3">
      <c r="A44" s="109"/>
      <c r="B44" s="68"/>
      <c r="C44" s="68" t="str">
        <f t="shared" si="0"/>
        <v>10</v>
      </c>
      <c r="D44" s="68">
        <f t="shared" si="1"/>
        <v>3</v>
      </c>
      <c r="E44" s="84" t="str">
        <f t="shared" si="2"/>
        <v>1031</v>
      </c>
      <c r="F44" s="66" t="s">
        <v>27</v>
      </c>
      <c r="G44" s="67" t="str">
        <f>IFERROR(IF(VLOOKUP($E44,BDD!$A$1:$S$567,MATCH(G$10,BDD!$A$1:$P$1,0),FALSE)=0,"",VLOOKUP($E44,BDD!$A$1:$S$567,MATCH(G$10,BDD!$A$1:$P$1,0),FALSE)),"")</f>
        <v>La DSI construit, à un niveau macro, un plan prévisionnel des compétences aligné sur la stratégie numérique de l'organisation, les besoins numériques des métiers et la politique de make or buy retenue, même en l’absence d’une planification des ressources centrée sur les effectifs à long terme (5-10 ans).</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Les besoins découlent du plan stratégique de l’entreprise et de la feuille de route numérique.</v>
      </c>
      <c r="L44" s="68"/>
      <c r="M44" s="87"/>
      <c r="N44" s="87"/>
      <c r="O44" s="68"/>
      <c r="P44" s="109"/>
    </row>
    <row r="45" spans="1:16" ht="150" customHeight="1" x14ac:dyDescent="0.3">
      <c r="A45" s="109"/>
      <c r="B45" s="68"/>
      <c r="C45" s="68" t="str">
        <f t="shared" si="0"/>
        <v>10</v>
      </c>
      <c r="D45" s="68">
        <f t="shared" si="1"/>
        <v>3</v>
      </c>
      <c r="E45" s="84" t="str">
        <f t="shared" si="2"/>
        <v>1032</v>
      </c>
      <c r="F45" s="94" t="s">
        <v>28</v>
      </c>
      <c r="G45" s="65" t="str">
        <f>IFERROR(IF(VLOOKUP($E45,BDD!$A$1:$S$567,MATCH(G$10,BDD!$A$1:$P$1,0),FALSE)=0,"",VLOOKUP($E45,BDD!$A$1:$S$567,MATCH(G$10,BDD!$A$1:$P$1,0),FALSE)),"")</f>
        <v>Une analyse des écarts, sur le court terme (1-2 ans), est effectuée afin de comparer la situation actuelle avec les besoins exprimés dans le plan prévisionnel.</v>
      </c>
      <c r="H45" s="88" t="str">
        <f>IF(VLOOKUP(E45,BDD!$A$1:$S$567,15,FALSE)=0,"Critère non évalué","")</f>
        <v>Critère non évalué</v>
      </c>
      <c r="I45" s="64" t="str">
        <f>IFERROR(IF(VLOOKUP($E45,BDD!$A$1:$S$567,MATCH(I$10,BDD!$A$1:$P$1,0),FALSE)=0,"",VLOOKUP($E45,BDD!$A$1:$S$567,MATCH(I$10,BDD!$A$1:$P$1,0),FALSE)),"")</f>
        <v>N3</v>
      </c>
      <c r="J45" s="89"/>
      <c r="K45" s="65" t="str">
        <f>IFERROR(IF(VLOOKUP($E45,BDD!$A$1:$S$567,MATCH(K$10,BDD!$A$1:$P$1,0),FALSE)=0,"",VLOOKUP($E45,BDD!$A$1:$S$567,MATCH(K$10,BDD!$A$1:$P$1,0),FALSE)),"")</f>
        <v/>
      </c>
      <c r="L45" s="68"/>
      <c r="M45" s="90"/>
      <c r="N45" s="90"/>
      <c r="O45" s="68"/>
      <c r="P45" s="109"/>
    </row>
    <row r="46" spans="1:16" ht="130.05000000000001" customHeight="1" x14ac:dyDescent="0.3">
      <c r="A46" s="109"/>
      <c r="B46" s="68"/>
      <c r="C46" s="68" t="str">
        <f t="shared" si="0"/>
        <v>10</v>
      </c>
      <c r="D46" s="68">
        <f t="shared" si="1"/>
        <v>3</v>
      </c>
      <c r="E46" s="84" t="str">
        <f t="shared" si="2"/>
        <v>1033</v>
      </c>
      <c r="F46" s="66" t="s">
        <v>30</v>
      </c>
      <c r="G46" s="67" t="str">
        <f>IFERROR(IF(VLOOKUP($E46,BDD!$A$1:$S$567,MATCH(G$10,BDD!$A$1:$P$1,0),FALSE)=0,"",VLOOKUP($E46,BDD!$A$1:$S$567,MATCH(G$10,BDD!$A$1:$P$1,0),FALSE)),"")</f>
        <v>La GEPP permet une projection à long terme (à horizon 5-10 ans) des besoins et des ressources, elle anticipe les tendances du marché, et s'appuie sur l'analyse des écarts pour en tirer une politique individuelle de recrutement / formation découlant du plan à moyen terme.</v>
      </c>
      <c r="H46" s="85" t="str">
        <f>IF(VLOOKUP(E46,BDD!$A$1:$S$567,15,FALSE)=0,"Critère non évalué","")</f>
        <v>Critère non évalué</v>
      </c>
      <c r="I46" s="66" t="str">
        <f>IFERROR(IF(VLOOKUP($E46,BDD!$A$1:$S$567,MATCH(I$10,BDD!$A$1:$P$1,0),FALSE)=0,"",VLOOKUP($E46,BDD!$A$1:$S$567,MATCH(I$10,BDD!$A$1:$P$1,0),FALSE)),"")</f>
        <v>N4</v>
      </c>
      <c r="J46" s="86"/>
      <c r="K46" s="67" t="str">
        <f>IFERROR(IF(VLOOKUP($E46,BDD!$A$1:$S$567,MATCH(K$10,BDD!$A$1:$P$1,0),FALSE)=0,"",VLOOKUP($E46,BDD!$A$1:$S$567,MATCH(K$10,BDD!$A$1:$P$1,0),FALSE)),"")</f>
        <v xml:space="preserve">• Par exemple, l'organisation peut mettre en place une veille stratégique pour détecter les évolutions, les tendances du marché à long terme et les impacts sur l'emploi et les compétences.
</v>
      </c>
      <c r="L46" s="68"/>
      <c r="M46" s="87"/>
      <c r="N46" s="87"/>
      <c r="O46" s="68"/>
      <c r="P46" s="109"/>
    </row>
    <row r="47" spans="1:16" ht="120" hidden="1" customHeight="1" x14ac:dyDescent="0.3">
      <c r="A47" s="109"/>
      <c r="B47" s="68"/>
      <c r="C47" s="68" t="str">
        <f t="shared" si="0"/>
        <v>10</v>
      </c>
      <c r="D47" s="68">
        <f t="shared" si="1"/>
        <v>3</v>
      </c>
      <c r="E47" s="84" t="str">
        <f t="shared" si="2"/>
        <v>1034</v>
      </c>
      <c r="F47" s="64" t="s">
        <v>32</v>
      </c>
      <c r="G47" s="96" t="str">
        <f>IFERROR(IF(VLOOKUP($E47,BDD!$A$1:$S$567,MATCH(G$10,BDD!$A$1:$P$1,0),FALSE)=0,"",VLOOKUP($E47,BDD!$A$1:$S$567,MATCH(G$10,BDD!$A$1:$P$1,0),FALSE)),"")</f>
        <v/>
      </c>
      <c r="H47" s="210" t="str">
        <f>IF(VLOOKUP(E47,BDD!$A$1:$S$567,15,FALSE)=0,"Critère non évalué","")</f>
        <v>Critère non évalué</v>
      </c>
      <c r="I47" s="64" t="str">
        <f>IFERROR(IF(VLOOKUP($E47,BDD!$A$1:$S$567,MATCH(I$10,BDD!$A$1:$P$1,0),FALSE)=0,"",VLOOKUP($E47,BDD!$A$1:$S$567,MATCH(I$10,BDD!$A$1:$P$1,0),FALSE)),"")</f>
        <v/>
      </c>
      <c r="J47" s="95"/>
      <c r="K47" s="96" t="str">
        <f>IFERROR(IF(VLOOKUP($E47,BDD!$A$1:$S$567,MATCH(K$10,BDD!$A$1:$P$1,0),FALSE)=0,"",VLOOKUP($E47,BDD!$A$1:$S$567,MATCH(K$10,BDD!$A$1:$P$1,0),FALSE)),"")</f>
        <v/>
      </c>
      <c r="L47" s="68"/>
      <c r="M47" s="90"/>
      <c r="N47" s="90"/>
      <c r="O47" s="68"/>
      <c r="P47" s="109"/>
    </row>
    <row r="48" spans="1:16" ht="130.05000000000001" hidden="1" customHeight="1" x14ac:dyDescent="0.3">
      <c r="A48" s="109"/>
      <c r="B48" s="68"/>
      <c r="C48" s="68" t="str">
        <f t="shared" si="0"/>
        <v>10</v>
      </c>
      <c r="D48" s="68">
        <f t="shared" si="1"/>
        <v>3</v>
      </c>
      <c r="E48" s="84" t="str">
        <f t="shared" si="2"/>
        <v>1035</v>
      </c>
      <c r="F48" s="66" t="s">
        <v>33</v>
      </c>
      <c r="G48" s="67" t="str">
        <f>IFERROR(IF(VLOOKUP($E48,BDD!$A$1:$S$567,MATCH(G$10,BDD!$A$1:$P$1,0),FALSE)=0,"",VLOOKUP($E48,BDD!$A$1:$S$567,MATCH(G$10,BDD!$A$1:$P$1,0),FALSE)),"")</f>
        <v/>
      </c>
      <c r="H48" s="85" t="str">
        <f>IF(VLOOKUP(E48,BDD!$A$1:$S$567,15,FALSE)=0,"Critère non évalué","")</f>
        <v>Critère non évalué</v>
      </c>
      <c r="I48" s="66" t="str">
        <f>IFERROR(IF(VLOOKUP($E48,BDD!$A$1:$S$567,MATCH(I$10,BDD!$A$1:$P$1,0),FALSE)=0,"",VLOOKUP($E48,BDD!$A$1:$S$567,MATCH(I$10,BDD!$A$1:$P$1,0),FALSE)),"")</f>
        <v xml:space="preserve"> </v>
      </c>
      <c r="J48" s="86"/>
      <c r="K48" s="67" t="str">
        <f>IFERROR(IF(VLOOKUP($E48,BDD!$A$1:$S$567,MATCH(K$10,BDD!$A$1:$P$1,0),FALSE)=0,"",VLOOKUP($E48,BDD!$A$1:$S$567,MATCH(K$10,BDD!$A$1:$P$1,0),FALSE)),"")</f>
        <v/>
      </c>
      <c r="L48" s="68"/>
      <c r="M48" s="87"/>
      <c r="N48" s="87"/>
      <c r="O48" s="68"/>
      <c r="P48" s="109"/>
    </row>
    <row r="49" spans="1:16" ht="120" hidden="1" customHeight="1" x14ac:dyDescent="0.3">
      <c r="A49" s="109"/>
      <c r="B49" s="68"/>
      <c r="C49" s="68" t="str">
        <f t="shared" si="0"/>
        <v>10</v>
      </c>
      <c r="D49" s="68">
        <f t="shared" si="1"/>
        <v>3</v>
      </c>
      <c r="E49" s="84" t="str">
        <f t="shared" si="2"/>
        <v>1036</v>
      </c>
      <c r="F49" s="64" t="s">
        <v>34</v>
      </c>
      <c r="G49" s="96" t="str">
        <f>IFERROR(IF(VLOOKUP($E49,BDD!$A$1:$S$567,MATCH(G$10,BDD!$A$1:$P$1,0),FALSE)=0,"",VLOOKUP($E49,BDD!$A$1:$S$567,MATCH(G$10,BDD!$A$1:$P$1,0),FALSE)),"")</f>
        <v/>
      </c>
      <c r="H49" s="210" t="str">
        <f>IF(VLOOKUP(E49,BDD!$A$1:$S$567,15,FALSE)=0,"Critère non évalué","")</f>
        <v>Critère non évalué</v>
      </c>
      <c r="I49" s="64" t="str">
        <f>IFERROR(IF(VLOOKUP($E49,BDD!$A$1:$S$567,MATCH(I$10,BDD!$A$1:$P$1,0),FALSE)=0,"",VLOOKUP($E49,BDD!$A$1:$S$567,MATCH(I$10,BDD!$A$1:$P$1,0),FALSE)),"")</f>
        <v xml:space="preserve"> </v>
      </c>
      <c r="J49" s="95"/>
      <c r="K49" s="96" t="str">
        <f>IFERROR(IF(VLOOKUP($E49,BDD!$A$1:$S$567,MATCH(K$10,BDD!$A$1:$P$1,0),FALSE)=0,"",VLOOKUP($E49,BDD!$A$1:$S$567,MATCH(K$10,BDD!$A$1:$P$1,0),FALSE)),"")</f>
        <v/>
      </c>
      <c r="L49" s="68"/>
      <c r="M49" s="90"/>
      <c r="N49" s="90"/>
      <c r="O49" s="68"/>
      <c r="P49" s="109"/>
    </row>
    <row r="50" spans="1:16" ht="130.05000000000001" hidden="1" customHeight="1" x14ac:dyDescent="0.3">
      <c r="A50" s="109"/>
      <c r="B50" s="68"/>
      <c r="C50" s="68" t="str">
        <f t="shared" si="0"/>
        <v>10</v>
      </c>
      <c r="D50" s="68">
        <f t="shared" si="1"/>
        <v>3</v>
      </c>
      <c r="E50" s="84" t="str">
        <f t="shared" si="2"/>
        <v>1037</v>
      </c>
      <c r="F50" s="66" t="s">
        <v>36</v>
      </c>
      <c r="G50" s="67" t="str">
        <f>IFERROR(IF(VLOOKUP($E50,BDD!$A$1:$S$567,MATCH(G$10,BDD!$A$1:$P$1,0),FALSE)=0,"",VLOOKUP($E50,BDD!$A$1:$S$567,MATCH(G$10,BDD!$A$1:$P$1,0),FALSE)),"")</f>
        <v/>
      </c>
      <c r="H50" s="85" t="str">
        <f>IF(VLOOKUP(E50,BDD!$A$1:$S$567,15,FALSE)=0,"Critère non évalué","")</f>
        <v>Critère non évalué</v>
      </c>
      <c r="I50" s="66" t="str">
        <f>IFERROR(IF(VLOOKUP($E50,BDD!$A$1:$S$567,MATCH(I$10,BDD!$A$1:$P$1,0),FALSE)=0,"",VLOOKUP($E50,BDD!$A$1:$S$567,MATCH(I$10,BDD!$A$1:$P$1,0),FALSE)),"")</f>
        <v xml:space="preserve"> </v>
      </c>
      <c r="J50" s="86"/>
      <c r="K50" s="67" t="str">
        <f>IFERROR(IF(VLOOKUP($E50,BDD!$A$1:$S$567,MATCH(K$10,BDD!$A$1:$P$1,0),FALSE)=0,"",VLOOKUP($E50,BDD!$A$1:$S$567,MATCH(K$10,BDD!$A$1:$P$1,0),FALSE)),"")</f>
        <v/>
      </c>
      <c r="L50" s="68"/>
      <c r="M50" s="87"/>
      <c r="N50" s="87"/>
      <c r="O50" s="68"/>
      <c r="P50" s="109"/>
    </row>
    <row r="51" spans="1:16" ht="18" x14ac:dyDescent="0.35">
      <c r="A51" s="109"/>
      <c r="B51" s="68"/>
      <c r="C51" s="68" t="str">
        <f t="shared" si="0"/>
        <v>10</v>
      </c>
      <c r="D51" s="68"/>
      <c r="E51" s="84"/>
      <c r="F51" s="68"/>
      <c r="G51" s="69"/>
      <c r="H51" s="69"/>
      <c r="I51" s="69"/>
      <c r="J51" s="69"/>
      <c r="K51" s="69"/>
      <c r="L51" s="70"/>
      <c r="M51" s="68"/>
      <c r="N51" s="68"/>
      <c r="O51" s="68"/>
      <c r="P51" s="109"/>
    </row>
    <row r="52" spans="1:16" x14ac:dyDescent="0.3">
      <c r="A52" s="109"/>
      <c r="B52" s="68"/>
      <c r="C52" s="68" t="str">
        <f t="shared" si="0"/>
        <v>10</v>
      </c>
      <c r="D52" s="68">
        <f>IF(LEFT(F52,14)="Bonne pratique",D48+1,D48)</f>
        <v>3</v>
      </c>
      <c r="E52" s="84" t="str">
        <f t="shared" si="2"/>
        <v>103</v>
      </c>
      <c r="F52" s="68"/>
      <c r="G52" s="68"/>
      <c r="H52" s="68"/>
      <c r="I52" s="68"/>
      <c r="J52" s="68"/>
      <c r="K52" s="68"/>
      <c r="L52" s="68"/>
      <c r="M52" s="68"/>
      <c r="N52" s="68"/>
      <c r="O52" s="68"/>
      <c r="P52" s="109"/>
    </row>
    <row r="53" spans="1:16" ht="30" x14ac:dyDescent="0.5">
      <c r="A53" s="229"/>
      <c r="B53" s="74"/>
      <c r="C53" s="68" t="str">
        <f t="shared" si="0"/>
        <v>10</v>
      </c>
      <c r="D53" s="68">
        <f t="shared" si="1"/>
        <v>4</v>
      </c>
      <c r="E53" s="84" t="str">
        <f t="shared" si="2"/>
        <v>1044</v>
      </c>
      <c r="F53" s="208" t="s">
        <v>502</v>
      </c>
      <c r="G53" s="75"/>
      <c r="H53" s="205"/>
      <c r="I53" s="73"/>
      <c r="J53" s="73" t="str">
        <f>VLOOKUP(E60,BDD!$A$2:$N$567,6,FALSE)</f>
        <v>Évaluation</v>
      </c>
      <c r="K53" s="72"/>
      <c r="L53" s="75"/>
      <c r="M53" s="75"/>
      <c r="N53" s="75"/>
      <c r="O53" s="74"/>
      <c r="P53" s="229"/>
    </row>
    <row r="54" spans="1:16" x14ac:dyDescent="0.3">
      <c r="A54" s="109"/>
      <c r="B54" s="68"/>
      <c r="C54" s="68" t="str">
        <f t="shared" si="0"/>
        <v>10</v>
      </c>
      <c r="D54" s="68">
        <f t="shared" si="1"/>
        <v>4</v>
      </c>
      <c r="E54" s="84" t="str">
        <f t="shared" si="2"/>
        <v>104</v>
      </c>
      <c r="F54" s="68"/>
      <c r="G54" s="68"/>
      <c r="H54" s="68"/>
      <c r="I54" s="68"/>
      <c r="J54" s="68"/>
      <c r="K54" s="68"/>
      <c r="L54" s="68"/>
      <c r="M54" s="68"/>
      <c r="N54" s="68"/>
      <c r="O54" s="68"/>
      <c r="P54" s="109"/>
    </row>
    <row r="55" spans="1:16" ht="18" x14ac:dyDescent="0.35">
      <c r="A55" s="230"/>
      <c r="B55" s="76"/>
      <c r="C55" s="68" t="str">
        <f t="shared" si="0"/>
        <v>10</v>
      </c>
      <c r="D55" s="68">
        <f t="shared" si="1"/>
        <v>4</v>
      </c>
      <c r="E55" s="84" t="str">
        <f t="shared" si="2"/>
        <v>104</v>
      </c>
      <c r="F55" s="76"/>
      <c r="G55" s="76"/>
      <c r="H55" s="76"/>
      <c r="I55" s="77"/>
      <c r="J55" s="207" t="str">
        <f>IFERROR(_xlfn.TEXTBEFORE(VLOOKUP(E60,BDD!$A$2:$N$567,7,FALSE)," ",30),VLOOKUP(E60,BDD!$A$2:$N$567,7,FALSE))</f>
        <v>L’évaluation des compétences et des performances est réalisée.</v>
      </c>
      <c r="K55" s="77"/>
      <c r="L55" s="76"/>
      <c r="M55" s="76"/>
      <c r="N55" s="76"/>
      <c r="O55" s="76"/>
      <c r="P55" s="230"/>
    </row>
    <row r="56" spans="1:16" ht="18" x14ac:dyDescent="0.35">
      <c r="A56" s="109"/>
      <c r="B56" s="68"/>
      <c r="C56" s="68" t="str">
        <f t="shared" si="0"/>
        <v>10</v>
      </c>
      <c r="D56" s="68">
        <f t="shared" si="1"/>
        <v>4</v>
      </c>
      <c r="E56" s="84" t="str">
        <f t="shared" si="2"/>
        <v>104</v>
      </c>
      <c r="F56" s="68"/>
      <c r="G56" s="68"/>
      <c r="H56" s="68"/>
      <c r="I56" s="68"/>
      <c r="J56" s="207" t="str">
        <f>IFERROR(_xlfn.TEXTAFTER(VLOOKUP(E60,BDD!$A$2:$N$567,7,FALSE)," ",30),"")</f>
        <v/>
      </c>
      <c r="K56" s="68"/>
      <c r="L56" s="68"/>
      <c r="M56" s="68"/>
      <c r="N56" s="68"/>
      <c r="O56" s="68"/>
      <c r="P56" s="109"/>
    </row>
    <row r="57" spans="1:16" x14ac:dyDescent="0.3">
      <c r="A57" s="109"/>
      <c r="B57" s="68"/>
      <c r="C57" s="68" t="str">
        <f t="shared" si="0"/>
        <v>10</v>
      </c>
      <c r="D57" s="68">
        <f t="shared" si="1"/>
        <v>4</v>
      </c>
      <c r="E57" s="84" t="str">
        <f t="shared" si="2"/>
        <v>104</v>
      </c>
      <c r="F57" s="68"/>
      <c r="G57" s="68"/>
      <c r="H57" s="68"/>
      <c r="I57" s="68"/>
      <c r="J57" s="78"/>
      <c r="K57" s="68"/>
      <c r="L57" s="68"/>
      <c r="M57" s="619" t="s">
        <v>92</v>
      </c>
      <c r="N57" s="619"/>
      <c r="O57" s="68"/>
      <c r="P57" s="109"/>
    </row>
    <row r="58" spans="1:16" ht="33" x14ac:dyDescent="0.3">
      <c r="A58" s="109"/>
      <c r="B58" s="68"/>
      <c r="C58" s="68" t="str">
        <f t="shared" si="0"/>
        <v>10</v>
      </c>
      <c r="D58" s="68">
        <f t="shared" si="1"/>
        <v>4</v>
      </c>
      <c r="E58" s="84" t="str">
        <f t="shared" si="2"/>
        <v>104</v>
      </c>
      <c r="F58" s="79"/>
      <c r="G58" s="80" t="s">
        <v>561</v>
      </c>
      <c r="H58" s="80" t="s">
        <v>82</v>
      </c>
      <c r="I58" s="80" t="s">
        <v>83</v>
      </c>
      <c r="J58" s="80" t="s">
        <v>84</v>
      </c>
      <c r="K58" s="80" t="s">
        <v>85</v>
      </c>
      <c r="L58" s="78"/>
      <c r="M58" s="81" t="s">
        <v>86</v>
      </c>
      <c r="N58" s="82" t="s">
        <v>87</v>
      </c>
      <c r="O58" s="68"/>
      <c r="P58" s="109"/>
    </row>
    <row r="59" spans="1:16" x14ac:dyDescent="0.3">
      <c r="A59" s="109"/>
      <c r="B59" s="68"/>
      <c r="C59" s="68" t="str">
        <f t="shared" si="0"/>
        <v>10</v>
      </c>
      <c r="D59" s="68">
        <f t="shared" si="1"/>
        <v>4</v>
      </c>
      <c r="E59" s="84" t="str">
        <f t="shared" si="2"/>
        <v>104</v>
      </c>
      <c r="F59" s="68"/>
      <c r="G59" s="83"/>
      <c r="H59" s="83"/>
      <c r="I59" s="83"/>
      <c r="J59" s="68"/>
      <c r="K59" s="83"/>
      <c r="L59" s="68"/>
      <c r="M59" s="68"/>
      <c r="N59" s="68"/>
      <c r="O59" s="68"/>
      <c r="P59" s="109"/>
    </row>
    <row r="60" spans="1:16" ht="130.05000000000001" customHeight="1" x14ac:dyDescent="0.3">
      <c r="A60" s="109"/>
      <c r="B60" s="68"/>
      <c r="C60" s="68" t="str">
        <f t="shared" si="0"/>
        <v>10</v>
      </c>
      <c r="D60" s="68">
        <f t="shared" si="1"/>
        <v>4</v>
      </c>
      <c r="E60" s="84" t="str">
        <f t="shared" si="2"/>
        <v>1041</v>
      </c>
      <c r="F60" s="66" t="s">
        <v>27</v>
      </c>
      <c r="G60" s="67" t="str">
        <f>IFERROR(IF(VLOOKUP($E60,BDD!$A$1:$S$567,MATCH(G$10,BDD!$A$1:$P$1,0),FALSE)=0,"",VLOOKUP($E60,BDD!$A$1:$S$567,MATCH(G$10,BDD!$A$1:$P$1,0),FALSE)),"")</f>
        <v>La DSI met en œuvre un « référentiel des compétences nécessaires » et une grille d'évaluation associée.</v>
      </c>
      <c r="H60" s="85" t="str">
        <f>IF(VLOOKUP(E60,BDD!$A$1:$S$567,15,FALSE)=0,"Critère non évalué","")</f>
        <v>Critère non évalué</v>
      </c>
      <c r="I60" s="66" t="str">
        <f>IFERROR(IF(VLOOKUP($E60,BDD!$A$1:$S$567,MATCH(I$10,BDD!$A$1:$P$1,0),FALSE)=0,"",VLOOKUP($E60,BDD!$A$1:$S$567,MATCH(I$10,BDD!$A$1:$P$1,0),FALSE)),"")</f>
        <v>N1</v>
      </c>
      <c r="J60" s="86"/>
      <c r="K60" s="67" t="str">
        <f>IFERROR(IF(VLOOKUP($E60,BDD!$A$1:$S$567,MATCH(K$10,BDD!$A$1:$P$1,0),FALSE)=0,"",VLOOKUP($E60,BDD!$A$1:$S$567,MATCH(K$10,BDD!$A$1:$P$1,0),FALSE)),"")</f>
        <v/>
      </c>
      <c r="L60" s="68"/>
      <c r="M60" s="87"/>
      <c r="N60" s="87"/>
      <c r="O60" s="68"/>
      <c r="P60" s="109"/>
    </row>
    <row r="61" spans="1:16" ht="130.05000000000001" customHeight="1" x14ac:dyDescent="0.3">
      <c r="A61" s="109"/>
      <c r="B61" s="68"/>
      <c r="C61" s="68" t="str">
        <f t="shared" si="0"/>
        <v>10</v>
      </c>
      <c r="D61" s="68">
        <f t="shared" si="1"/>
        <v>4</v>
      </c>
      <c r="E61" s="84" t="str">
        <f t="shared" si="2"/>
        <v>1042</v>
      </c>
      <c r="F61" s="94" t="s">
        <v>28</v>
      </c>
      <c r="G61" s="65" t="str">
        <f>IFERROR(IF(VLOOKUP($E61,BDD!$A$1:$S$567,MATCH(G$10,BDD!$A$1:$P$1,0),FALSE)=0,"",VLOOKUP($E61,BDD!$A$1:$S$567,MATCH(G$10,BDD!$A$1:$P$1,0),FALSE)),"")</f>
        <v>Un processus régulier d’évaluation des compétences présentes dans la DSI est en place, basé sur le référentiel des compétences.</v>
      </c>
      <c r="H61" s="88" t="str">
        <f>IF(VLOOKUP(E61,BDD!$A$1:$S$567,15,FALSE)=0,"Critère non évalué","")</f>
        <v>Critère non évalué</v>
      </c>
      <c r="I61" s="64" t="str">
        <f>IFERROR(IF(VLOOKUP($E61,BDD!$A$1:$S$567,MATCH(I$10,BDD!$A$1:$P$1,0),FALSE)=0,"",VLOOKUP($E61,BDD!$A$1:$S$567,MATCH(I$10,BDD!$A$1:$P$1,0),FALSE)),"")</f>
        <v>N2</v>
      </c>
      <c r="J61" s="89"/>
      <c r="K61" s="65" t="str">
        <f>IFERROR(IF(VLOOKUP($E61,BDD!$A$1:$S$567,MATCH(K$10,BDD!$A$1:$P$1,0),FALSE)=0,"",VLOOKUP($E61,BDD!$A$1:$S$567,MATCH(K$10,BDD!$A$1:$P$1,0),FALSE)),"")</f>
        <v>• Le processus est déroulé une fois par an au minimum (par exemple lors de l’entretien annuel).
• Le processus permet d'évaluer la performance du plan de résorption des écarts.</v>
      </c>
      <c r="L61" s="68"/>
      <c r="M61" s="90"/>
      <c r="N61" s="90"/>
      <c r="O61" s="68"/>
      <c r="P61" s="109"/>
    </row>
    <row r="62" spans="1:16" ht="130.05000000000001" customHeight="1" x14ac:dyDescent="0.3">
      <c r="A62" s="109"/>
      <c r="B62" s="68"/>
      <c r="C62" s="68" t="str">
        <f t="shared" si="0"/>
        <v>10</v>
      </c>
      <c r="D62" s="68">
        <f>IF(LEFT(F62,14)="Bonne pratique",D61+1,D61)</f>
        <v>4</v>
      </c>
      <c r="E62" s="84" t="str">
        <f t="shared" si="2"/>
        <v>1043</v>
      </c>
      <c r="F62" s="66" t="s">
        <v>30</v>
      </c>
      <c r="G62" s="67" t="str">
        <f>IFERROR(IF(VLOOKUP($E62,BDD!$A$1:$S$567,MATCH(G$10,BDD!$A$1:$P$1,0),FALSE)=0,"",VLOOKUP($E62,BDD!$A$1:$S$567,MATCH(G$10,BDD!$A$1:$P$1,0),FALSE)),"")</f>
        <v>Ce processus est piloté à l’aide d’indicateurs et donne lieu à des actions correctives si nécessaire (ou si besoin).</v>
      </c>
      <c r="H62" s="85" t="str">
        <f>IF(VLOOKUP(E62,BDD!$A$1:$S$567,15,FALSE)=0,"Critère non évalué","")</f>
        <v>Critère non évalué</v>
      </c>
      <c r="I62" s="66" t="str">
        <f>IFERROR(IF(VLOOKUP($E62,BDD!$A$1:$S$567,MATCH(I$10,BDD!$A$1:$P$1,0),FALSE)=0,"",VLOOKUP($E62,BDD!$A$1:$S$567,MATCH(I$10,BDD!$A$1:$P$1,0),FALSE)),"")</f>
        <v>N4</v>
      </c>
      <c r="J62" s="86"/>
      <c r="K62" s="67" t="str">
        <f>IFERROR(IF(VLOOKUP($E62,BDD!$A$1:$S$567,MATCH(K$10,BDD!$A$1:$P$1,0),FALSE)=0,"",VLOOKUP($E62,BDD!$A$1:$S$567,MATCH(K$10,BDD!$A$1:$P$1,0),FALSE)),"")</f>
        <v/>
      </c>
      <c r="L62" s="68"/>
      <c r="M62" s="87"/>
      <c r="N62" s="87"/>
      <c r="O62" s="68"/>
      <c r="P62" s="109"/>
    </row>
    <row r="63" spans="1:16" ht="130.05000000000001" customHeight="1" x14ac:dyDescent="0.3">
      <c r="A63" s="109"/>
      <c r="B63" s="68"/>
      <c r="C63" s="68" t="str">
        <f t="shared" si="0"/>
        <v>10</v>
      </c>
      <c r="D63" s="68">
        <f t="shared" si="1"/>
        <v>4</v>
      </c>
      <c r="E63" s="84" t="str">
        <f t="shared" si="2"/>
        <v>1044</v>
      </c>
      <c r="F63" s="64" t="s">
        <v>32</v>
      </c>
      <c r="G63" s="65" t="str">
        <f>IFERROR(IF(VLOOKUP($E63,BDD!$A$1:$S$567,MATCH(G$10,BDD!$A$1:$P$1,0),FALSE)=0,"",VLOOKUP($E63,BDD!$A$1:$S$567,MATCH(G$10,BDD!$A$1:$P$1,0),FALSE)),"")</f>
        <v>La DSI applique les processus et utilise les outils d’évaluation RH de l’organisation, dans le respect des contraintes réglementaires (sécurité, RGPD, directive européenne sur la transparence des salaires et des promotions, etc.).</v>
      </c>
      <c r="H63" s="88" t="str">
        <f>IF(VLOOKUP(E63,BDD!$A$1:$S$567,15,FALSE)=0,"Critère non évalué","")</f>
        <v>Critère non évalué</v>
      </c>
      <c r="I63" s="64" t="str">
        <f>IFERROR(IF(VLOOKUP($E63,BDD!$A$1:$S$567,MATCH(I$10,BDD!$A$1:$P$1,0),FALSE)=0,"",VLOOKUP($E63,BDD!$A$1:$S$567,MATCH(I$10,BDD!$A$1:$P$1,0),FALSE)),"")</f>
        <v>N1</v>
      </c>
      <c r="J63" s="91"/>
      <c r="K63" s="65" t="str">
        <f>IFERROR(IF(VLOOKUP($E63,BDD!$A$1:$S$567,MATCH(K$10,BDD!$A$1:$P$1,0),FALSE)=0,"",VLOOKUP($E63,BDD!$A$1:$S$567,MATCH(K$10,BDD!$A$1:$P$1,0),FALSE)),"")</f>
        <v xml:space="preserve">• Chaque collaborateur est évalué au moins une fois par an. </v>
      </c>
      <c r="L63" s="68"/>
      <c r="M63" s="90"/>
      <c r="N63" s="90"/>
      <c r="O63" s="68"/>
      <c r="P63" s="109"/>
    </row>
    <row r="64" spans="1:16" ht="130.05000000000001" customHeight="1" x14ac:dyDescent="0.3">
      <c r="A64" s="109"/>
      <c r="B64" s="68"/>
      <c r="C64" s="68" t="str">
        <f t="shared" si="0"/>
        <v>10</v>
      </c>
      <c r="D64" s="68">
        <f t="shared" si="1"/>
        <v>4</v>
      </c>
      <c r="E64" s="84" t="str">
        <f t="shared" si="2"/>
        <v>1045</v>
      </c>
      <c r="F64" s="66" t="s">
        <v>33</v>
      </c>
      <c r="G64" s="67" t="str">
        <f>IFERROR(IF(VLOOKUP($E64,BDD!$A$1:$S$567,MATCH(G$10,BDD!$A$1:$P$1,0),FALSE)=0,"",VLOOKUP($E64,BDD!$A$1:$S$567,MATCH(G$10,BDD!$A$1:$P$1,0),FALSE)),"")</f>
        <v>Des objectifs professionnels sont définis et mesurés pour chaque collaborateur en cohérence avec la politique RH.</v>
      </c>
      <c r="H64" s="85" t="str">
        <f>IF(VLOOKUP(E64,BDD!$A$1:$S$567,15,FALSE)=0,"Critère non évalué","")</f>
        <v>Critère non évalué</v>
      </c>
      <c r="I64" s="66" t="str">
        <f>IFERROR(IF(VLOOKUP($E64,BDD!$A$1:$S$567,MATCH(I$10,BDD!$A$1:$P$1,0),FALSE)=0,"",VLOOKUP($E64,BDD!$A$1:$S$567,MATCH(I$10,BDD!$A$1:$P$1,0),FALSE)),"")</f>
        <v>N2</v>
      </c>
      <c r="J64" s="86"/>
      <c r="K64" s="67" t="str">
        <f>IFERROR(IF(VLOOKUP($E64,BDD!$A$1:$S$567,MATCH(K$10,BDD!$A$1:$P$1,0),FALSE)=0,"",VLOOKUP($E64,BDD!$A$1:$S$567,MATCH(K$10,BDD!$A$1:$P$1,0),FALSE)),"")</f>
        <v>• Ces objectifs sont mesurables et en lien avec la fiche de poste.
• Ils sont alignés avec les objectifs de la DSI (par exemple, avec les indicateurs de délais de résolution des incidents, etc.).
• Ils sont partagés avec les collaborateurs.
• Les objectifs incluent les compétences à développer (techniques ou managériales).
• Une appréciation des performances par rapport à ces objectifs est faite et partagée avec le collaborateur à l'occasion de l'entretien annuel.</v>
      </c>
      <c r="L64" s="68"/>
      <c r="M64" s="82"/>
      <c r="N64" s="82"/>
      <c r="O64" s="68"/>
      <c r="P64" s="109"/>
    </row>
    <row r="65" spans="1:16" ht="130.05000000000001" customHeight="1" x14ac:dyDescent="0.3">
      <c r="A65" s="109"/>
      <c r="B65" s="68"/>
      <c r="C65" s="68" t="str">
        <f t="shared" si="0"/>
        <v>10</v>
      </c>
      <c r="D65" s="68">
        <f t="shared" si="1"/>
        <v>4</v>
      </c>
      <c r="E65" s="84" t="str">
        <f t="shared" si="2"/>
        <v>1046</v>
      </c>
      <c r="F65" s="64" t="s">
        <v>34</v>
      </c>
      <c r="G65" s="96" t="str">
        <f>IFERROR(IF(VLOOKUP($E65,BDD!$A$1:$S$567,MATCH(G$10,BDD!$A$1:$P$1,0),FALSE)=0,"",VLOOKUP($E65,BDD!$A$1:$S$567,MATCH(G$10,BDD!$A$1:$P$1,0),FALSE)),"")</f>
        <v>La DSI a développé des parcours de carrière internes et favorise également la mobilité au sein de l'organisation (identification des passerelles avec les autres métiers). Cette réflexion peut s'inscrire dans une démarche de type Gestion des Emplois et des Parcours Professionnels (GEPP).</v>
      </c>
      <c r="H65" s="92" t="str">
        <f>IF(VLOOKUP(E65,BDD!$A$1:$S$567,15,FALSE)=0,"Critère non évalué","")</f>
        <v>Critère non évalué</v>
      </c>
      <c r="I65" s="64" t="str">
        <f>IFERROR(IF(VLOOKUP($E65,BDD!$A$1:$S$567,MATCH(I$10,BDD!$A$1:$P$1,0),FALSE)=0,"",VLOOKUP($E65,BDD!$A$1:$S$567,MATCH(I$10,BDD!$A$1:$P$1,0),FALSE)),"")</f>
        <v>N4</v>
      </c>
      <c r="J65" s="206"/>
      <c r="K65" s="96" t="str">
        <f>IFERROR(IF(VLOOKUP($E65,BDD!$A$1:$S$567,MATCH(K$10,BDD!$A$1:$P$1,0),FALSE)=0,"",VLOOKUP($E65,BDD!$A$1:$S$567,MATCH(K$10,BDD!$A$1:$P$1,0),FALSE)),"")</f>
        <v>• Il existe des parcours experts permettant aux personnes souhaitant se spécialiser sur des technologies d'évoluer sans nécessairement passer par des postes de management.
• Le développement des compétences managériales des collaborateurs fait l'objet d'un suivi particulier.
• La reconnaissance de la Valorisation des Acquis de l’Expérience est encouragée par la DSI.
• Cf. Nomenclature des profils métiers du SI, Cigref, 2025</v>
      </c>
      <c r="L65" s="68"/>
      <c r="M65" s="90"/>
      <c r="N65" s="90"/>
      <c r="O65" s="68"/>
      <c r="P65" s="109"/>
    </row>
    <row r="66" spans="1:16" ht="130.05000000000001" hidden="1" customHeight="1" x14ac:dyDescent="0.3">
      <c r="A66" s="109"/>
      <c r="B66" s="68"/>
      <c r="C66" s="68" t="str">
        <f t="shared" si="0"/>
        <v>10</v>
      </c>
      <c r="D66" s="68">
        <f t="shared" si="1"/>
        <v>4</v>
      </c>
      <c r="E66" s="84" t="str">
        <f t="shared" si="2"/>
        <v>1047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109"/>
    </row>
    <row r="67" spans="1:16" x14ac:dyDescent="0.3">
      <c r="A67" s="109"/>
      <c r="B67" s="68"/>
      <c r="C67" s="68" t="str">
        <f t="shared" si="0"/>
        <v>10</v>
      </c>
      <c r="D67" s="68">
        <f t="shared" si="1"/>
        <v>4</v>
      </c>
      <c r="E67" s="84" t="str">
        <f t="shared" si="2"/>
        <v>104</v>
      </c>
      <c r="F67" s="68"/>
      <c r="G67" s="68"/>
      <c r="H67" s="68"/>
      <c r="I67" s="68"/>
      <c r="J67" s="68"/>
      <c r="K67" s="68"/>
      <c r="L67" s="68"/>
      <c r="M67" s="68"/>
      <c r="N67" s="68"/>
      <c r="O67" s="68"/>
      <c r="P67" s="109"/>
    </row>
    <row r="68" spans="1:16" x14ac:dyDescent="0.3">
      <c r="A68" s="109"/>
      <c r="B68" s="68"/>
      <c r="C68" s="68" t="str">
        <f t="shared" si="0"/>
        <v>10</v>
      </c>
      <c r="D68" s="68"/>
      <c r="E68" s="84"/>
      <c r="F68" s="68"/>
      <c r="G68" s="68"/>
      <c r="H68" s="68"/>
      <c r="I68" s="68"/>
      <c r="J68" s="68"/>
      <c r="K68" s="68"/>
      <c r="L68" s="68"/>
      <c r="M68" s="68"/>
      <c r="N68" s="68"/>
      <c r="O68" s="68"/>
      <c r="P68" s="109"/>
    </row>
    <row r="69" spans="1:16" x14ac:dyDescent="0.3">
      <c r="A69" s="109"/>
      <c r="B69" s="68"/>
      <c r="C69" s="68" t="str">
        <f t="shared" si="0"/>
        <v>10</v>
      </c>
      <c r="D69" s="68"/>
      <c r="E69" s="84"/>
      <c r="F69" s="68"/>
      <c r="G69" s="68"/>
      <c r="H69" s="68"/>
      <c r="I69" s="68"/>
      <c r="J69" s="68"/>
      <c r="K69" s="68"/>
      <c r="L69" s="68"/>
      <c r="M69" s="68"/>
      <c r="N69" s="68"/>
      <c r="O69" s="68"/>
      <c r="P69" s="109"/>
    </row>
    <row r="70" spans="1:16" x14ac:dyDescent="0.3">
      <c r="A70" s="109"/>
      <c r="B70" s="68"/>
      <c r="C70" s="68" t="str">
        <f t="shared" ref="C70:C115" si="3">IF(LEFT(RIGHT($B$1,2),1)=" ",RIGHT($B$1,1),RIGHT($B$1,2))</f>
        <v>10</v>
      </c>
      <c r="D70" s="68"/>
      <c r="E70" s="84"/>
      <c r="F70" s="68"/>
      <c r="G70" s="68"/>
      <c r="H70" s="68"/>
      <c r="I70" s="68"/>
      <c r="J70" s="68"/>
      <c r="K70" s="68"/>
      <c r="L70" s="68"/>
      <c r="M70" s="68"/>
      <c r="N70" s="68"/>
      <c r="O70" s="68"/>
      <c r="P70" s="109"/>
    </row>
    <row r="71" spans="1:16" ht="30" x14ac:dyDescent="0.5">
      <c r="A71" s="229"/>
      <c r="B71" s="74"/>
      <c r="C71" s="68" t="str">
        <f t="shared" si="3"/>
        <v>10</v>
      </c>
      <c r="D71" s="68">
        <f>IF(LEFT(F71,14)="Bonne pratique",D67+1,D67)</f>
        <v>5</v>
      </c>
      <c r="E71" s="84" t="str">
        <f t="shared" si="2"/>
        <v>1055</v>
      </c>
      <c r="F71" s="208" t="s">
        <v>503</v>
      </c>
      <c r="G71" s="75"/>
      <c r="H71" s="205"/>
      <c r="I71" s="73"/>
      <c r="J71" s="73" t="str">
        <f>VLOOKUP(E78,BDD!$A$2:$N$567,6,FALSE)</f>
        <v>Recrutement</v>
      </c>
      <c r="K71" s="72"/>
      <c r="L71" s="75"/>
      <c r="M71" s="75"/>
      <c r="N71" s="75"/>
      <c r="O71" s="74"/>
      <c r="P71" s="229"/>
    </row>
    <row r="72" spans="1:16" x14ac:dyDescent="0.3">
      <c r="A72" s="109"/>
      <c r="B72" s="68"/>
      <c r="C72" s="68" t="str">
        <f t="shared" si="3"/>
        <v>10</v>
      </c>
      <c r="D72" s="68">
        <f t="shared" ref="D72:D84" si="4">IF(LEFT(F72,14)="Bonne pratique",D71+1,D71)</f>
        <v>5</v>
      </c>
      <c r="E72" s="84" t="str">
        <f t="shared" si="2"/>
        <v>105</v>
      </c>
      <c r="F72" s="68"/>
      <c r="G72" s="68"/>
      <c r="H72" s="68"/>
      <c r="I72" s="68"/>
      <c r="J72" s="68"/>
      <c r="K72" s="68"/>
      <c r="L72" s="68"/>
      <c r="M72" s="68"/>
      <c r="N72" s="68"/>
      <c r="O72" s="68"/>
      <c r="P72" s="109"/>
    </row>
    <row r="73" spans="1:16" ht="18" x14ac:dyDescent="0.35">
      <c r="A73" s="230"/>
      <c r="B73" s="76"/>
      <c r="C73" s="68" t="str">
        <f t="shared" si="3"/>
        <v>10</v>
      </c>
      <c r="D73" s="68">
        <f t="shared" si="4"/>
        <v>5</v>
      </c>
      <c r="E73" s="84" t="str">
        <f t="shared" si="2"/>
        <v>105</v>
      </c>
      <c r="F73" s="76"/>
      <c r="G73" s="76"/>
      <c r="H73" s="76"/>
      <c r="I73" s="77"/>
      <c r="J73" s="207" t="str">
        <f>IFERROR(_xlfn.TEXTBEFORE(VLOOKUP(E78,BDD!$A$2:$N$567,7,FALSE)," ",30),VLOOKUP(E78,BDD!$A$2:$N$567,7,FALSE))</f>
        <v>Un plan de recrutement est défini et mis en œuvre pour répondre aux besoins en ressources de la DSI.</v>
      </c>
      <c r="K73" s="77"/>
      <c r="L73" s="76"/>
      <c r="M73" s="76"/>
      <c r="N73" s="76"/>
      <c r="O73" s="76"/>
      <c r="P73" s="230"/>
    </row>
    <row r="74" spans="1:16" ht="18" x14ac:dyDescent="0.35">
      <c r="A74" s="109"/>
      <c r="B74" s="68"/>
      <c r="C74" s="68" t="str">
        <f t="shared" si="3"/>
        <v>10</v>
      </c>
      <c r="D74" s="68">
        <f t="shared" si="4"/>
        <v>5</v>
      </c>
      <c r="E74" s="84" t="str">
        <f t="shared" si="2"/>
        <v>105</v>
      </c>
      <c r="F74" s="68"/>
      <c r="G74" s="68"/>
      <c r="H74" s="68"/>
      <c r="I74" s="68"/>
      <c r="J74" s="207" t="str">
        <f>IFERROR(_xlfn.TEXTAFTER(VLOOKUP(E78,BDD!$A$2:$N$567,7,FALSE)," ",30),"")</f>
        <v/>
      </c>
      <c r="K74" s="68"/>
      <c r="L74" s="68"/>
      <c r="M74" s="68"/>
      <c r="N74" s="68"/>
      <c r="O74" s="68"/>
      <c r="P74" s="109"/>
    </row>
    <row r="75" spans="1:16" x14ac:dyDescent="0.3">
      <c r="A75" s="109"/>
      <c r="B75" s="68"/>
      <c r="C75" s="68" t="str">
        <f t="shared" si="3"/>
        <v>10</v>
      </c>
      <c r="D75" s="68">
        <f t="shared" si="4"/>
        <v>5</v>
      </c>
      <c r="E75" s="84" t="str">
        <f t="shared" si="2"/>
        <v>105</v>
      </c>
      <c r="F75" s="68"/>
      <c r="G75" s="68"/>
      <c r="H75" s="68"/>
      <c r="I75" s="68"/>
      <c r="J75" s="78"/>
      <c r="K75" s="68"/>
      <c r="L75" s="68"/>
      <c r="M75" s="619" t="s">
        <v>92</v>
      </c>
      <c r="N75" s="619"/>
      <c r="O75" s="68"/>
      <c r="P75" s="109"/>
    </row>
    <row r="76" spans="1:16" ht="33" x14ac:dyDescent="0.3">
      <c r="A76" s="109"/>
      <c r="B76" s="68"/>
      <c r="C76" s="68" t="str">
        <f t="shared" si="3"/>
        <v>10</v>
      </c>
      <c r="D76" s="68">
        <f t="shared" si="4"/>
        <v>5</v>
      </c>
      <c r="E76" s="84" t="str">
        <f t="shared" si="2"/>
        <v>105</v>
      </c>
      <c r="F76" s="93"/>
      <c r="G76" s="80" t="s">
        <v>561</v>
      </c>
      <c r="H76" s="80" t="s">
        <v>82</v>
      </c>
      <c r="I76" s="80" t="s">
        <v>83</v>
      </c>
      <c r="J76" s="80" t="s">
        <v>84</v>
      </c>
      <c r="K76" s="80" t="s">
        <v>85</v>
      </c>
      <c r="L76" s="78"/>
      <c r="M76" s="81" t="s">
        <v>86</v>
      </c>
      <c r="N76" s="82" t="s">
        <v>87</v>
      </c>
      <c r="O76" s="68"/>
      <c r="P76" s="109"/>
    </row>
    <row r="77" spans="1:16" x14ac:dyDescent="0.3">
      <c r="A77" s="109"/>
      <c r="B77" s="68"/>
      <c r="C77" s="68" t="str">
        <f t="shared" si="3"/>
        <v>10</v>
      </c>
      <c r="D77" s="68">
        <f t="shared" si="4"/>
        <v>5</v>
      </c>
      <c r="E77" s="84" t="str">
        <f t="shared" si="2"/>
        <v>105</v>
      </c>
      <c r="F77" s="68"/>
      <c r="G77" s="83"/>
      <c r="H77" s="83"/>
      <c r="I77" s="83"/>
      <c r="J77" s="68"/>
      <c r="K77" s="83"/>
      <c r="L77" s="68"/>
      <c r="M77" s="68"/>
      <c r="N77" s="68"/>
      <c r="O77" s="68"/>
      <c r="P77" s="109"/>
    </row>
    <row r="78" spans="1:16" ht="187.8" customHeight="1" x14ac:dyDescent="0.3">
      <c r="A78" s="109"/>
      <c r="B78" s="68"/>
      <c r="C78" s="68" t="str">
        <f t="shared" si="3"/>
        <v>10</v>
      </c>
      <c r="D78" s="68">
        <f t="shared" si="4"/>
        <v>5</v>
      </c>
      <c r="E78" s="84" t="str">
        <f t="shared" si="2"/>
        <v>1051</v>
      </c>
      <c r="F78" s="66" t="s">
        <v>27</v>
      </c>
      <c r="G78" s="67" t="str">
        <f>IFERROR(IF(VLOOKUP($E78,BDD!$A$1:$S$567,MATCH(G$10,BDD!$A$1:$P$1,0),FALSE)=0,"",VLOOKUP($E78,BDD!$A$1:$S$567,MATCH(G$10,BDD!$A$1:$P$1,0),FALSE)),"")</f>
        <v>Un plan de recrutement est établi en cohérence avec le plan de résorption des écarts et il est mis en œuvre pour répondre aux besoins actuels et futurs de la DSI.</v>
      </c>
      <c r="H78" s="85" t="str">
        <f>IF(VLOOKUP(E78,BDD!$A$1:$S$567,15,FALSE)=0,"Critère non évalué","")</f>
        <v>Critère non évalué</v>
      </c>
      <c r="I78" s="66" t="str">
        <f>IFERROR(IF(VLOOKUP($E78,BDD!$A$1:$S$567,MATCH(I$10,BDD!$A$1:$P$1,0),FALSE)=0,"",VLOOKUP($E78,BDD!$A$1:$S$567,MATCH(I$10,BDD!$A$1:$P$1,0),FALSE)),"")</f>
        <v>N1</v>
      </c>
      <c r="J78" s="86"/>
      <c r="K78" s="67" t="str">
        <f>IFERROR(IF(VLOOKUP($E78,BDD!$A$1:$S$567,MATCH(K$10,BDD!$A$1:$P$1,0),FALSE)=0,"",VLOOKUP($E78,BDD!$A$1:$S$567,MATCH(K$10,BDD!$A$1:$P$1,0),FALSE)),"")</f>
        <v>• Le plan de recrutement est construit en tenant  compte de la stratégie de sourcing, des besoins en compétences et des compétences disponibles pour chaque activité.
• La DSI prend en compte les attentes des candidats et la rareté de certains profils de compétences afin de rendre ses postes attractifs et compétitifs (rémunération, télétravail, perspectives d'évolution, localisation géographique, intérêt et sens du poste et de l'organisation, environnement technologique, etc.)
• Chaque poste à pourvoir est présenté de manière à le rendre attractif (description de l’entreprise et de sa stratégie, activités à l’international, domaine de responsabilité du poste, etc.).
• Les postes à pourvoir sont systématiquement publiés en interne et les postulants sont reçus par les recruteurs. Un retour leur est systématiquement transmis.
• Différents canaux externes sont utilisés pour pourvoir les postes ouverts (réseaux sociaux, cooptation, relations écoles et universités, relations écosystèmes, chasseurs de tête, etc.).</v>
      </c>
      <c r="L78" s="68"/>
      <c r="M78" s="87"/>
      <c r="N78" s="87"/>
      <c r="O78" s="68"/>
      <c r="P78" s="109"/>
    </row>
    <row r="79" spans="1:16" ht="130.05000000000001" customHeight="1" x14ac:dyDescent="0.3">
      <c r="A79" s="109"/>
      <c r="B79" s="68"/>
      <c r="C79" s="68" t="str">
        <f t="shared" si="3"/>
        <v>10</v>
      </c>
      <c r="D79" s="68">
        <f t="shared" si="4"/>
        <v>5</v>
      </c>
      <c r="E79" s="84" t="str">
        <f t="shared" si="2"/>
        <v>1052</v>
      </c>
      <c r="F79" s="94" t="s">
        <v>28</v>
      </c>
      <c r="G79" s="65" t="str">
        <f>IFERROR(IF(VLOOKUP($E79,BDD!$A$1:$S$567,MATCH(G$10,BDD!$A$1:$P$1,0),FALSE)=0,"",VLOOKUP($E79,BDD!$A$1:$S$567,MATCH(G$10,BDD!$A$1:$P$1,0),FALSE)),"")</f>
        <v>La réalisation du plan de recrutement fait l’objet d’un suivi régulier conjoint par les directions SI et RH.</v>
      </c>
      <c r="H79" s="88" t="str">
        <f>IF(VLOOKUP(E79,BDD!$A$1:$S$567,15,FALSE)=0,"Critère non évalué","")</f>
        <v>Critère non évalué</v>
      </c>
      <c r="I79" s="64" t="str">
        <f>IFERROR(IF(VLOOKUP($E79,BDD!$A$1:$S$567,MATCH(I$10,BDD!$A$1:$P$1,0),FALSE)=0,"",VLOOKUP($E79,BDD!$A$1:$S$567,MATCH(I$10,BDD!$A$1:$P$1,0),FALSE)),"")</f>
        <v>N2</v>
      </c>
      <c r="J79" s="89"/>
      <c r="K79" s="65" t="str">
        <f>IFERROR(IF(VLOOKUP($E79,BDD!$A$1:$S$567,MATCH(K$10,BDD!$A$1:$P$1,0),FALSE)=0,"",VLOOKUP($E79,BDD!$A$1:$S$567,MATCH(K$10,BDD!$A$1:$P$1,0),FALSE)),"")</f>
        <v>• En cas de retard par rapport au plan prévu, des actions sont mises en œuvre pour garantir la disponibilité des ressources nécessaires (accélération du  processus de recrutement, appel à de la prestation externe, management de transition)
• L'analyse des délais et de la qualité des recrutements permet d'adapter le plan de recrutement à la situation (anticipation des besoins pour tenir compte d'un allongement des délais, ajustement de l'approche de recrutement, etc.).</v>
      </c>
      <c r="L79" s="68"/>
      <c r="M79" s="90"/>
      <c r="N79" s="90"/>
      <c r="O79" s="68"/>
      <c r="P79" s="109"/>
    </row>
    <row r="80" spans="1:16" ht="130.05000000000001" customHeight="1" x14ac:dyDescent="0.3">
      <c r="A80" s="109"/>
      <c r="B80" s="68"/>
      <c r="C80" s="68" t="str">
        <f t="shared" si="3"/>
        <v>10</v>
      </c>
      <c r="D80" s="68">
        <f t="shared" si="4"/>
        <v>5</v>
      </c>
      <c r="E80" s="84" t="str">
        <f t="shared" si="2"/>
        <v>1053</v>
      </c>
      <c r="F80" s="66" t="s">
        <v>30</v>
      </c>
      <c r="G80" s="67" t="str">
        <f>IFERROR(IF(VLOOKUP($E80,BDD!$A$1:$S$567,MATCH(G$10,BDD!$A$1:$P$1,0),FALSE)=0,"",VLOOKUP($E80,BDD!$A$1:$S$567,MATCH(G$10,BDD!$A$1:$P$1,0),FALSE)),"")</f>
        <v>Un processus d'accueil et d'intégration est en place pour permettre la bonne intégration des nouveaux arrivants.</v>
      </c>
      <c r="H80" s="85" t="str">
        <f>IF(VLOOKUP(E80,BDD!$A$1:$S$567,15,FALSE)=0,"Critère non évalué","")</f>
        <v>Critère non évalué</v>
      </c>
      <c r="I80" s="66" t="str">
        <f>IFERROR(IF(VLOOKUP($E80,BDD!$A$1:$S$567,MATCH(I$10,BDD!$A$1:$P$1,0),FALSE)=0,"",VLOOKUP($E80,BDD!$A$1:$S$567,MATCH(I$10,BDD!$A$1:$P$1,0),FALSE)),"")</f>
        <v>N2</v>
      </c>
      <c r="J80" s="86"/>
      <c r="K80" s="67" t="str">
        <f>IFERROR(IF(VLOOKUP($E80,BDD!$A$1:$S$567,MATCH(K$10,BDD!$A$1:$P$1,0),FALSE)=0,"",VLOOKUP($E80,BDD!$A$1:$S$567,MATCH(K$10,BDD!$A$1:$P$1,0),FALSE)),"")</f>
        <v>• Un référent est identifié pour l'accueil et l'intégration de l'arrivant.
• Le processus inclut les formations et transferts de compétences nécessaires à l'exercice du poste et aux exigences de l'organisation.
• Le processus permet de s'assurer d'un temps suffisant en présentiel pour favoriser la bonne intégration.</v>
      </c>
      <c r="L80" s="68"/>
      <c r="M80" s="87"/>
      <c r="N80" s="87"/>
      <c r="O80" s="68"/>
      <c r="P80" s="109"/>
    </row>
    <row r="81" spans="1:16" ht="130.05000000000001" hidden="1" customHeight="1" x14ac:dyDescent="0.3">
      <c r="A81" s="109"/>
      <c r="B81" s="68"/>
      <c r="C81" s="68" t="str">
        <f t="shared" si="3"/>
        <v>10</v>
      </c>
      <c r="D81" s="68">
        <f t="shared" si="4"/>
        <v>5</v>
      </c>
      <c r="E81" s="84" t="str">
        <f t="shared" si="2"/>
        <v>1054</v>
      </c>
      <c r="F81" s="64" t="s">
        <v>32</v>
      </c>
      <c r="G81" s="65" t="str">
        <f>IFERROR(IF(VLOOKUP($E81,BDD!$A$1:$S$567,MATCH(G$10,BDD!$A$1:$P$1,0),FALSE)=0,"",VLOOKUP($E81,BDD!$A$1:$S$567,MATCH(G$10,BDD!$A$1:$P$1,0),FALSE)),"")</f>
        <v/>
      </c>
      <c r="H81" s="88" t="str">
        <f>IF(VLOOKUP(E81,BDD!$A$1:$S$567,15,FALSE)=0,"Critère non évalué","")</f>
        <v>Critère non évalué</v>
      </c>
      <c r="I81" s="64" t="str">
        <f>IFERROR(IF(VLOOKUP($E81,BDD!$A$1:$S$567,MATCH(I$10,BDD!$A$1:$P$1,0),FALSE)=0,"",VLOOKUP($E81,BDD!$A$1:$S$567,MATCH(I$10,BDD!$A$1:$P$1,0),FALSE)),"")</f>
        <v xml:space="preserve"> </v>
      </c>
      <c r="J81" s="91"/>
      <c r="K81" s="65" t="str">
        <f>IFERROR(IF(VLOOKUP($E81,BDD!$A$1:$S$567,MATCH(K$10,BDD!$A$1:$P$1,0),FALSE)=0,"",VLOOKUP($E81,BDD!$A$1:$S$567,MATCH(K$10,BDD!$A$1:$P$1,0),FALSE)),"")</f>
        <v/>
      </c>
      <c r="L81" s="68"/>
      <c r="M81" s="90"/>
      <c r="N81" s="90"/>
      <c r="O81" s="68"/>
      <c r="P81" s="109"/>
    </row>
    <row r="82" spans="1:16" ht="130.05000000000001" hidden="1" customHeight="1" x14ac:dyDescent="0.3">
      <c r="A82" s="109"/>
      <c r="B82" s="68"/>
      <c r="C82" s="68" t="str">
        <f t="shared" si="3"/>
        <v>10</v>
      </c>
      <c r="D82" s="68">
        <f t="shared" si="4"/>
        <v>5</v>
      </c>
      <c r="E82" s="84" t="str">
        <f t="shared" si="2"/>
        <v>1055</v>
      </c>
      <c r="F82" s="66" t="s">
        <v>33</v>
      </c>
      <c r="G82" s="67" t="str">
        <f>IFERROR(IF(VLOOKUP($E82,BDD!$A$1:$S$567,MATCH(G$10,BDD!$A$1:$P$1,0),FALSE)=0,"",VLOOKUP($E82,BDD!$A$1:$S$567,MATCH(G$10,BDD!$A$1:$P$1,0),FALSE)),"")</f>
        <v/>
      </c>
      <c r="H82" s="85" t="str">
        <f>IF(VLOOKUP(E82,BDD!$A$1:$S$567,15,FALSE)=0,"Critère non évalué","")</f>
        <v>Critère non évalué</v>
      </c>
      <c r="I82" s="66" t="str">
        <f>IFERROR(IF(VLOOKUP($E82,BDD!$A$1:$S$567,MATCH(I$10,BDD!$A$1:$P$1,0),FALSE)=0,"",VLOOKUP($E82,BDD!$A$1:$S$567,MATCH(I$10,BDD!$A$1:$P$1,0),FALSE)),"")</f>
        <v xml:space="preserve"> </v>
      </c>
      <c r="J82" s="86"/>
      <c r="K82" s="67" t="str">
        <f>IFERROR(IF(VLOOKUP($E82,BDD!$A$1:$S$567,MATCH(K$10,BDD!$A$1:$P$1,0),FALSE)=0,"",VLOOKUP($E82,BDD!$A$1:$S$567,MATCH(K$10,BDD!$A$1:$P$1,0),FALSE)),"")</f>
        <v/>
      </c>
      <c r="L82" s="68"/>
      <c r="M82" s="82"/>
      <c r="N82" s="82"/>
      <c r="O82" s="68"/>
      <c r="P82" s="109"/>
    </row>
    <row r="83" spans="1:16" ht="130.05000000000001" hidden="1" customHeight="1" x14ac:dyDescent="0.3">
      <c r="A83" s="109"/>
      <c r="B83" s="68"/>
      <c r="C83" s="68" t="str">
        <f t="shared" si="3"/>
        <v>10</v>
      </c>
      <c r="D83" s="68">
        <f t="shared" si="4"/>
        <v>5</v>
      </c>
      <c r="E83" s="84" t="str">
        <f>C83&amp;D83&amp;RIGHT(F83,1)</f>
        <v>1056</v>
      </c>
      <c r="F83" s="64" t="s">
        <v>34</v>
      </c>
      <c r="G83" s="65" t="str">
        <f>IFERROR(IF(VLOOKUP($E83,BDD!$A$1:$S$567,MATCH(G$10,BDD!$A$1:$P$1,0),FALSE)=0,"",VLOOKUP($E83,BDD!$A$1:$S$567,MATCH(G$10,BDD!$A$1:$P$1,0),FALSE)),"")</f>
        <v/>
      </c>
      <c r="H83" s="88" t="str">
        <f>IF(VLOOKUP(E83,BDD!$A$1:$S$567,15,FALSE)=0,"Critère non évalué","")</f>
        <v>Critère non évalué</v>
      </c>
      <c r="I83" s="64" t="str">
        <f>IFERROR(IF(VLOOKUP($E83,BDD!$A$1:$S$567,MATCH(I$10,BDD!$A$1:$P$1,0),FALSE)=0,"",VLOOKUP($E83,BDD!$A$1:$S$567,MATCH(I$10,BDD!$A$1:$P$1,0),FALSE)),"")</f>
        <v xml:space="preserve"> </v>
      </c>
      <c r="J83" s="91"/>
      <c r="K83" s="65" t="str">
        <f>IFERROR(IF(VLOOKUP($E83,BDD!$A$1:$S$567,MATCH(K$10,BDD!$A$1:$P$1,0),FALSE)=0,"",VLOOKUP($E83,BDD!$A$1:$S$567,MATCH(K$10,BDD!$A$1:$P$1,0),FALSE)),"")</f>
        <v/>
      </c>
      <c r="L83" s="68"/>
      <c r="M83" s="90"/>
      <c r="N83" s="90"/>
      <c r="O83" s="68"/>
      <c r="P83" s="109"/>
    </row>
    <row r="84" spans="1:16" ht="130.05000000000001" hidden="1" customHeight="1" x14ac:dyDescent="0.3">
      <c r="A84" s="109"/>
      <c r="B84" s="68"/>
      <c r="C84" s="68" t="str">
        <f t="shared" si="3"/>
        <v>10</v>
      </c>
      <c r="D84" s="68">
        <f t="shared" si="4"/>
        <v>5</v>
      </c>
      <c r="E84" s="84" t="str">
        <f>C84&amp;D84&amp;RIGHT(F84,1)</f>
        <v>1057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xml:space="preserve"> </v>
      </c>
      <c r="J84" s="86"/>
      <c r="K84" s="67" t="str">
        <f>IFERROR(IF(VLOOKUP($E84,BDD!$A$1:$S$567,MATCH(K$10,BDD!$A$1:$P$1,0),FALSE)=0,"",VLOOKUP($E84,BDD!$A$1:$S$567,MATCH(K$10,BDD!$A$1:$P$1,0),FALSE)),"")</f>
        <v/>
      </c>
      <c r="L84" s="68"/>
      <c r="M84" s="82"/>
      <c r="N84" s="82"/>
      <c r="O84" s="68"/>
      <c r="P84" s="109"/>
    </row>
    <row r="85" spans="1:16" x14ac:dyDescent="0.3">
      <c r="A85" s="109"/>
      <c r="B85" s="68"/>
      <c r="C85" s="68" t="str">
        <f t="shared" si="3"/>
        <v>10</v>
      </c>
      <c r="D85" s="68"/>
      <c r="E85" s="68"/>
      <c r="F85" s="68"/>
      <c r="G85" s="68"/>
      <c r="H85" s="68"/>
      <c r="I85" s="68"/>
      <c r="J85" s="68"/>
      <c r="K85" s="68"/>
      <c r="L85" s="68"/>
      <c r="M85" s="68"/>
      <c r="N85" s="68"/>
      <c r="O85" s="68"/>
      <c r="P85" s="109"/>
    </row>
    <row r="86" spans="1:16" x14ac:dyDescent="0.3">
      <c r="A86" s="109"/>
      <c r="B86" s="68"/>
      <c r="C86" s="68" t="str">
        <f t="shared" si="3"/>
        <v>10</v>
      </c>
      <c r="D86" s="68"/>
      <c r="E86" s="68"/>
      <c r="F86" s="68"/>
      <c r="G86" s="68"/>
      <c r="H86" s="68"/>
      <c r="I86" s="68"/>
      <c r="J86" s="68"/>
      <c r="K86" s="68"/>
      <c r="L86" s="68"/>
      <c r="M86" s="68"/>
      <c r="N86" s="68"/>
      <c r="O86" s="68"/>
      <c r="P86" s="109"/>
    </row>
    <row r="87" spans="1:16" ht="30" x14ac:dyDescent="0.5">
      <c r="A87" s="229"/>
      <c r="B87" s="74"/>
      <c r="C87" s="68" t="str">
        <f t="shared" si="3"/>
        <v>10</v>
      </c>
      <c r="D87" s="68">
        <f>IF(LEFT(F87,14)="Bonne pratique",D83+1,D83)</f>
        <v>6</v>
      </c>
      <c r="E87" s="84" t="str">
        <f t="shared" ref="E87:E100" si="5">C87&amp;D87&amp;RIGHT(F87,1)</f>
        <v>1066</v>
      </c>
      <c r="F87" s="208" t="s">
        <v>556</v>
      </c>
      <c r="G87" s="75"/>
      <c r="H87" s="205"/>
      <c r="I87" s="73"/>
      <c r="J87" s="73" t="str">
        <f>VLOOKUP(E94,BDD!$A$2:$N$567,6,FALSE)</f>
        <v>Développement des compétences</v>
      </c>
      <c r="K87" s="72"/>
      <c r="L87" s="75"/>
      <c r="M87" s="75"/>
      <c r="N87" s="75"/>
      <c r="O87" s="74"/>
      <c r="P87" s="229"/>
    </row>
    <row r="88" spans="1:16" x14ac:dyDescent="0.3">
      <c r="A88" s="109"/>
      <c r="B88" s="68"/>
      <c r="C88" s="68" t="str">
        <f t="shared" si="3"/>
        <v>10</v>
      </c>
      <c r="D88" s="68">
        <f t="shared" ref="D88:D100" si="6">IF(LEFT(F88,14)="Bonne pratique",D87+1,D87)</f>
        <v>6</v>
      </c>
      <c r="E88" s="84" t="str">
        <f t="shared" si="5"/>
        <v>106</v>
      </c>
      <c r="F88" s="68"/>
      <c r="G88" s="68"/>
      <c r="H88" s="68"/>
      <c r="I88" s="68"/>
      <c r="J88" s="68"/>
      <c r="K88" s="68"/>
      <c r="L88" s="68"/>
      <c r="M88" s="68"/>
      <c r="N88" s="68"/>
      <c r="O88" s="68"/>
      <c r="P88" s="109"/>
    </row>
    <row r="89" spans="1:16" ht="18" x14ac:dyDescent="0.35">
      <c r="A89" s="230"/>
      <c r="B89" s="76"/>
      <c r="C89" s="68" t="str">
        <f t="shared" si="3"/>
        <v>10</v>
      </c>
      <c r="D89" s="68">
        <f t="shared" si="6"/>
        <v>6</v>
      </c>
      <c r="E89" s="84" t="str">
        <f t="shared" si="5"/>
        <v>106</v>
      </c>
      <c r="F89" s="76"/>
      <c r="G89" s="76"/>
      <c r="H89" s="76"/>
      <c r="I89" s="77"/>
      <c r="J89" s="207" t="str">
        <f>IFERROR(_xlfn.TEXTBEFORE(VLOOKUP(E94,BDD!$A$2:$N$567,7,FALSE)," ",30),VLOOKUP(E94,BDD!$A$2:$N$567,7,FALSE))</f>
        <v>Une stratégie de développement des compétences numériques est définie</v>
      </c>
      <c r="K89" s="77"/>
      <c r="L89" s="76"/>
      <c r="M89" s="76"/>
      <c r="N89" s="76"/>
      <c r="O89" s="76"/>
      <c r="P89" s="230"/>
    </row>
    <row r="90" spans="1:16" ht="18" x14ac:dyDescent="0.35">
      <c r="A90" s="109"/>
      <c r="B90" s="68"/>
      <c r="C90" s="68" t="str">
        <f t="shared" si="3"/>
        <v>10</v>
      </c>
      <c r="D90" s="68">
        <f t="shared" si="6"/>
        <v>6</v>
      </c>
      <c r="E90" s="84" t="str">
        <f t="shared" si="5"/>
        <v>106</v>
      </c>
      <c r="F90" s="68"/>
      <c r="G90" s="68"/>
      <c r="H90" s="68"/>
      <c r="I90" s="68"/>
      <c r="J90" s="207" t="str">
        <f>IFERROR(_xlfn.TEXTAFTER(VLOOKUP(E94,BDD!$A$2:$N$567,7,FALSE)," ",30),"")</f>
        <v/>
      </c>
      <c r="K90" s="68"/>
      <c r="L90" s="68"/>
      <c r="M90" s="68"/>
      <c r="N90" s="68"/>
      <c r="O90" s="68"/>
      <c r="P90" s="109"/>
    </row>
    <row r="91" spans="1:16" x14ac:dyDescent="0.3">
      <c r="A91" s="109"/>
      <c r="B91" s="68"/>
      <c r="C91" s="68" t="str">
        <f t="shared" si="3"/>
        <v>10</v>
      </c>
      <c r="D91" s="68">
        <f t="shared" si="6"/>
        <v>6</v>
      </c>
      <c r="E91" s="84" t="str">
        <f t="shared" si="5"/>
        <v>106</v>
      </c>
      <c r="F91" s="68"/>
      <c r="G91" s="68"/>
      <c r="H91" s="68"/>
      <c r="I91" s="68"/>
      <c r="J91" s="78"/>
      <c r="K91" s="68"/>
      <c r="L91" s="68"/>
      <c r="M91" s="619" t="s">
        <v>92</v>
      </c>
      <c r="N91" s="619"/>
      <c r="O91" s="68"/>
      <c r="P91" s="109"/>
    </row>
    <row r="92" spans="1:16" ht="33" x14ac:dyDescent="0.3">
      <c r="A92" s="109"/>
      <c r="B92" s="68"/>
      <c r="C92" s="68" t="str">
        <f t="shared" si="3"/>
        <v>10</v>
      </c>
      <c r="D92" s="68">
        <f t="shared" si="6"/>
        <v>6</v>
      </c>
      <c r="E92" s="84" t="str">
        <f t="shared" si="5"/>
        <v>106</v>
      </c>
      <c r="F92" s="93"/>
      <c r="G92" s="80" t="s">
        <v>561</v>
      </c>
      <c r="H92" s="80" t="s">
        <v>82</v>
      </c>
      <c r="I92" s="80" t="s">
        <v>83</v>
      </c>
      <c r="J92" s="80" t="s">
        <v>84</v>
      </c>
      <c r="K92" s="80" t="s">
        <v>85</v>
      </c>
      <c r="L92" s="78"/>
      <c r="M92" s="81" t="s">
        <v>86</v>
      </c>
      <c r="N92" s="82" t="s">
        <v>87</v>
      </c>
      <c r="O92" s="68"/>
      <c r="P92" s="109"/>
    </row>
    <row r="93" spans="1:16" x14ac:dyDescent="0.3">
      <c r="A93" s="109"/>
      <c r="B93" s="68"/>
      <c r="C93" s="68" t="str">
        <f t="shared" si="3"/>
        <v>10</v>
      </c>
      <c r="D93" s="68">
        <f t="shared" si="6"/>
        <v>6</v>
      </c>
      <c r="E93" s="84" t="str">
        <f t="shared" si="5"/>
        <v>106</v>
      </c>
      <c r="F93" s="68"/>
      <c r="G93" s="83"/>
      <c r="H93" s="83"/>
      <c r="I93" s="83"/>
      <c r="J93" s="68"/>
      <c r="K93" s="83"/>
      <c r="L93" s="68"/>
      <c r="M93" s="68"/>
      <c r="N93" s="68"/>
      <c r="O93" s="68"/>
      <c r="P93" s="109"/>
    </row>
    <row r="94" spans="1:16" ht="130.05000000000001" customHeight="1" x14ac:dyDescent="0.3">
      <c r="A94" s="109"/>
      <c r="B94" s="68"/>
      <c r="C94" s="68" t="str">
        <f t="shared" si="3"/>
        <v>10</v>
      </c>
      <c r="D94" s="68">
        <f t="shared" si="6"/>
        <v>6</v>
      </c>
      <c r="E94" s="84" t="str">
        <f t="shared" si="5"/>
        <v>1061</v>
      </c>
      <c r="F94" s="66" t="s">
        <v>27</v>
      </c>
      <c r="G94" s="67" t="str">
        <f>IFERROR(IF(VLOOKUP($E94,BDD!$A$1:$S$567,MATCH(G$10,BDD!$A$1:$P$1,0),FALSE)=0,"",VLOOKUP($E94,BDD!$A$1:$S$567,MATCH(G$10,BDD!$A$1:$P$1,0),FALSE)),"")</f>
        <v>Le DSI et les différents niveaux d'encadrement, en lien avec la DRH, veillent à ce que le plan de formation soit en adéquation avec le plan de résorption des écarts.</v>
      </c>
      <c r="H94" s="85" t="str">
        <f>IF(VLOOKUP(E94,BDD!$A$1:$S$567,15,FALSE)=0,"Critère non évalué","")</f>
        <v>Critère non évalué</v>
      </c>
      <c r="I94" s="66" t="str">
        <f>IFERROR(IF(VLOOKUP($E94,BDD!$A$1:$S$567,MATCH(I$10,BDD!$A$1:$P$1,0),FALSE)=0,"",VLOOKUP($E94,BDD!$A$1:$S$567,MATCH(I$10,BDD!$A$1:$P$1,0),FALSE)),"")</f>
        <v>N2</v>
      </c>
      <c r="J94" s="86"/>
      <c r="K94" s="67" t="str">
        <f>IFERROR(IF(VLOOKUP($E94,BDD!$A$1:$S$567,MATCH(K$10,BDD!$A$1:$P$1,0),FALSE)=0,"",VLOOKUP($E94,BDD!$A$1:$S$567,MATCH(K$10,BDD!$A$1:$P$1,0),FALSE)),"")</f>
        <v>• Les collaborateurs doivent pouvoir bénéficier de formations en lien avec leurs missions actuelles et futures.
• L'acquisition de certifications professionnelles est encouragée et valorisée.</v>
      </c>
      <c r="L94" s="68"/>
      <c r="M94" s="87"/>
      <c r="N94" s="87"/>
      <c r="O94" s="68"/>
      <c r="P94" s="109"/>
    </row>
    <row r="95" spans="1:16" ht="130.05000000000001" customHeight="1" x14ac:dyDescent="0.3">
      <c r="A95" s="109"/>
      <c r="B95" s="68"/>
      <c r="C95" s="68" t="str">
        <f t="shared" si="3"/>
        <v>10</v>
      </c>
      <c r="D95" s="68">
        <f t="shared" si="6"/>
        <v>6</v>
      </c>
      <c r="E95" s="84" t="str">
        <f t="shared" si="5"/>
        <v>1062</v>
      </c>
      <c r="F95" s="94" t="s">
        <v>28</v>
      </c>
      <c r="G95" s="65" t="str">
        <f>IFERROR(IF(VLOOKUP($E95,BDD!$A$1:$S$567,MATCH(G$10,BDD!$A$1:$P$1,0),FALSE)=0,"",VLOOKUP($E95,BDD!$A$1:$S$567,MATCH(G$10,BDD!$A$1:$P$1,0),FALSE)),"")</f>
        <v>Une offre de développement des compétences (formation, mentorat, accompagnement) est publiée et rendue visible à l’ensemble des collaborateurs de la fonction numérique.</v>
      </c>
      <c r="H95" s="88" t="str">
        <f>IF(VLOOKUP(E95,BDD!$A$1:$S$567,15,FALSE)=0,"Critère non évalué","")</f>
        <v>Critère non évalué</v>
      </c>
      <c r="I95" s="64" t="str">
        <f>IFERROR(IF(VLOOKUP($E95,BDD!$A$1:$S$567,MATCH(I$10,BDD!$A$1:$P$1,0),FALSE)=0,"",VLOOKUP($E95,BDD!$A$1:$S$567,MATCH(I$10,BDD!$A$1:$P$1,0),FALSE)),"")</f>
        <v>N2</v>
      </c>
      <c r="J95" s="89"/>
      <c r="K95" s="65" t="str">
        <f>IFERROR(IF(VLOOKUP($E95,BDD!$A$1:$S$567,MATCH(K$10,BDD!$A$1:$P$1,0),FALSE)=0,"",VLOOKUP($E95,BDD!$A$1:$S$567,MATCH(K$10,BDD!$A$1:$P$1,0),FALSE)),"")</f>
        <v>• L’offre de formation doit être actualisée régulièrement (exemples : utilisation de MOOC, partenariats avec des écoles, etc.).</v>
      </c>
      <c r="L95" s="68"/>
      <c r="M95" s="90"/>
      <c r="N95" s="90"/>
      <c r="O95" s="68"/>
      <c r="P95" s="109"/>
    </row>
    <row r="96" spans="1:16" ht="130.05000000000001" customHeight="1" x14ac:dyDescent="0.3">
      <c r="A96" s="109"/>
      <c r="B96" s="68"/>
      <c r="C96" s="68" t="str">
        <f t="shared" si="3"/>
        <v>10</v>
      </c>
      <c r="D96" s="68">
        <f t="shared" si="6"/>
        <v>6</v>
      </c>
      <c r="E96" s="84" t="str">
        <f t="shared" si="5"/>
        <v>1063</v>
      </c>
      <c r="F96" s="66" t="s">
        <v>30</v>
      </c>
      <c r="G96" s="67" t="str">
        <f>IFERROR(IF(VLOOKUP($E96,BDD!$A$1:$S$567,MATCH(G$10,BDD!$A$1:$P$1,0),FALSE)=0,"",VLOOKUP($E96,BDD!$A$1:$S$567,MATCH(G$10,BDD!$A$1:$P$1,0),FALSE)),"")</f>
        <v>La DSI favorise l'accès et le partage de connaissances internes et externes ainsi que la capitalisation des savoir-faire.</v>
      </c>
      <c r="H96" s="85" t="str">
        <f>IF(VLOOKUP(E96,BDD!$A$1:$S$567,15,FALSE)=0,"Critère non évalué","")</f>
        <v>Critère non évalué</v>
      </c>
      <c r="I96" s="66" t="str">
        <f>IFERROR(IF(VLOOKUP($E96,BDD!$A$1:$S$567,MATCH(I$10,BDD!$A$1:$P$1,0),FALSE)=0,"",VLOOKUP($E96,BDD!$A$1:$S$567,MATCH(I$10,BDD!$A$1:$P$1,0),FALSE)),"")</f>
        <v>N2</v>
      </c>
      <c r="J96" s="86"/>
      <c r="K96" s="67" t="str">
        <f>IFERROR(IF(VLOOKUP($E96,BDD!$A$1:$S$567,MATCH(K$10,BDD!$A$1:$P$1,0),FALSE)=0,"",VLOOKUP($E96,BDD!$A$1:$S$567,MATCH(K$10,BDD!$A$1:$P$1,0),FALSE)),"")</f>
        <v>• Notamment  à travers :
- des retours d’expérience (RETEX).
- les réseaux sociaux d’entreprise.
- les communautés thématiques internes et externes.
- la participation à des groupes professionnels et associatifs (CIGREF, ISACA, IFACI, etc.).
- l’usage de l'intelligence artificielle.</v>
      </c>
      <c r="L96" s="68"/>
      <c r="M96" s="87"/>
      <c r="N96" s="87"/>
      <c r="O96" s="68"/>
      <c r="P96" s="109"/>
    </row>
    <row r="97" spans="1:16" ht="130.05000000000001" customHeight="1" x14ac:dyDescent="0.3">
      <c r="A97" s="109"/>
      <c r="B97" s="68"/>
      <c r="C97" s="68" t="str">
        <f t="shared" si="3"/>
        <v>10</v>
      </c>
      <c r="D97" s="68">
        <f t="shared" si="6"/>
        <v>6</v>
      </c>
      <c r="E97" s="84" t="str">
        <f t="shared" si="5"/>
        <v>1064</v>
      </c>
      <c r="F97" s="64" t="s">
        <v>32</v>
      </c>
      <c r="G97" s="65" t="str">
        <f>IFERROR(IF(VLOOKUP($E97,BDD!$A$1:$S$567,MATCH(G$10,BDD!$A$1:$P$1,0),FALSE)=0,"",VLOOKUP($E97,BDD!$A$1:$S$567,MATCH(G$10,BDD!$A$1:$P$1,0),FALSE)),"")</f>
        <v>Une mesure de l'efficacité de l'exécution de la stratégie de développement des compétences internes est mise en œuvre et formalisée par la DSI.</v>
      </c>
      <c r="H97" s="88" t="str">
        <f>IF(VLOOKUP(E97,BDD!$A$1:$S$567,15,FALSE)=0,"Critère non évalué","")</f>
        <v>Critère non évalué</v>
      </c>
      <c r="I97" s="64" t="str">
        <f>IFERROR(IF(VLOOKUP($E97,BDD!$A$1:$S$567,MATCH(I$10,BDD!$A$1:$P$1,0),FALSE)=0,"",VLOOKUP($E97,BDD!$A$1:$S$567,MATCH(I$10,BDD!$A$1:$P$1,0),FALSE)),"")</f>
        <v>N3</v>
      </c>
      <c r="J97" s="91"/>
      <c r="K97" s="65" t="str">
        <f>IFERROR(IF(VLOOKUP($E97,BDD!$A$1:$S$567,MATCH(K$10,BDD!$A$1:$P$1,0),FALSE)=0,"",VLOOKUP($E97,BDD!$A$1:$S$567,MATCH(K$10,BDD!$A$1:$P$1,0),FALSE)),"")</f>
        <v>• Les compétences sont évaluées.
• La formation et les formateurs sont évalués par les participants
• Les résultats permettent de faire évoluer les contenus ou d’ajuster les formats (par exemple, distanciel/présentiel), pour améliorer notamment la rétention des talents.</v>
      </c>
      <c r="L97" s="68"/>
      <c r="M97" s="90"/>
      <c r="N97" s="90"/>
      <c r="O97" s="68"/>
      <c r="P97" s="109"/>
    </row>
    <row r="98" spans="1:16" ht="130.05000000000001" customHeight="1" x14ac:dyDescent="0.3">
      <c r="A98" s="109"/>
      <c r="B98" s="68"/>
      <c r="C98" s="68" t="str">
        <f t="shared" si="3"/>
        <v>10</v>
      </c>
      <c r="D98" s="68">
        <f t="shared" si="6"/>
        <v>6</v>
      </c>
      <c r="E98" s="84" t="str">
        <f t="shared" si="5"/>
        <v>1065</v>
      </c>
      <c r="F98" s="66" t="s">
        <v>33</v>
      </c>
      <c r="G98" s="67" t="str">
        <f>IFERROR(IF(VLOOKUP($E98,BDD!$A$1:$S$567,MATCH(G$10,BDD!$A$1:$P$1,0),FALSE)=0,"",VLOOKUP($E98,BDD!$A$1:$S$567,MATCH(G$10,BDD!$A$1:$P$1,0),FALSE)),"")</f>
        <v>Conformément à la politique RH de l'organisation, les managers font un point régulier avec leurs collaborateurs sur leur montée en compétences.</v>
      </c>
      <c r="H98" s="85" t="str">
        <f>IF(VLOOKUP(E98,BDD!$A$1:$S$567,15,FALSE)=0,"Critère non évalué","")</f>
        <v>Critère non évalué</v>
      </c>
      <c r="I98" s="66" t="str">
        <f>IFERROR(IF(VLOOKUP($E98,BDD!$A$1:$S$567,MATCH(I$10,BDD!$A$1:$P$1,0),FALSE)=0,"",VLOOKUP($E98,BDD!$A$1:$S$567,MATCH(I$10,BDD!$A$1:$P$1,0),FALSE)),"")</f>
        <v>N1</v>
      </c>
      <c r="J98" s="86"/>
      <c r="K98" s="67" t="str">
        <f>IFERROR(IF(VLOOKUP($E98,BDD!$A$1:$S$567,MATCH(K$10,BDD!$A$1:$P$1,0),FALSE)=0,"",VLOOKUP($E98,BDD!$A$1:$S$567,MATCH(K$10,BDD!$A$1:$P$1,0),FALSE)),"")</f>
        <v>• Ces entretiens sont organisés au fil de l'avancement des sujets traités par le collaborateur, et au minimum lors d'un entretien annuel.
• Des points d'étapes périodiques sont organisés.</v>
      </c>
      <c r="L98" s="68"/>
      <c r="M98" s="82"/>
      <c r="N98" s="82"/>
      <c r="O98" s="68"/>
      <c r="P98" s="109"/>
    </row>
    <row r="99" spans="1:16" ht="130.05000000000001" customHeight="1" x14ac:dyDescent="0.3">
      <c r="A99" s="109"/>
      <c r="B99" s="68"/>
      <c r="C99" s="68" t="str">
        <f t="shared" si="3"/>
        <v>10</v>
      </c>
      <c r="D99" s="68">
        <f t="shared" si="6"/>
        <v>6</v>
      </c>
      <c r="E99" s="84" t="str">
        <f t="shared" si="5"/>
        <v>1066</v>
      </c>
      <c r="F99" s="64" t="s">
        <v>34</v>
      </c>
      <c r="G99" s="96" t="str">
        <f>IFERROR(IF(VLOOKUP($E99,BDD!$A$1:$S$567,MATCH(G$10,BDD!$A$1:$P$1,0),FALSE)=0,"",VLOOKUP($E99,BDD!$A$1:$S$567,MATCH(G$10,BDD!$A$1:$P$1,0),FALSE)),"")</f>
        <v xml:space="preserve">Un bilan annuel des compétences numériques est réalisé par la DSI et la DRH et il est présenté aux instances ad hoc (direction générale, partenaires sociaux). </v>
      </c>
      <c r="H99" s="210" t="str">
        <f>IF(VLOOKUP(E99,BDD!$A$1:$S$567,15,FALSE)=0,"Critère non évalué","")</f>
        <v>Critère non évalué</v>
      </c>
      <c r="I99" s="64" t="str">
        <f>IFERROR(IF(VLOOKUP($E99,BDD!$A$1:$S$567,MATCH(I$10,BDD!$A$1:$P$1,0),FALSE)=0,"",VLOOKUP($E99,BDD!$A$1:$S$567,MATCH(I$10,BDD!$A$1:$P$1,0),FALSE)),"")</f>
        <v>N3</v>
      </c>
      <c r="J99" s="95"/>
      <c r="K99" s="96" t="str">
        <f>IFERROR(IF(VLOOKUP($E99,BDD!$A$1:$S$567,MATCH(K$10,BDD!$A$1:$P$1,0),FALSE)=0,"",VLOOKUP($E99,BDD!$A$1:$S$567,MATCH(K$10,BDD!$A$1:$P$1,0),FALSE)),"")</f>
        <v>Ce bilan porte notamment sur :
• L'évolution des besoins.
• L'évolution des compétences.
• L'évolution de l'adéquation entre compétences et besoins de la DSI.</v>
      </c>
      <c r="L99" s="68"/>
      <c r="M99" s="90"/>
      <c r="N99" s="90"/>
      <c r="O99" s="68"/>
      <c r="P99" s="109"/>
    </row>
    <row r="100" spans="1:16" ht="130.05000000000001" hidden="1" customHeight="1" x14ac:dyDescent="0.3">
      <c r="A100" s="109"/>
      <c r="B100" s="68"/>
      <c r="C100" s="68" t="str">
        <f t="shared" si="3"/>
        <v>10</v>
      </c>
      <c r="D100" s="68">
        <f t="shared" si="6"/>
        <v>6</v>
      </c>
      <c r="E100" s="84" t="str">
        <f t="shared" si="5"/>
        <v>1067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xml:space="preserve"> </v>
      </c>
      <c r="J100" s="86"/>
      <c r="K100" s="67" t="str">
        <f>IFERROR(IF(VLOOKUP($E100,BDD!$A$1:$S$567,MATCH(K$10,BDD!$A$1:$P$1,0),FALSE)=0,"",VLOOKUP($E100,BDD!$A$1:$S$567,MATCH(K$10,BDD!$A$1:$P$1,0),FALSE)),"")</f>
        <v/>
      </c>
      <c r="L100" s="68"/>
      <c r="M100" s="82"/>
      <c r="N100" s="82"/>
      <c r="O100" s="68"/>
      <c r="P100" s="109"/>
    </row>
    <row r="101" spans="1:16" x14ac:dyDescent="0.3">
      <c r="A101" s="109"/>
      <c r="B101" s="68"/>
      <c r="C101" s="68" t="str">
        <f t="shared" si="3"/>
        <v>10</v>
      </c>
      <c r="D101" s="68"/>
      <c r="E101" s="68"/>
      <c r="F101" s="68"/>
      <c r="G101" s="68"/>
      <c r="H101" s="68"/>
      <c r="I101" s="68"/>
      <c r="J101" s="68"/>
      <c r="K101" s="68"/>
      <c r="L101" s="68"/>
      <c r="M101" s="68"/>
      <c r="N101" s="68"/>
      <c r="O101" s="68"/>
      <c r="P101" s="109"/>
    </row>
    <row r="102" spans="1:16" hidden="1" x14ac:dyDescent="0.3">
      <c r="A102" s="109"/>
      <c r="B102" s="68"/>
      <c r="C102" s="68" t="str">
        <f t="shared" si="3"/>
        <v>10</v>
      </c>
      <c r="D102" s="68"/>
      <c r="E102" s="68"/>
      <c r="F102" s="68"/>
      <c r="G102" s="68"/>
      <c r="H102" s="68"/>
      <c r="I102" s="68"/>
      <c r="J102" s="68"/>
      <c r="K102" s="68"/>
      <c r="L102" s="68"/>
      <c r="M102" s="68"/>
      <c r="N102" s="68"/>
      <c r="O102" s="68"/>
      <c r="P102" s="109"/>
    </row>
    <row r="103" spans="1:16" ht="30" hidden="1" x14ac:dyDescent="0.5">
      <c r="A103" s="229"/>
      <c r="B103" s="74"/>
      <c r="C103" s="68" t="str">
        <f t="shared" si="3"/>
        <v>10</v>
      </c>
      <c r="D103" s="68">
        <f>IF(LEFT(F103,14)="Bonne pratique",D99+1,D99)</f>
        <v>7</v>
      </c>
      <c r="E103" s="84" t="str">
        <f t="shared" ref="E103:E116" si="7">C103&amp;D103&amp;RIGHT(F103,1)</f>
        <v>1077</v>
      </c>
      <c r="F103" s="208" t="s">
        <v>557</v>
      </c>
      <c r="G103" s="75"/>
      <c r="H103" s="205"/>
      <c r="I103" s="73"/>
      <c r="J103" s="73" t="e">
        <f>VLOOKUP(E110,BDD!$A$2:$N$567,6,FALSE)</f>
        <v>#N/A</v>
      </c>
      <c r="K103" s="72"/>
      <c r="L103" s="75"/>
      <c r="M103" s="75"/>
      <c r="N103" s="75"/>
      <c r="O103" s="74"/>
      <c r="P103" s="229"/>
    </row>
    <row r="104" spans="1:16" hidden="1" x14ac:dyDescent="0.3">
      <c r="A104" s="109"/>
      <c r="B104" s="68"/>
      <c r="C104" s="68" t="str">
        <f t="shared" si="3"/>
        <v>10</v>
      </c>
      <c r="D104" s="68">
        <f t="shared" ref="D104:D116" si="8">IF(LEFT(F104,14)="Bonne pratique",D103+1,D103)</f>
        <v>7</v>
      </c>
      <c r="E104" s="84" t="str">
        <f t="shared" si="7"/>
        <v>107</v>
      </c>
      <c r="F104" s="68"/>
      <c r="G104" s="68"/>
      <c r="H104" s="68"/>
      <c r="I104" s="68"/>
      <c r="J104" s="68"/>
      <c r="K104" s="68"/>
      <c r="L104" s="68"/>
      <c r="M104" s="68"/>
      <c r="N104" s="68"/>
      <c r="O104" s="68"/>
      <c r="P104" s="109"/>
    </row>
    <row r="105" spans="1:16" ht="18" hidden="1" x14ac:dyDescent="0.35">
      <c r="A105" s="230"/>
      <c r="B105" s="76"/>
      <c r="C105" s="68" t="str">
        <f t="shared" si="3"/>
        <v>10</v>
      </c>
      <c r="D105" s="68">
        <f t="shared" si="8"/>
        <v>7</v>
      </c>
      <c r="E105" s="84" t="str">
        <f t="shared" si="7"/>
        <v>107</v>
      </c>
      <c r="F105" s="76"/>
      <c r="G105" s="76"/>
      <c r="H105" s="76"/>
      <c r="I105" s="77"/>
      <c r="J105" s="207" t="e">
        <f>IFERROR(_xlfn.TEXTBEFORE(VLOOKUP(E110,BDD!$A$2:$N$567,7,FALSE)," ",30),VLOOKUP(E110,BDD!$A$2:$N$567,7,FALSE))</f>
        <v>#N/A</v>
      </c>
      <c r="K105" s="77"/>
      <c r="L105" s="76"/>
      <c r="M105" s="76"/>
      <c r="N105" s="76"/>
      <c r="O105" s="76"/>
      <c r="P105" s="230"/>
    </row>
    <row r="106" spans="1:16" ht="18" hidden="1" x14ac:dyDescent="0.35">
      <c r="A106" s="109"/>
      <c r="B106" s="68"/>
      <c r="C106" s="68" t="str">
        <f t="shared" si="3"/>
        <v>10</v>
      </c>
      <c r="D106" s="68">
        <f t="shared" si="8"/>
        <v>7</v>
      </c>
      <c r="E106" s="84" t="str">
        <f t="shared" si="7"/>
        <v>107</v>
      </c>
      <c r="F106" s="68"/>
      <c r="G106" s="68"/>
      <c r="H106" s="68"/>
      <c r="I106" s="68"/>
      <c r="J106" s="207" t="str">
        <f>IFERROR(_xlfn.TEXTAFTER(VLOOKUP(E110,BDD!$A$2:$N$567,7,FALSE)," ",30),"")</f>
        <v/>
      </c>
      <c r="K106" s="68"/>
      <c r="L106" s="68"/>
      <c r="M106" s="68"/>
      <c r="N106" s="68"/>
      <c r="O106" s="68"/>
      <c r="P106" s="109"/>
    </row>
    <row r="107" spans="1:16" hidden="1" x14ac:dyDescent="0.3">
      <c r="A107" s="109"/>
      <c r="B107" s="68"/>
      <c r="C107" s="68" t="str">
        <f t="shared" si="3"/>
        <v>10</v>
      </c>
      <c r="D107" s="68">
        <f t="shared" si="8"/>
        <v>7</v>
      </c>
      <c r="E107" s="84" t="str">
        <f t="shared" si="7"/>
        <v>107</v>
      </c>
      <c r="F107" s="68"/>
      <c r="G107" s="68"/>
      <c r="H107" s="68"/>
      <c r="I107" s="68"/>
      <c r="J107" s="78"/>
      <c r="K107" s="68"/>
      <c r="L107" s="68"/>
      <c r="M107" s="619" t="s">
        <v>92</v>
      </c>
      <c r="N107" s="619"/>
      <c r="O107" s="68"/>
      <c r="P107" s="109"/>
    </row>
    <row r="108" spans="1:16" ht="33" hidden="1" x14ac:dyDescent="0.3">
      <c r="A108" s="109"/>
      <c r="B108" s="68"/>
      <c r="C108" s="68" t="str">
        <f t="shared" si="3"/>
        <v>10</v>
      </c>
      <c r="D108" s="68">
        <f t="shared" si="8"/>
        <v>7</v>
      </c>
      <c r="E108" s="84" t="str">
        <f t="shared" si="7"/>
        <v>107</v>
      </c>
      <c r="F108" s="93"/>
      <c r="G108" s="80" t="s">
        <v>561</v>
      </c>
      <c r="H108" s="80" t="s">
        <v>82</v>
      </c>
      <c r="I108" s="80" t="s">
        <v>83</v>
      </c>
      <c r="J108" s="80" t="s">
        <v>84</v>
      </c>
      <c r="K108" s="80" t="s">
        <v>85</v>
      </c>
      <c r="L108" s="78"/>
      <c r="M108" s="81" t="s">
        <v>86</v>
      </c>
      <c r="N108" s="82" t="s">
        <v>87</v>
      </c>
      <c r="O108" s="68"/>
      <c r="P108" s="109"/>
    </row>
    <row r="109" spans="1:16" hidden="1" x14ac:dyDescent="0.3">
      <c r="A109" s="109"/>
      <c r="B109" s="68"/>
      <c r="C109" s="68" t="str">
        <f t="shared" si="3"/>
        <v>10</v>
      </c>
      <c r="D109" s="68">
        <f t="shared" si="8"/>
        <v>7</v>
      </c>
      <c r="E109" s="84" t="str">
        <f t="shared" si="7"/>
        <v>107</v>
      </c>
      <c r="F109" s="68"/>
      <c r="G109" s="83"/>
      <c r="H109" s="83"/>
      <c r="I109" s="83"/>
      <c r="J109" s="68"/>
      <c r="K109" s="83"/>
      <c r="L109" s="68"/>
      <c r="M109" s="68"/>
      <c r="N109" s="68"/>
      <c r="O109" s="68"/>
      <c r="P109" s="109"/>
    </row>
    <row r="110" spans="1:16" ht="130.05000000000001" hidden="1" customHeight="1" x14ac:dyDescent="0.3">
      <c r="A110" s="109"/>
      <c r="B110" s="68"/>
      <c r="C110" s="68" t="str">
        <f t="shared" si="3"/>
        <v>10</v>
      </c>
      <c r="D110" s="68">
        <f t="shared" si="8"/>
        <v>7</v>
      </c>
      <c r="E110" s="84" t="str">
        <f t="shared" si="7"/>
        <v>1071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109"/>
    </row>
    <row r="111" spans="1:16" ht="130.05000000000001" hidden="1" customHeight="1" x14ac:dyDescent="0.3">
      <c r="A111" s="109"/>
      <c r="B111" s="68"/>
      <c r="C111" s="68" t="str">
        <f t="shared" si="3"/>
        <v>10</v>
      </c>
      <c r="D111" s="68">
        <f t="shared" si="8"/>
        <v>7</v>
      </c>
      <c r="E111" s="84" t="str">
        <f t="shared" si="7"/>
        <v>1072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109"/>
    </row>
    <row r="112" spans="1:16" ht="130.05000000000001" hidden="1" customHeight="1" x14ac:dyDescent="0.3">
      <c r="A112" s="109"/>
      <c r="B112" s="68"/>
      <c r="C112" s="68" t="str">
        <f t="shared" si="3"/>
        <v>10</v>
      </c>
      <c r="D112" s="68">
        <f t="shared" si="8"/>
        <v>7</v>
      </c>
      <c r="E112" s="84" t="str">
        <f t="shared" si="7"/>
        <v>1073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109"/>
    </row>
    <row r="113" spans="1:16" ht="130.05000000000001" hidden="1" customHeight="1" x14ac:dyDescent="0.3">
      <c r="A113" s="109"/>
      <c r="B113" s="68"/>
      <c r="C113" s="68" t="str">
        <f t="shared" si="3"/>
        <v>10</v>
      </c>
      <c r="D113" s="68">
        <f t="shared" si="8"/>
        <v>7</v>
      </c>
      <c r="E113" s="84" t="str">
        <f t="shared" si="7"/>
        <v>1074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109"/>
    </row>
    <row r="114" spans="1:16" ht="130.05000000000001" hidden="1" customHeight="1" x14ac:dyDescent="0.3">
      <c r="A114" s="109"/>
      <c r="B114" s="68"/>
      <c r="C114" s="68" t="str">
        <f t="shared" si="3"/>
        <v>10</v>
      </c>
      <c r="D114" s="68">
        <f t="shared" si="8"/>
        <v>7</v>
      </c>
      <c r="E114" s="84" t="str">
        <f t="shared" si="7"/>
        <v>1075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109"/>
    </row>
    <row r="115" spans="1:16" ht="130.05000000000001" hidden="1" customHeight="1" x14ac:dyDescent="0.3">
      <c r="A115" s="109"/>
      <c r="B115" s="68"/>
      <c r="C115" s="68" t="str">
        <f t="shared" si="3"/>
        <v>10</v>
      </c>
      <c r="D115" s="68">
        <f t="shared" si="8"/>
        <v>7</v>
      </c>
      <c r="E115" s="84" t="str">
        <f t="shared" si="7"/>
        <v>1076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109"/>
    </row>
    <row r="116" spans="1:16" ht="130.05000000000001" hidden="1" customHeight="1" x14ac:dyDescent="0.3">
      <c r="A116" s="109"/>
      <c r="B116" s="68"/>
      <c r="C116" s="68" t="str">
        <f t="shared" ref="C116" si="9">RIGHT($B$1,1)</f>
        <v>0</v>
      </c>
      <c r="D116" s="68">
        <f t="shared" si="8"/>
        <v>7</v>
      </c>
      <c r="E116" s="84" t="str">
        <f t="shared" si="7"/>
        <v>077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109"/>
    </row>
    <row r="117" spans="1:16" x14ac:dyDescent="0.3">
      <c r="A117" s="109"/>
      <c r="B117" s="68"/>
      <c r="C117" s="68"/>
      <c r="D117" s="68"/>
      <c r="E117" s="68"/>
      <c r="F117" s="68"/>
      <c r="G117" s="68"/>
      <c r="H117" s="68"/>
      <c r="I117" s="68"/>
      <c r="J117" s="68"/>
      <c r="K117" s="68"/>
      <c r="L117" s="68"/>
      <c r="M117" s="68"/>
      <c r="N117" s="68"/>
      <c r="O117" s="68"/>
      <c r="P117" s="109"/>
    </row>
    <row r="118" spans="1:16" x14ac:dyDescent="0.3">
      <c r="A118" s="109" t="s">
        <v>164</v>
      </c>
      <c r="B118" s="109"/>
      <c r="C118" s="109"/>
      <c r="D118" s="109"/>
      <c r="E118" s="109"/>
      <c r="F118" s="109"/>
      <c r="G118" s="109"/>
      <c r="H118" s="109"/>
      <c r="I118" s="109"/>
      <c r="J118" s="109"/>
      <c r="K118" s="109"/>
      <c r="L118" s="109"/>
      <c r="M118" s="109"/>
      <c r="N118" s="109"/>
      <c r="O118" s="109"/>
      <c r="P118" s="109" t="s">
        <v>164</v>
      </c>
    </row>
  </sheetData>
  <sheetProtection algorithmName="SHA-512" hashValue="V74Mtuq+Gb4TiPN7BzgmatybQ8H260YGj9b8/GSQSDi9o22GbFC8Va4X+ifvI3JVwlVBu/OOh1X0E5HGkWyOcg==" saltValue="kra8TyzfsuG98ikFNocHNQ=="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8FB3191E-3785-4AB9-AB6E-F12C3079574C}"/>
    <hyperlink ref="F29" location="V2Quest!A1" display="(Cf. Vecteur 2 - Innovation)" xr:uid="{C88FE5DC-4AF8-48E8-9984-CF64C8E8E902}"/>
    <hyperlink ref="F45" location="V2Quest!A1" display="(Cf. Vecteur 2 - Innovation)" xr:uid="{C1BC1E12-7FC9-4224-AAD3-FC967E576BC8}"/>
    <hyperlink ref="F61" location="V2Quest!A1" display="(Cf. Vecteur 2 - Innovation)" xr:uid="{ED8C3439-FD1D-47F1-802F-A0DA1C8200BC}"/>
    <hyperlink ref="F79" location="V2Quest!A1" display="(Cf. Vecteur 2 - Innovation)" xr:uid="{008224F1-D308-4D1D-9755-D329E336ECAC}"/>
    <hyperlink ref="F95" location="V2Quest!A1" display="(Cf. Vecteur 2 - Innovation)" xr:uid="{0CA4CB12-5135-4D8B-8799-00929B96E137}"/>
    <hyperlink ref="F111" location="V2Quest!A1" display="(Cf. Vecteur 2 - Innovation)" xr:uid="{E3D5B0D5-9E32-4D58-9060-28B722F34927}"/>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8721"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158722"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158723" r:id="rId5" name="Option Button 3">
              <controlPr defaultSize="0" autoFill="0" autoLine="0" autoPict="0">
                <anchor moveWithCells="1">
                  <from>
                    <xdr:col>7</xdr:col>
                    <xdr:colOff>114300</xdr:colOff>
                    <xdr:row>12</xdr:row>
                    <xdr:rowOff>640080</xdr:rowOff>
                  </from>
                  <to>
                    <xdr:col>7</xdr:col>
                    <xdr:colOff>1950720</xdr:colOff>
                    <xdr:row>12</xdr:row>
                    <xdr:rowOff>830580</xdr:rowOff>
                  </to>
                </anchor>
              </controlPr>
            </control>
          </mc:Choice>
        </mc:AlternateContent>
        <mc:AlternateContent xmlns:mc="http://schemas.openxmlformats.org/markup-compatibility/2006">
          <mc:Choice Requires="x14">
            <control shapeId="158724"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158725"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8726" r:id="rId8" name="Group Box 6">
              <controlPr defaultSize="0" autoFill="0" autoPict="0" altText="">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8727" r:id="rId9"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8728" r:id="rId10" name="Option Button 8">
              <controlPr defaultSize="0" autoFill="0" autoLine="0" autoPict="0" altText="Case d'option 47">
                <anchor moveWithCells="1">
                  <from>
                    <xdr:col>7</xdr:col>
                    <xdr:colOff>106680</xdr:colOff>
                    <xdr:row>11</xdr:row>
                    <xdr:rowOff>68580</xdr:rowOff>
                  </from>
                  <to>
                    <xdr:col>7</xdr:col>
                    <xdr:colOff>1501140</xdr:colOff>
                    <xdr:row>11</xdr:row>
                    <xdr:rowOff>266700</xdr:rowOff>
                  </to>
                </anchor>
              </controlPr>
            </control>
          </mc:Choice>
        </mc:AlternateContent>
        <mc:AlternateContent xmlns:mc="http://schemas.openxmlformats.org/markup-compatibility/2006">
          <mc:Choice Requires="x14">
            <control shapeId="158729" r:id="rId11" name="Option Button 9">
              <controlPr defaultSize="0" autoFill="0" autoLine="0" autoPict="0">
                <anchor moveWithCells="1">
                  <from>
                    <xdr:col>7</xdr:col>
                    <xdr:colOff>106680</xdr:colOff>
                    <xdr:row>11</xdr:row>
                    <xdr:rowOff>320040</xdr:rowOff>
                  </from>
                  <to>
                    <xdr:col>7</xdr:col>
                    <xdr:colOff>1958340</xdr:colOff>
                    <xdr:row>11</xdr:row>
                    <xdr:rowOff>525780</xdr:rowOff>
                  </to>
                </anchor>
              </controlPr>
            </control>
          </mc:Choice>
        </mc:AlternateContent>
        <mc:AlternateContent xmlns:mc="http://schemas.openxmlformats.org/markup-compatibility/2006">
          <mc:Choice Requires="x14">
            <control shapeId="158730" r:id="rId12" name="Option Button 10">
              <controlPr defaultSize="0" autoFill="0" autoLine="0" autoPict="0">
                <anchor moveWithCells="1">
                  <from>
                    <xdr:col>7</xdr:col>
                    <xdr:colOff>106680</xdr:colOff>
                    <xdr:row>11</xdr:row>
                    <xdr:rowOff>601980</xdr:rowOff>
                  </from>
                  <to>
                    <xdr:col>8</xdr:col>
                    <xdr:colOff>0</xdr:colOff>
                    <xdr:row>11</xdr:row>
                    <xdr:rowOff>784860</xdr:rowOff>
                  </to>
                </anchor>
              </controlPr>
            </control>
          </mc:Choice>
        </mc:AlternateContent>
        <mc:AlternateContent xmlns:mc="http://schemas.openxmlformats.org/markup-compatibility/2006">
          <mc:Choice Requires="x14">
            <control shapeId="158731" r:id="rId13" name="Option Button 11">
              <controlPr defaultSize="0" autoFill="0" autoLine="0" autoPict="0">
                <anchor moveWithCells="1">
                  <from>
                    <xdr:col>7</xdr:col>
                    <xdr:colOff>106680</xdr:colOff>
                    <xdr:row>11</xdr:row>
                    <xdr:rowOff>861060</xdr:rowOff>
                  </from>
                  <to>
                    <xdr:col>7</xdr:col>
                    <xdr:colOff>937260</xdr:colOff>
                    <xdr:row>11</xdr:row>
                    <xdr:rowOff>1051560</xdr:rowOff>
                  </to>
                </anchor>
              </controlPr>
            </control>
          </mc:Choice>
        </mc:AlternateContent>
        <mc:AlternateContent xmlns:mc="http://schemas.openxmlformats.org/markup-compatibility/2006">
          <mc:Choice Requires="x14">
            <control shapeId="158737" r:id="rId14" name="Option Button 17">
              <controlPr defaultSize="0" autoFill="0" autoLine="0" autoPict="0" altText="Case d'option 47">
                <anchor moveWithCells="1">
                  <from>
                    <xdr:col>7</xdr:col>
                    <xdr:colOff>106680</xdr:colOff>
                    <xdr:row>16</xdr:row>
                    <xdr:rowOff>38100</xdr:rowOff>
                  </from>
                  <to>
                    <xdr:col>7</xdr:col>
                    <xdr:colOff>1501140</xdr:colOff>
                    <xdr:row>16</xdr:row>
                    <xdr:rowOff>228600</xdr:rowOff>
                  </to>
                </anchor>
              </controlPr>
            </control>
          </mc:Choice>
        </mc:AlternateContent>
        <mc:AlternateContent xmlns:mc="http://schemas.openxmlformats.org/markup-compatibility/2006">
          <mc:Choice Requires="x14">
            <control shapeId="158738" r:id="rId15" name="Option Button 18">
              <controlPr defaultSize="0" autoFill="0" autoLine="0" autoPict="0">
                <anchor moveWithCells="1">
                  <from>
                    <xdr:col>7</xdr:col>
                    <xdr:colOff>106680</xdr:colOff>
                    <xdr:row>16</xdr:row>
                    <xdr:rowOff>281940</xdr:rowOff>
                  </from>
                  <to>
                    <xdr:col>8</xdr:col>
                    <xdr:colOff>0</xdr:colOff>
                    <xdr:row>16</xdr:row>
                    <xdr:rowOff>480060</xdr:rowOff>
                  </to>
                </anchor>
              </controlPr>
            </control>
          </mc:Choice>
        </mc:AlternateContent>
        <mc:AlternateContent xmlns:mc="http://schemas.openxmlformats.org/markup-compatibility/2006">
          <mc:Choice Requires="x14">
            <control shapeId="158739" r:id="rId16" name="Option Button 19">
              <controlPr defaultSize="0" autoFill="0" autoLine="0" autoPict="0">
                <anchor moveWithCells="1">
                  <from>
                    <xdr:col>7</xdr:col>
                    <xdr:colOff>106680</xdr:colOff>
                    <xdr:row>16</xdr:row>
                    <xdr:rowOff>556260</xdr:rowOff>
                  </from>
                  <to>
                    <xdr:col>8</xdr:col>
                    <xdr:colOff>0</xdr:colOff>
                    <xdr:row>16</xdr:row>
                    <xdr:rowOff>739140</xdr:rowOff>
                  </to>
                </anchor>
              </controlPr>
            </control>
          </mc:Choice>
        </mc:AlternateContent>
        <mc:AlternateContent xmlns:mc="http://schemas.openxmlformats.org/markup-compatibility/2006">
          <mc:Choice Requires="x14">
            <control shapeId="158740" r:id="rId17" name="Option Button 20">
              <controlPr defaultSize="0" autoFill="0" autoLine="0" autoPict="0">
                <anchor moveWithCells="1">
                  <from>
                    <xdr:col>7</xdr:col>
                    <xdr:colOff>106680</xdr:colOff>
                    <xdr:row>16</xdr:row>
                    <xdr:rowOff>807720</xdr:rowOff>
                  </from>
                  <to>
                    <xdr:col>7</xdr:col>
                    <xdr:colOff>937260</xdr:colOff>
                    <xdr:row>16</xdr:row>
                    <xdr:rowOff>990600</xdr:rowOff>
                  </to>
                </anchor>
              </controlPr>
            </control>
          </mc:Choice>
        </mc:AlternateContent>
        <mc:AlternateContent xmlns:mc="http://schemas.openxmlformats.org/markup-compatibility/2006">
          <mc:Choice Requires="x14">
            <control shapeId="158741" r:id="rId18" name="Group Box 21">
              <controlPr defaultSize="0" autoFill="0" autoPict="0">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8742" r:id="rId19" name="Option Button 22">
              <controlPr defaultSize="0" autoFill="0" autoLine="0" autoPict="0">
                <anchor moveWithCells="1">
                  <from>
                    <xdr:col>7</xdr:col>
                    <xdr:colOff>114300</xdr:colOff>
                    <xdr:row>15</xdr:row>
                    <xdr:rowOff>144780</xdr:rowOff>
                  </from>
                  <to>
                    <xdr:col>7</xdr:col>
                    <xdr:colOff>1950720</xdr:colOff>
                    <xdr:row>15</xdr:row>
                    <xdr:rowOff>312420</xdr:rowOff>
                  </to>
                </anchor>
              </controlPr>
            </control>
          </mc:Choice>
        </mc:AlternateContent>
        <mc:AlternateContent xmlns:mc="http://schemas.openxmlformats.org/markup-compatibility/2006">
          <mc:Choice Requires="x14">
            <control shapeId="158743" r:id="rId20" name="Option Button 23">
              <controlPr defaultSize="0" autoFill="0" autoLine="0" autoPict="0">
                <anchor moveWithCells="1">
                  <from>
                    <xdr:col>7</xdr:col>
                    <xdr:colOff>114300</xdr:colOff>
                    <xdr:row>15</xdr:row>
                    <xdr:rowOff>388620</xdr:rowOff>
                  </from>
                  <to>
                    <xdr:col>7</xdr:col>
                    <xdr:colOff>1950720</xdr:colOff>
                    <xdr:row>15</xdr:row>
                    <xdr:rowOff>579120</xdr:rowOff>
                  </to>
                </anchor>
              </controlPr>
            </control>
          </mc:Choice>
        </mc:AlternateContent>
        <mc:AlternateContent xmlns:mc="http://schemas.openxmlformats.org/markup-compatibility/2006">
          <mc:Choice Requires="x14">
            <control shapeId="158744" r:id="rId21" name="Option Button 24">
              <controlPr defaultSize="0" autoFill="0" autoLine="0" autoPict="0">
                <anchor moveWithCells="1">
                  <from>
                    <xdr:col>7</xdr:col>
                    <xdr:colOff>114300</xdr:colOff>
                    <xdr:row>15</xdr:row>
                    <xdr:rowOff>632460</xdr:rowOff>
                  </from>
                  <to>
                    <xdr:col>7</xdr:col>
                    <xdr:colOff>1950720</xdr:colOff>
                    <xdr:row>15</xdr:row>
                    <xdr:rowOff>815340</xdr:rowOff>
                  </to>
                </anchor>
              </controlPr>
            </control>
          </mc:Choice>
        </mc:AlternateContent>
        <mc:AlternateContent xmlns:mc="http://schemas.openxmlformats.org/markup-compatibility/2006">
          <mc:Choice Requires="x14">
            <control shapeId="158745" r:id="rId22" name="Option Button 25">
              <controlPr defaultSize="0" autoFill="0" autoLine="0" autoPict="0">
                <anchor moveWithCells="1">
                  <from>
                    <xdr:col>7</xdr:col>
                    <xdr:colOff>114300</xdr:colOff>
                    <xdr:row>15</xdr:row>
                    <xdr:rowOff>906780</xdr:rowOff>
                  </from>
                  <to>
                    <xdr:col>7</xdr:col>
                    <xdr:colOff>1950720</xdr:colOff>
                    <xdr:row>15</xdr:row>
                    <xdr:rowOff>1097280</xdr:rowOff>
                  </to>
                </anchor>
              </controlPr>
            </control>
          </mc:Choice>
        </mc:AlternateContent>
        <mc:AlternateContent xmlns:mc="http://schemas.openxmlformats.org/markup-compatibility/2006">
          <mc:Choice Requires="x14">
            <control shapeId="158746" r:id="rId23"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58747" r:id="rId24" name="Option Button 27">
              <controlPr defaultSize="0" autoFill="0" autoLine="0" autoPict="0" altText="Case d'option 47">
                <anchor moveWithCells="1">
                  <from>
                    <xdr:col>7</xdr:col>
                    <xdr:colOff>114300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158748" r:id="rId25" name="Option Button 28">
              <controlPr defaultSize="0" autoFill="0" autoLine="0" autoPict="0">
                <anchor moveWithCells="1">
                  <from>
                    <xdr:col>7</xdr:col>
                    <xdr:colOff>114300</xdr:colOff>
                    <xdr:row>14</xdr:row>
                    <xdr:rowOff>304800</xdr:rowOff>
                  </from>
                  <to>
                    <xdr:col>7</xdr:col>
                    <xdr:colOff>1958340</xdr:colOff>
                    <xdr:row>14</xdr:row>
                    <xdr:rowOff>502920</xdr:rowOff>
                  </to>
                </anchor>
              </controlPr>
            </control>
          </mc:Choice>
        </mc:AlternateContent>
        <mc:AlternateContent xmlns:mc="http://schemas.openxmlformats.org/markup-compatibility/2006">
          <mc:Choice Requires="x14">
            <control shapeId="158749" r:id="rId26" name="Option Button 29">
              <controlPr defaultSize="0" autoFill="0" autoLine="0" autoPict="0">
                <anchor moveWithCells="1">
                  <from>
                    <xdr:col>7</xdr:col>
                    <xdr:colOff>114300</xdr:colOff>
                    <xdr:row>14</xdr:row>
                    <xdr:rowOff>579120</xdr:rowOff>
                  </from>
                  <to>
                    <xdr:col>7</xdr:col>
                    <xdr:colOff>1965960</xdr:colOff>
                    <xdr:row>14</xdr:row>
                    <xdr:rowOff>754380</xdr:rowOff>
                  </to>
                </anchor>
              </controlPr>
            </control>
          </mc:Choice>
        </mc:AlternateContent>
        <mc:AlternateContent xmlns:mc="http://schemas.openxmlformats.org/markup-compatibility/2006">
          <mc:Choice Requires="x14">
            <control shapeId="158750" r:id="rId27" name="Option Button 30">
              <controlPr defaultSize="0" autoFill="0" autoLine="0" autoPict="0">
                <anchor moveWithCells="1">
                  <from>
                    <xdr:col>7</xdr:col>
                    <xdr:colOff>114300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158751" r:id="rId28"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8752" r:id="rId29"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158753" r:id="rId30" name="Option Button 33">
              <controlPr defaultSize="0" autoFill="0" autoLine="0" autoPict="0">
                <anchor moveWithCells="1">
                  <from>
                    <xdr:col>7</xdr:col>
                    <xdr:colOff>106680</xdr:colOff>
                    <xdr:row>13</xdr:row>
                    <xdr:rowOff>304800</xdr:rowOff>
                  </from>
                  <to>
                    <xdr:col>7</xdr:col>
                    <xdr:colOff>1950720</xdr:colOff>
                    <xdr:row>13</xdr:row>
                    <xdr:rowOff>502920</xdr:rowOff>
                  </to>
                </anchor>
              </controlPr>
            </control>
          </mc:Choice>
        </mc:AlternateContent>
        <mc:AlternateContent xmlns:mc="http://schemas.openxmlformats.org/markup-compatibility/2006">
          <mc:Choice Requires="x14">
            <control shapeId="158754" r:id="rId31" name="Option Button 34">
              <controlPr defaultSize="0" autoFill="0" autoLine="0" autoPict="0">
                <anchor moveWithCells="1">
                  <from>
                    <xdr:col>7</xdr:col>
                    <xdr:colOff>106680</xdr:colOff>
                    <xdr:row>13</xdr:row>
                    <xdr:rowOff>579120</xdr:rowOff>
                  </from>
                  <to>
                    <xdr:col>7</xdr:col>
                    <xdr:colOff>1958340</xdr:colOff>
                    <xdr:row>13</xdr:row>
                    <xdr:rowOff>754380</xdr:rowOff>
                  </to>
                </anchor>
              </controlPr>
            </control>
          </mc:Choice>
        </mc:AlternateContent>
        <mc:AlternateContent xmlns:mc="http://schemas.openxmlformats.org/markup-compatibility/2006">
          <mc:Choice Requires="x14">
            <control shapeId="158755" r:id="rId32"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58756" r:id="rId33"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8757" r:id="rId34"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58758" r:id="rId35"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58759" r:id="rId36"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58760" r:id="rId37"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58761" r:id="rId38"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8783" r:id="rId39"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58784" r:id="rId40"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58785" r:id="rId41"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58786" r:id="rId42"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58787" r:id="rId43"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8788" r:id="rId44"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158789" r:id="rId45"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58790" r:id="rId46"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158791" r:id="rId47"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58792" r:id="rId48"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58793" r:id="rId49" name="Option Button 73">
              <controlPr defaultSize="0" autoFill="0" autoLine="0" autoPict="0">
                <anchor moveWithCells="1">
                  <from>
                    <xdr:col>7</xdr:col>
                    <xdr:colOff>114300</xdr:colOff>
                    <xdr:row>44</xdr:row>
                    <xdr:rowOff>167640</xdr:rowOff>
                  </from>
                  <to>
                    <xdr:col>7</xdr:col>
                    <xdr:colOff>1950720</xdr:colOff>
                    <xdr:row>44</xdr:row>
                    <xdr:rowOff>373380</xdr:rowOff>
                  </to>
                </anchor>
              </controlPr>
            </control>
          </mc:Choice>
        </mc:AlternateContent>
        <mc:AlternateContent xmlns:mc="http://schemas.openxmlformats.org/markup-compatibility/2006">
          <mc:Choice Requires="x14">
            <control shapeId="158794" r:id="rId50" name="Option Button 74">
              <controlPr defaultSize="0" autoFill="0" autoLine="0" autoPict="0">
                <anchor moveWithCells="1">
                  <from>
                    <xdr:col>7</xdr:col>
                    <xdr:colOff>114300</xdr:colOff>
                    <xdr:row>44</xdr:row>
                    <xdr:rowOff>457200</xdr:rowOff>
                  </from>
                  <to>
                    <xdr:col>7</xdr:col>
                    <xdr:colOff>1950720</xdr:colOff>
                    <xdr:row>44</xdr:row>
                    <xdr:rowOff>678180</xdr:rowOff>
                  </to>
                </anchor>
              </controlPr>
            </control>
          </mc:Choice>
        </mc:AlternateContent>
        <mc:AlternateContent xmlns:mc="http://schemas.openxmlformats.org/markup-compatibility/2006">
          <mc:Choice Requires="x14">
            <control shapeId="158795" r:id="rId51" name="Option Button 75">
              <controlPr defaultSize="0" autoFill="0" autoLine="0" autoPict="0">
                <anchor moveWithCells="1">
                  <from>
                    <xdr:col>7</xdr:col>
                    <xdr:colOff>114300</xdr:colOff>
                    <xdr:row>44</xdr:row>
                    <xdr:rowOff>746760</xdr:rowOff>
                  </from>
                  <to>
                    <xdr:col>7</xdr:col>
                    <xdr:colOff>1950720</xdr:colOff>
                    <xdr:row>44</xdr:row>
                    <xdr:rowOff>967740</xdr:rowOff>
                  </to>
                </anchor>
              </controlPr>
            </control>
          </mc:Choice>
        </mc:AlternateContent>
        <mc:AlternateContent xmlns:mc="http://schemas.openxmlformats.org/markup-compatibility/2006">
          <mc:Choice Requires="x14">
            <control shapeId="158796" r:id="rId52" name="Option Button 76">
              <controlPr defaultSize="0" autoFill="0" autoLine="0" autoPict="0">
                <anchor moveWithCells="1">
                  <from>
                    <xdr:col>7</xdr:col>
                    <xdr:colOff>114300</xdr:colOff>
                    <xdr:row>44</xdr:row>
                    <xdr:rowOff>1074420</xdr:rowOff>
                  </from>
                  <to>
                    <xdr:col>7</xdr:col>
                    <xdr:colOff>1950720</xdr:colOff>
                    <xdr:row>44</xdr:row>
                    <xdr:rowOff>1295400</xdr:rowOff>
                  </to>
                </anchor>
              </controlPr>
            </control>
          </mc:Choice>
        </mc:AlternateContent>
        <mc:AlternateContent xmlns:mc="http://schemas.openxmlformats.org/markup-compatibility/2006">
          <mc:Choice Requires="x14">
            <control shapeId="158797" r:id="rId53"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58803" r:id="rId54"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158804" r:id="rId55"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58805" r:id="rId56"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158806" r:id="rId57"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58807" r:id="rId58"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8808" r:id="rId59"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58809" r:id="rId60"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58810" r:id="rId61"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58811" r:id="rId62"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58812" r:id="rId63"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58813" r:id="rId64"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58814" r:id="rId65"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58815" r:id="rId66"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58816" r:id="rId67"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58817" r:id="rId68"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58818" r:id="rId69" name="Group Box 98">
              <controlPr defaultSize="0" autoFill="0" autoPict="0" altText="">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158819" r:id="rId70" name="Option Button 99">
              <controlPr defaultSize="0" autoFill="0" autoLine="0" autoPict="0">
                <anchor moveWithCells="1">
                  <from>
                    <xdr:col>7</xdr:col>
                    <xdr:colOff>114300</xdr:colOff>
                    <xdr:row>63</xdr:row>
                    <xdr:rowOff>144780</xdr:rowOff>
                  </from>
                  <to>
                    <xdr:col>7</xdr:col>
                    <xdr:colOff>1950720</xdr:colOff>
                    <xdr:row>63</xdr:row>
                    <xdr:rowOff>320040</xdr:rowOff>
                  </to>
                </anchor>
              </controlPr>
            </control>
          </mc:Choice>
        </mc:AlternateContent>
        <mc:AlternateContent xmlns:mc="http://schemas.openxmlformats.org/markup-compatibility/2006">
          <mc:Choice Requires="x14">
            <control shapeId="158820" r:id="rId71" name="Option Button 100">
              <controlPr defaultSize="0" autoFill="0" autoLine="0" autoPict="0">
                <anchor moveWithCells="1">
                  <from>
                    <xdr:col>7</xdr:col>
                    <xdr:colOff>114300</xdr:colOff>
                    <xdr:row>63</xdr:row>
                    <xdr:rowOff>396240</xdr:rowOff>
                  </from>
                  <to>
                    <xdr:col>7</xdr:col>
                    <xdr:colOff>1950720</xdr:colOff>
                    <xdr:row>63</xdr:row>
                    <xdr:rowOff>586740</xdr:rowOff>
                  </to>
                </anchor>
              </controlPr>
            </control>
          </mc:Choice>
        </mc:AlternateContent>
        <mc:AlternateContent xmlns:mc="http://schemas.openxmlformats.org/markup-compatibility/2006">
          <mc:Choice Requires="x14">
            <control shapeId="158821" r:id="rId72" name="Option Button 101">
              <controlPr defaultSize="0" autoFill="0" autoLine="0" autoPict="0">
                <anchor moveWithCells="1">
                  <from>
                    <xdr:col>7</xdr:col>
                    <xdr:colOff>114300</xdr:colOff>
                    <xdr:row>63</xdr:row>
                    <xdr:rowOff>640080</xdr:rowOff>
                  </from>
                  <to>
                    <xdr:col>7</xdr:col>
                    <xdr:colOff>1950720</xdr:colOff>
                    <xdr:row>63</xdr:row>
                    <xdr:rowOff>830580</xdr:rowOff>
                  </to>
                </anchor>
              </controlPr>
            </control>
          </mc:Choice>
        </mc:AlternateContent>
        <mc:AlternateContent xmlns:mc="http://schemas.openxmlformats.org/markup-compatibility/2006">
          <mc:Choice Requires="x14">
            <control shapeId="158822" r:id="rId73" name="Option Button 102">
              <controlPr defaultSize="0" autoFill="0" autoLine="0" autoPict="0">
                <anchor moveWithCells="1">
                  <from>
                    <xdr:col>7</xdr:col>
                    <xdr:colOff>114300</xdr:colOff>
                    <xdr:row>63</xdr:row>
                    <xdr:rowOff>922020</xdr:rowOff>
                  </from>
                  <to>
                    <xdr:col>7</xdr:col>
                    <xdr:colOff>1950720</xdr:colOff>
                    <xdr:row>63</xdr:row>
                    <xdr:rowOff>1112520</xdr:rowOff>
                  </to>
                </anchor>
              </controlPr>
            </control>
          </mc:Choice>
        </mc:AlternateContent>
        <mc:AlternateContent xmlns:mc="http://schemas.openxmlformats.org/markup-compatibility/2006">
          <mc:Choice Requires="x14">
            <control shapeId="158823" r:id="rId74"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58824" r:id="rId75"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158825" r:id="rId76"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58826" r:id="rId77"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158827" r:id="rId78"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58828" r:id="rId79"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58829" r:id="rId80"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158830" r:id="rId81"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58831" r:id="rId82"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158832" r:id="rId83"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58833" r:id="rId84"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58834" r:id="rId85" name="Option Button 114">
              <controlPr defaultSize="0" autoFill="0" autoLine="0" autoPict="0" altText="Case d'option 47">
                <anchor moveWithCells="1">
                  <from>
                    <xdr:col>7</xdr:col>
                    <xdr:colOff>106680</xdr:colOff>
                    <xdr:row>64</xdr:row>
                    <xdr:rowOff>68580</xdr:rowOff>
                  </from>
                  <to>
                    <xdr:col>7</xdr:col>
                    <xdr:colOff>1501140</xdr:colOff>
                    <xdr:row>64</xdr:row>
                    <xdr:rowOff>259080</xdr:rowOff>
                  </to>
                </anchor>
              </controlPr>
            </control>
          </mc:Choice>
        </mc:AlternateContent>
        <mc:AlternateContent xmlns:mc="http://schemas.openxmlformats.org/markup-compatibility/2006">
          <mc:Choice Requires="x14">
            <control shapeId="158835" r:id="rId86" name="Option Button 115">
              <controlPr defaultSize="0" autoFill="0" autoLine="0" autoPict="0">
                <anchor moveWithCells="1">
                  <from>
                    <xdr:col>7</xdr:col>
                    <xdr:colOff>106680</xdr:colOff>
                    <xdr:row>64</xdr:row>
                    <xdr:rowOff>304800</xdr:rowOff>
                  </from>
                  <to>
                    <xdr:col>7</xdr:col>
                    <xdr:colOff>1950720</xdr:colOff>
                    <xdr:row>64</xdr:row>
                    <xdr:rowOff>502920</xdr:rowOff>
                  </to>
                </anchor>
              </controlPr>
            </control>
          </mc:Choice>
        </mc:AlternateContent>
        <mc:AlternateContent xmlns:mc="http://schemas.openxmlformats.org/markup-compatibility/2006">
          <mc:Choice Requires="x14">
            <control shapeId="158836" r:id="rId87" name="Option Button 116">
              <controlPr defaultSize="0" autoFill="0" autoLine="0" autoPict="0">
                <anchor moveWithCells="1">
                  <from>
                    <xdr:col>7</xdr:col>
                    <xdr:colOff>106680</xdr:colOff>
                    <xdr:row>64</xdr:row>
                    <xdr:rowOff>579120</xdr:rowOff>
                  </from>
                  <to>
                    <xdr:col>7</xdr:col>
                    <xdr:colOff>1958340</xdr:colOff>
                    <xdr:row>64</xdr:row>
                    <xdr:rowOff>754380</xdr:rowOff>
                  </to>
                </anchor>
              </controlPr>
            </control>
          </mc:Choice>
        </mc:AlternateContent>
        <mc:AlternateContent xmlns:mc="http://schemas.openxmlformats.org/markup-compatibility/2006">
          <mc:Choice Requires="x14">
            <control shapeId="158837" r:id="rId88" name="Option Button 117">
              <controlPr defaultSize="0" autoFill="0" autoLine="0" autoPict="0">
                <anchor moveWithCells="1">
                  <from>
                    <xdr:col>7</xdr:col>
                    <xdr:colOff>106680</xdr:colOff>
                    <xdr:row>64</xdr:row>
                    <xdr:rowOff>822960</xdr:rowOff>
                  </from>
                  <to>
                    <xdr:col>7</xdr:col>
                    <xdr:colOff>937260</xdr:colOff>
                    <xdr:row>64</xdr:row>
                    <xdr:rowOff>1005840</xdr:rowOff>
                  </to>
                </anchor>
              </controlPr>
            </control>
          </mc:Choice>
        </mc:AlternateContent>
        <mc:AlternateContent xmlns:mc="http://schemas.openxmlformats.org/markup-compatibility/2006">
          <mc:Choice Requires="x14">
            <control shapeId="158838" r:id="rId89" name="Group Box 118">
              <controlPr defaultSize="0" autoFill="0" autoPict="0">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158839" r:id="rId90"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158840" r:id="rId91"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158841" r:id="rId92"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158842" r:id="rId93"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158843" r:id="rId94"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58844" r:id="rId95" name="Option Button 124">
              <controlPr defaultSize="0" autoFill="0" autoLine="0" autoPict="0" altText="Case d'option 47">
                <anchor moveWithCells="1">
                  <from>
                    <xdr:col>7</xdr:col>
                    <xdr:colOff>106680</xdr:colOff>
                    <xdr:row>77</xdr:row>
                    <xdr:rowOff>99060</xdr:rowOff>
                  </from>
                  <to>
                    <xdr:col>7</xdr:col>
                    <xdr:colOff>1501140</xdr:colOff>
                    <xdr:row>77</xdr:row>
                    <xdr:rowOff>373380</xdr:rowOff>
                  </to>
                </anchor>
              </controlPr>
            </control>
          </mc:Choice>
        </mc:AlternateContent>
        <mc:AlternateContent xmlns:mc="http://schemas.openxmlformats.org/markup-compatibility/2006">
          <mc:Choice Requires="x14">
            <control shapeId="158845" r:id="rId96" name="Option Button 125">
              <controlPr defaultSize="0" autoFill="0" autoLine="0" autoPict="0">
                <anchor moveWithCells="1">
                  <from>
                    <xdr:col>7</xdr:col>
                    <xdr:colOff>106680</xdr:colOff>
                    <xdr:row>77</xdr:row>
                    <xdr:rowOff>381000</xdr:rowOff>
                  </from>
                  <to>
                    <xdr:col>7</xdr:col>
                    <xdr:colOff>1950720</xdr:colOff>
                    <xdr:row>77</xdr:row>
                    <xdr:rowOff>670560</xdr:rowOff>
                  </to>
                </anchor>
              </controlPr>
            </control>
          </mc:Choice>
        </mc:AlternateContent>
        <mc:AlternateContent xmlns:mc="http://schemas.openxmlformats.org/markup-compatibility/2006">
          <mc:Choice Requires="x14">
            <control shapeId="158846" r:id="rId97" name="Option Button 126">
              <controlPr defaultSize="0" autoFill="0" autoLine="0" autoPict="0">
                <anchor moveWithCells="1">
                  <from>
                    <xdr:col>7</xdr:col>
                    <xdr:colOff>106680</xdr:colOff>
                    <xdr:row>77</xdr:row>
                    <xdr:rowOff>670560</xdr:rowOff>
                  </from>
                  <to>
                    <xdr:col>7</xdr:col>
                    <xdr:colOff>1958340</xdr:colOff>
                    <xdr:row>77</xdr:row>
                    <xdr:rowOff>922020</xdr:rowOff>
                  </to>
                </anchor>
              </controlPr>
            </control>
          </mc:Choice>
        </mc:AlternateContent>
        <mc:AlternateContent xmlns:mc="http://schemas.openxmlformats.org/markup-compatibility/2006">
          <mc:Choice Requires="x14">
            <control shapeId="158847" r:id="rId98" name="Option Button 127">
              <controlPr defaultSize="0" autoFill="0" autoLine="0" autoPict="0">
                <anchor moveWithCells="1">
                  <from>
                    <xdr:col>7</xdr:col>
                    <xdr:colOff>106680</xdr:colOff>
                    <xdr:row>77</xdr:row>
                    <xdr:rowOff>929640</xdr:rowOff>
                  </from>
                  <to>
                    <xdr:col>7</xdr:col>
                    <xdr:colOff>937260</xdr:colOff>
                    <xdr:row>77</xdr:row>
                    <xdr:rowOff>1196340</xdr:rowOff>
                  </to>
                </anchor>
              </controlPr>
            </control>
          </mc:Choice>
        </mc:AlternateContent>
        <mc:AlternateContent xmlns:mc="http://schemas.openxmlformats.org/markup-compatibility/2006">
          <mc:Choice Requires="x14">
            <control shapeId="158848" r:id="rId99"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58859" r:id="rId100"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158860" r:id="rId101"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158861" r:id="rId102"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158862" r:id="rId103"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158863" r:id="rId104"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1" r:id="rId105"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158866" r:id="rId106"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58867" r:id="rId107"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58868" r:id="rId108"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58869" r:id="rId109"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24" r:id="rId110" name="Option Button 175">
              <controlPr defaultSize="0" autoFill="0" autoLine="0" autoPict="0">
                <anchor moveWithCells="1">
                  <from>
                    <xdr:col>7</xdr:col>
                    <xdr:colOff>114300</xdr:colOff>
                    <xdr:row>94</xdr:row>
                    <xdr:rowOff>144780</xdr:rowOff>
                  </from>
                  <to>
                    <xdr:col>7</xdr:col>
                    <xdr:colOff>1950720</xdr:colOff>
                    <xdr:row>94</xdr:row>
                    <xdr:rowOff>320040</xdr:rowOff>
                  </to>
                </anchor>
              </controlPr>
            </control>
          </mc:Choice>
        </mc:AlternateContent>
        <mc:AlternateContent xmlns:mc="http://schemas.openxmlformats.org/markup-compatibility/2006">
          <mc:Choice Requires="x14">
            <control shapeId="158896" r:id="rId111" name="Option Button 176">
              <controlPr defaultSize="0" autoFill="0" autoLine="0" autoPict="0">
                <anchor moveWithCells="1">
                  <from>
                    <xdr:col>7</xdr:col>
                    <xdr:colOff>114300</xdr:colOff>
                    <xdr:row>94</xdr:row>
                    <xdr:rowOff>396240</xdr:rowOff>
                  </from>
                  <to>
                    <xdr:col>7</xdr:col>
                    <xdr:colOff>1950720</xdr:colOff>
                    <xdr:row>94</xdr:row>
                    <xdr:rowOff>586740</xdr:rowOff>
                  </to>
                </anchor>
              </controlPr>
            </control>
          </mc:Choice>
        </mc:AlternateContent>
        <mc:AlternateContent xmlns:mc="http://schemas.openxmlformats.org/markup-compatibility/2006">
          <mc:Choice Requires="x14">
            <control shapeId="158897" r:id="rId112" name="Option Button 177">
              <controlPr defaultSize="0" autoFill="0" autoLine="0" autoPict="0">
                <anchor moveWithCells="1">
                  <from>
                    <xdr:col>7</xdr:col>
                    <xdr:colOff>114300</xdr:colOff>
                    <xdr:row>94</xdr:row>
                    <xdr:rowOff>640080</xdr:rowOff>
                  </from>
                  <to>
                    <xdr:col>7</xdr:col>
                    <xdr:colOff>1950720</xdr:colOff>
                    <xdr:row>94</xdr:row>
                    <xdr:rowOff>830580</xdr:rowOff>
                  </to>
                </anchor>
              </controlPr>
            </control>
          </mc:Choice>
        </mc:AlternateContent>
        <mc:AlternateContent xmlns:mc="http://schemas.openxmlformats.org/markup-compatibility/2006">
          <mc:Choice Requires="x14">
            <control shapeId="158898" r:id="rId113" name="Option Button 178">
              <controlPr defaultSize="0" autoFill="0" autoLine="0" autoPict="0">
                <anchor moveWithCells="1">
                  <from>
                    <xdr:col>7</xdr:col>
                    <xdr:colOff>114300</xdr:colOff>
                    <xdr:row>94</xdr:row>
                    <xdr:rowOff>922020</xdr:rowOff>
                  </from>
                  <to>
                    <xdr:col>7</xdr:col>
                    <xdr:colOff>1950720</xdr:colOff>
                    <xdr:row>94</xdr:row>
                    <xdr:rowOff>1112520</xdr:rowOff>
                  </to>
                </anchor>
              </controlPr>
            </control>
          </mc:Choice>
        </mc:AlternateContent>
        <mc:AlternateContent xmlns:mc="http://schemas.openxmlformats.org/markup-compatibility/2006">
          <mc:Choice Requires="x14">
            <control shapeId="158899" r:id="rId114"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158900" r:id="rId115"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158901" r:id="rId116" name="Option Button 181">
              <controlPr defaultSize="0" autoFill="0" autoLine="0" autoPict="0">
                <anchor moveWithCells="1">
                  <from>
                    <xdr:col>7</xdr:col>
                    <xdr:colOff>106680</xdr:colOff>
                    <xdr:row>93</xdr:row>
                    <xdr:rowOff>304800</xdr:rowOff>
                  </from>
                  <to>
                    <xdr:col>7</xdr:col>
                    <xdr:colOff>1950720</xdr:colOff>
                    <xdr:row>93</xdr:row>
                    <xdr:rowOff>502920</xdr:rowOff>
                  </to>
                </anchor>
              </controlPr>
            </control>
          </mc:Choice>
        </mc:AlternateContent>
        <mc:AlternateContent xmlns:mc="http://schemas.openxmlformats.org/markup-compatibility/2006">
          <mc:Choice Requires="x14">
            <control shapeId="158902" r:id="rId117"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158903" r:id="rId118"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158904" r:id="rId119"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158905" r:id="rId120" name="Option Button 185">
              <controlPr defaultSize="0" autoFill="0" autoLine="0" autoPict="0">
                <anchor moveWithCells="1">
                  <from>
                    <xdr:col>7</xdr:col>
                    <xdr:colOff>114300</xdr:colOff>
                    <xdr:row>97</xdr:row>
                    <xdr:rowOff>144780</xdr:rowOff>
                  </from>
                  <to>
                    <xdr:col>7</xdr:col>
                    <xdr:colOff>1950720</xdr:colOff>
                    <xdr:row>97</xdr:row>
                    <xdr:rowOff>320040</xdr:rowOff>
                  </to>
                </anchor>
              </controlPr>
            </control>
          </mc:Choice>
        </mc:AlternateContent>
        <mc:AlternateContent xmlns:mc="http://schemas.openxmlformats.org/markup-compatibility/2006">
          <mc:Choice Requires="x14">
            <control shapeId="158906" r:id="rId121" name="Option Button 186">
              <controlPr defaultSize="0" autoFill="0" autoLine="0" autoPict="0">
                <anchor moveWithCells="1">
                  <from>
                    <xdr:col>7</xdr:col>
                    <xdr:colOff>114300</xdr:colOff>
                    <xdr:row>97</xdr:row>
                    <xdr:rowOff>396240</xdr:rowOff>
                  </from>
                  <to>
                    <xdr:col>7</xdr:col>
                    <xdr:colOff>1950720</xdr:colOff>
                    <xdr:row>97</xdr:row>
                    <xdr:rowOff>586740</xdr:rowOff>
                  </to>
                </anchor>
              </controlPr>
            </control>
          </mc:Choice>
        </mc:AlternateContent>
        <mc:AlternateContent xmlns:mc="http://schemas.openxmlformats.org/markup-compatibility/2006">
          <mc:Choice Requires="x14">
            <control shapeId="158907" r:id="rId122" name="Option Button 187">
              <controlPr defaultSize="0" autoFill="0" autoLine="0" autoPict="0">
                <anchor moveWithCells="1">
                  <from>
                    <xdr:col>7</xdr:col>
                    <xdr:colOff>114300</xdr:colOff>
                    <xdr:row>97</xdr:row>
                    <xdr:rowOff>640080</xdr:rowOff>
                  </from>
                  <to>
                    <xdr:col>7</xdr:col>
                    <xdr:colOff>1950720</xdr:colOff>
                    <xdr:row>97</xdr:row>
                    <xdr:rowOff>830580</xdr:rowOff>
                  </to>
                </anchor>
              </controlPr>
            </control>
          </mc:Choice>
        </mc:AlternateContent>
        <mc:AlternateContent xmlns:mc="http://schemas.openxmlformats.org/markup-compatibility/2006">
          <mc:Choice Requires="x14">
            <control shapeId="25" r:id="rId123" name="Option Button 188">
              <controlPr defaultSize="0" autoFill="0" autoLine="0" autoPict="0">
                <anchor moveWithCells="1">
                  <from>
                    <xdr:col>7</xdr:col>
                    <xdr:colOff>114300</xdr:colOff>
                    <xdr:row>97</xdr:row>
                    <xdr:rowOff>922020</xdr:rowOff>
                  </from>
                  <to>
                    <xdr:col>7</xdr:col>
                    <xdr:colOff>1950720</xdr:colOff>
                    <xdr:row>97</xdr:row>
                    <xdr:rowOff>1112520</xdr:rowOff>
                  </to>
                </anchor>
              </controlPr>
            </control>
          </mc:Choice>
        </mc:AlternateContent>
        <mc:AlternateContent xmlns:mc="http://schemas.openxmlformats.org/markup-compatibility/2006">
          <mc:Choice Requires="x14">
            <control shapeId="26" r:id="rId124" name="Group Box 189">
              <controlPr defaultSize="0" autoFill="0" autoPict="0">
                <anchor moveWithCells="1">
                  <from>
                    <xdr:col>7</xdr:col>
                    <xdr:colOff>0</xdr:colOff>
                    <xdr:row>97</xdr:row>
                    <xdr:rowOff>0</xdr:rowOff>
                  </from>
                  <to>
                    <xdr:col>8</xdr:col>
                    <xdr:colOff>0</xdr:colOff>
                    <xdr:row>98</xdr:row>
                    <xdr:rowOff>0</xdr:rowOff>
                  </to>
                </anchor>
              </controlPr>
            </control>
          </mc:Choice>
        </mc:AlternateContent>
        <mc:AlternateContent xmlns:mc="http://schemas.openxmlformats.org/markup-compatibility/2006">
          <mc:Choice Requires="x14">
            <control shapeId="27" r:id="rId125" name="Option Button 190">
              <controlPr defaultSize="0" autoFill="0" autoLine="0" autoPict="0" altText="Case d'option 47">
                <anchor moveWithCells="1">
                  <from>
                    <xdr:col>7</xdr:col>
                    <xdr:colOff>106680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158911" r:id="rId126" name="Option Button 191">
              <controlPr defaultSize="0" autoFill="0" autoLine="0" autoPict="0">
                <anchor moveWithCells="1">
                  <from>
                    <xdr:col>7</xdr:col>
                    <xdr:colOff>106680</xdr:colOff>
                    <xdr:row>96</xdr:row>
                    <xdr:rowOff>304800</xdr:rowOff>
                  </from>
                  <to>
                    <xdr:col>7</xdr:col>
                    <xdr:colOff>1950720</xdr:colOff>
                    <xdr:row>96</xdr:row>
                    <xdr:rowOff>502920</xdr:rowOff>
                  </to>
                </anchor>
              </controlPr>
            </control>
          </mc:Choice>
        </mc:AlternateContent>
        <mc:AlternateContent xmlns:mc="http://schemas.openxmlformats.org/markup-compatibility/2006">
          <mc:Choice Requires="x14">
            <control shapeId="158912" r:id="rId127" name="Option Button 192">
              <controlPr defaultSize="0" autoFill="0" autoLine="0" autoPict="0">
                <anchor moveWithCells="1">
                  <from>
                    <xdr:col>7</xdr:col>
                    <xdr:colOff>106680</xdr:colOff>
                    <xdr:row>96</xdr:row>
                    <xdr:rowOff>579120</xdr:rowOff>
                  </from>
                  <to>
                    <xdr:col>7</xdr:col>
                    <xdr:colOff>1958340</xdr:colOff>
                    <xdr:row>96</xdr:row>
                    <xdr:rowOff>754380</xdr:rowOff>
                  </to>
                </anchor>
              </controlPr>
            </control>
          </mc:Choice>
        </mc:AlternateContent>
        <mc:AlternateContent xmlns:mc="http://schemas.openxmlformats.org/markup-compatibility/2006">
          <mc:Choice Requires="x14">
            <control shapeId="158913" r:id="rId128" name="Option Button 193">
              <controlPr defaultSize="0" autoFill="0" autoLine="0" autoPict="0">
                <anchor moveWithCells="1">
                  <from>
                    <xdr:col>7</xdr:col>
                    <xdr:colOff>106680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158914" r:id="rId129"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158915" r:id="rId130"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36" r:id="rId131" name="Option Button 196">
              <controlPr defaultSize="0" autoFill="0" autoLine="0" autoPict="0">
                <anchor moveWithCells="1">
                  <from>
                    <xdr:col>7</xdr:col>
                    <xdr:colOff>106680</xdr:colOff>
                    <xdr:row>95</xdr:row>
                    <xdr:rowOff>304800</xdr:rowOff>
                  </from>
                  <to>
                    <xdr:col>7</xdr:col>
                    <xdr:colOff>1950720</xdr:colOff>
                    <xdr:row>95</xdr:row>
                    <xdr:rowOff>502920</xdr:rowOff>
                  </to>
                </anchor>
              </controlPr>
            </control>
          </mc:Choice>
        </mc:AlternateContent>
        <mc:AlternateContent xmlns:mc="http://schemas.openxmlformats.org/markup-compatibility/2006">
          <mc:Choice Requires="x14">
            <control shapeId="158917" r:id="rId132"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158918" r:id="rId133"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158919" r:id="rId134"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57" r:id="rId135" name="Option Button 205">
              <controlPr defaultSize="0" autoFill="0" autoLine="0" autoPict="0" altText="Case d'option 47">
                <anchor moveWithCells="1">
                  <from>
                    <xdr:col>7</xdr:col>
                    <xdr:colOff>106680</xdr:colOff>
                    <xdr:row>98</xdr:row>
                    <xdr:rowOff>68580</xdr:rowOff>
                  </from>
                  <to>
                    <xdr:col>7</xdr:col>
                    <xdr:colOff>1501140</xdr:colOff>
                    <xdr:row>98</xdr:row>
                    <xdr:rowOff>259080</xdr:rowOff>
                  </to>
                </anchor>
              </controlPr>
            </control>
          </mc:Choice>
        </mc:AlternateContent>
        <mc:AlternateContent xmlns:mc="http://schemas.openxmlformats.org/markup-compatibility/2006">
          <mc:Choice Requires="x14">
            <control shapeId="158926" r:id="rId136" name="Option Button 206">
              <controlPr defaultSize="0" autoFill="0" autoLine="0" autoPict="0">
                <anchor moveWithCells="1">
                  <from>
                    <xdr:col>7</xdr:col>
                    <xdr:colOff>106680</xdr:colOff>
                    <xdr:row>98</xdr:row>
                    <xdr:rowOff>304800</xdr:rowOff>
                  </from>
                  <to>
                    <xdr:col>7</xdr:col>
                    <xdr:colOff>1950720</xdr:colOff>
                    <xdr:row>98</xdr:row>
                    <xdr:rowOff>502920</xdr:rowOff>
                  </to>
                </anchor>
              </controlPr>
            </control>
          </mc:Choice>
        </mc:AlternateContent>
        <mc:AlternateContent xmlns:mc="http://schemas.openxmlformats.org/markup-compatibility/2006">
          <mc:Choice Requires="x14">
            <control shapeId="158927" r:id="rId137" name="Option Button 207">
              <controlPr defaultSize="0" autoFill="0" autoLine="0" autoPict="0">
                <anchor moveWithCells="1">
                  <from>
                    <xdr:col>7</xdr:col>
                    <xdr:colOff>106680</xdr:colOff>
                    <xdr:row>98</xdr:row>
                    <xdr:rowOff>579120</xdr:rowOff>
                  </from>
                  <to>
                    <xdr:col>7</xdr:col>
                    <xdr:colOff>1958340</xdr:colOff>
                    <xdr:row>98</xdr:row>
                    <xdr:rowOff>754380</xdr:rowOff>
                  </to>
                </anchor>
              </controlPr>
            </control>
          </mc:Choice>
        </mc:AlternateContent>
        <mc:AlternateContent xmlns:mc="http://schemas.openxmlformats.org/markup-compatibility/2006">
          <mc:Choice Requires="x14">
            <control shapeId="158928" r:id="rId138" name="Option Button 208">
              <controlPr defaultSize="0" autoFill="0" autoLine="0" autoPict="0">
                <anchor moveWithCells="1">
                  <from>
                    <xdr:col>7</xdr:col>
                    <xdr:colOff>106680</xdr:colOff>
                    <xdr:row>98</xdr:row>
                    <xdr:rowOff>822960</xdr:rowOff>
                  </from>
                  <to>
                    <xdr:col>7</xdr:col>
                    <xdr:colOff>937260</xdr:colOff>
                    <xdr:row>98</xdr:row>
                    <xdr:rowOff>1005840</xdr:rowOff>
                  </to>
                </anchor>
              </controlPr>
            </control>
          </mc:Choice>
        </mc:AlternateContent>
        <mc:AlternateContent xmlns:mc="http://schemas.openxmlformats.org/markup-compatibility/2006">
          <mc:Choice Requires="x14">
            <control shapeId="158929" r:id="rId139" name="Group Box 209">
              <controlPr defaultSize="0" autoFill="0" autoPict="0">
                <anchor moveWithCells="1">
                  <from>
                    <xdr:col>7</xdr:col>
                    <xdr:colOff>0</xdr:colOff>
                    <xdr:row>98</xdr:row>
                    <xdr:rowOff>0</xdr:rowOff>
                  </from>
                  <to>
                    <xdr:col>8</xdr:col>
                    <xdr:colOff>0</xdr:colOff>
                    <xdr:row>99</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DEC8A-F110-4094-9AE4-1D107D2F6916}">
  <sheetPr codeName="Feuil31">
    <tabColor rgb="FF45413F"/>
  </sheetPr>
  <dimension ref="A1:AI65"/>
  <sheetViews>
    <sheetView showGridLines="0" showRowColHeaders="0" zoomScale="52" zoomScaleNormal="52" workbookViewId="0">
      <selection activeCell="BE11" sqref="BE11"/>
    </sheetView>
  </sheetViews>
  <sheetFormatPr baseColWidth="10" defaultColWidth="8.88671875" defaultRowHeight="14.4" x14ac:dyDescent="0.3"/>
  <cols>
    <col min="1" max="2" width="5.77734375" style="31" customWidth="1"/>
    <col min="3" max="5" width="5.77734375" style="31" hidden="1" customWidth="1"/>
    <col min="6" max="6" width="25.554687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33"/>
      <c r="B1" s="231" t="s">
        <v>567</v>
      </c>
      <c r="C1" s="233"/>
      <c r="D1" s="233"/>
      <c r="E1" s="110"/>
      <c r="F1" s="110"/>
      <c r="G1" s="110"/>
      <c r="H1" s="110"/>
      <c r="I1" s="110"/>
      <c r="J1" s="234"/>
      <c r="K1" s="235"/>
      <c r="L1" s="110"/>
      <c r="M1" s="110"/>
      <c r="N1" s="236"/>
      <c r="O1" s="236"/>
      <c r="P1" s="236"/>
      <c r="Q1" s="236" t="str">
        <f>VLOOKUP($E$27,BDD!$A$2:$N$567,3,FALSE)</f>
        <v xml:space="preserve">Ressources humaines </v>
      </c>
      <c r="R1" s="109"/>
      <c r="S1" s="113"/>
      <c r="T1" s="113"/>
      <c r="U1" s="113"/>
      <c r="V1" s="113"/>
      <c r="W1" s="113"/>
      <c r="X1" s="113"/>
      <c r="Y1" s="113"/>
      <c r="Z1" s="113"/>
      <c r="AA1" s="113"/>
      <c r="AB1" s="113"/>
      <c r="AC1" s="113"/>
      <c r="AD1" s="113"/>
      <c r="AE1" s="113"/>
      <c r="AF1" s="113"/>
      <c r="AG1" s="113"/>
      <c r="AH1" s="113"/>
      <c r="AI1" s="30"/>
    </row>
    <row r="2" spans="1:35" ht="45" customHeight="1" x14ac:dyDescent="0.3">
      <c r="A2" s="109"/>
      <c r="B2" s="109"/>
      <c r="C2" s="109"/>
      <c r="D2" s="109"/>
      <c r="E2" s="109"/>
      <c r="F2" s="109"/>
      <c r="G2" s="109"/>
      <c r="H2" s="109"/>
      <c r="I2" s="109"/>
      <c r="J2" s="109"/>
      <c r="K2" s="109"/>
      <c r="L2" s="109"/>
      <c r="M2" s="109"/>
      <c r="N2" s="114"/>
      <c r="O2" s="114"/>
      <c r="P2" s="114"/>
      <c r="Q2" s="114" t="str">
        <f>VLOOKUP($E$27,BDD!$A$2:$N$567,4,FALSE)</f>
        <v>Acquérir, organiser et manager les talents et les compétences.</v>
      </c>
      <c r="R2" s="109"/>
      <c r="S2" s="115"/>
      <c r="T2" s="115"/>
      <c r="U2" s="115"/>
      <c r="V2" s="115"/>
      <c r="W2" s="115"/>
      <c r="X2" s="115"/>
      <c r="Y2" s="115"/>
      <c r="Z2" s="115"/>
      <c r="AA2" s="115"/>
      <c r="AB2" s="115"/>
      <c r="AC2" s="115"/>
      <c r="AD2" s="115"/>
      <c r="AE2" s="115"/>
      <c r="AF2" s="115"/>
      <c r="AG2" s="115"/>
      <c r="AH2" s="115"/>
      <c r="AI2" s="30"/>
    </row>
    <row r="3" spans="1:35" ht="45" customHeight="1" thickBot="1" x14ac:dyDescent="0.35">
      <c r="A3" s="112"/>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112"/>
      <c r="AI3" s="30"/>
    </row>
    <row r="4" spans="1:35" ht="26.4" thickBot="1" x14ac:dyDescent="0.55000000000000004">
      <c r="A4" s="112"/>
      <c r="B4" s="30"/>
      <c r="C4" s="30"/>
      <c r="D4" s="30"/>
      <c r="E4" s="30"/>
      <c r="F4" s="30"/>
      <c r="G4" s="36" t="s">
        <v>1</v>
      </c>
      <c r="H4" s="34"/>
      <c r="I4" s="32"/>
      <c r="J4" s="34"/>
      <c r="K4" s="34"/>
      <c r="L4" s="34"/>
      <c r="M4" s="34"/>
      <c r="N4" s="30"/>
      <c r="O4" s="30"/>
      <c r="P4" s="30"/>
      <c r="Q4" s="30"/>
      <c r="R4" s="30"/>
      <c r="S4" s="30"/>
      <c r="T4" s="30"/>
      <c r="U4" s="242"/>
      <c r="V4" s="242"/>
      <c r="W4" s="122" t="s">
        <v>0</v>
      </c>
      <c r="X4" s="242"/>
      <c r="Y4" s="30"/>
      <c r="Z4" s="30"/>
      <c r="AA4" s="417"/>
      <c r="AB4" s="418" t="s">
        <v>1079</v>
      </c>
      <c r="AC4" s="30"/>
      <c r="AD4" s="30"/>
      <c r="AE4" s="30"/>
      <c r="AF4" s="35"/>
      <c r="AG4" s="35"/>
      <c r="AH4" s="117"/>
      <c r="AI4" s="30"/>
    </row>
    <row r="5" spans="1:35" ht="42" thickBot="1" x14ac:dyDescent="0.35">
      <c r="A5" s="112"/>
      <c r="B5" s="30"/>
      <c r="C5" s="30"/>
      <c r="D5" s="30"/>
      <c r="E5" s="30" t="str">
        <f>$C$25&amp;"11"</f>
        <v>1011</v>
      </c>
      <c r="F5" s="30"/>
      <c r="G5" s="196" t="str">
        <f>IF(VLOOKUP(E5,BDD!$A$2:$N$567,13,FALSE)=0,"",VLOOKUP(E5,BDD!$A$2:$N$567,13,FALSE))</f>
        <v>Répondre aux besoins de l'organisation en investissant sur les compétences nécessaires à la réalisation des projets futurs, et à la continuité des systèmes existants, conformément à la stratégie IT.</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112"/>
      <c r="AI5" s="30"/>
    </row>
    <row r="6" spans="1:35" ht="30" customHeight="1" x14ac:dyDescent="0.3">
      <c r="A6" s="116"/>
      <c r="B6" s="38"/>
      <c r="C6" s="38"/>
      <c r="D6" s="38"/>
      <c r="E6" s="38" t="str">
        <f>$C$25&amp;"12"</f>
        <v>1012</v>
      </c>
      <c r="F6" s="38"/>
      <c r="G6" s="196" t="str">
        <f>IF(VLOOKUP(E6,BDD!$A$2:$N$567,13,FALSE)=0,"",VLOOKUP(E6,BDD!$A$2:$N$567,13,FALSE))</f>
        <v>Rendre attractifs les métiers du numérique de l’entreprise pour attirer de nouveaux talents.</v>
      </c>
      <c r="H6" s="39"/>
      <c r="I6" s="32"/>
      <c r="K6" s="39"/>
      <c r="L6" s="538"/>
      <c r="M6" s="539"/>
      <c r="N6" s="540"/>
      <c r="O6" s="541"/>
      <c r="P6" s="541"/>
      <c r="Q6" s="541"/>
      <c r="R6" s="541"/>
      <c r="S6" s="541"/>
      <c r="T6" s="541"/>
      <c r="U6" s="541"/>
      <c r="V6" s="541"/>
      <c r="W6" s="541"/>
      <c r="X6" s="541"/>
      <c r="Y6" s="541"/>
      <c r="Z6" s="541"/>
      <c r="AA6" s="541"/>
      <c r="AB6" s="542"/>
      <c r="AC6" s="35"/>
      <c r="AD6" s="35"/>
      <c r="AE6" s="35"/>
      <c r="AF6" s="32"/>
      <c r="AG6" s="32"/>
      <c r="AH6" s="118"/>
      <c r="AI6" s="38"/>
    </row>
    <row r="7" spans="1:35" ht="31.8" thickBot="1" x14ac:dyDescent="0.35">
      <c r="A7" s="116"/>
      <c r="B7" s="38"/>
      <c r="C7" s="38"/>
      <c r="D7" s="38"/>
      <c r="E7" s="38" t="str">
        <f>$C$25&amp;"13"</f>
        <v>1013</v>
      </c>
      <c r="F7" s="38"/>
      <c r="G7" s="196" t="str">
        <f>IF(VLOOKUP(E7,BDD!$A$2:$N$567,13,FALSE)=0,"",VLOOKUP(E7,BDD!$A$2:$N$567,13,FALSE))</f>
        <v>Faire collaborer des personnes de générations et de compétences différentes pour garantir le fonctionnement et l’évolution du SI.</v>
      </c>
      <c r="H7" s="39"/>
      <c r="I7" s="32"/>
      <c r="K7" s="39"/>
      <c r="L7" s="543"/>
      <c r="M7" s="544"/>
      <c r="N7" s="420" t="s">
        <v>2</v>
      </c>
      <c r="O7" s="421" t="s">
        <v>3</v>
      </c>
      <c r="P7" s="421" t="s">
        <v>4</v>
      </c>
      <c r="Q7" s="421" t="s">
        <v>5</v>
      </c>
      <c r="R7" s="421" t="s">
        <v>6</v>
      </c>
      <c r="S7" s="421" t="s">
        <v>7</v>
      </c>
      <c r="T7" s="421" t="s">
        <v>8</v>
      </c>
      <c r="U7" s="421" t="s">
        <v>9</v>
      </c>
      <c r="V7" s="545"/>
      <c r="W7" s="460" t="s">
        <v>10</v>
      </c>
      <c r="X7" s="461" t="s">
        <v>11</v>
      </c>
      <c r="Y7" s="546"/>
      <c r="Z7" s="463" t="s">
        <v>12</v>
      </c>
      <c r="AA7" s="464" t="s">
        <v>13</v>
      </c>
      <c r="AB7" s="547"/>
      <c r="AC7" s="40"/>
      <c r="AD7" s="637" t="s">
        <v>14</v>
      </c>
      <c r="AE7" s="41" t="s">
        <v>15</v>
      </c>
      <c r="AF7" s="32"/>
      <c r="AG7" s="32"/>
      <c r="AH7" s="118"/>
      <c r="AI7" s="38"/>
    </row>
    <row r="8" spans="1:35" ht="41.4" x14ac:dyDescent="0.3">
      <c r="A8" s="116"/>
      <c r="B8" s="38"/>
      <c r="C8" s="38"/>
      <c r="D8" s="38"/>
      <c r="E8" s="38" t="str">
        <f>$C$25&amp;"14"</f>
        <v>1014</v>
      </c>
      <c r="F8" s="38"/>
      <c r="G8" s="196" t="str">
        <f>IF(VLOOKUP(E8,BDD!$A$2:$N$567,13,FALSE)=0,"",VLOOKUP(E8,BDD!$A$2:$N$567,13,FALSE))</f>
        <v>Optimiser la stratégie d'externalisation pour équilibrer les ressources internes et externes.</v>
      </c>
      <c r="H8" s="39"/>
      <c r="I8" s="32"/>
      <c r="K8" s="39"/>
      <c r="L8" s="543"/>
      <c r="M8" s="419" t="str">
        <f>IF(LEFT(RIGHT($B$1,2),1)=" ",RIGHT($B$1,1),RIGHT($B$1,2))&amp;1</f>
        <v>101</v>
      </c>
      <c r="N8" s="422" t="str">
        <f>RIGHT(M8,1)&amp;" : "&amp;VLOOKUP($M8&amp;"1",BDD!$A$2:$N$567,6,FALSE)</f>
        <v>1 : Plan RH cohérent avec la stratégie numérique</v>
      </c>
      <c r="O8" s="423" t="str">
        <f>IF(VLOOKUP($M8&amp;RIGHT(O$7,1),BDD!$A$1:$S$600,15,FALSE)=4,"NE",IF(VLOOKUP($M8&amp;RIGHT(O$7,1),BDD!$A$1:$S$600,15,FALSE)=0,"NE",VLOOKUP($M8&amp;RIGHT(O$7,1),BDD!$A$1:$S$600,15,FALSE)))</f>
        <v>NE</v>
      </c>
      <c r="P8" s="423" t="str">
        <f>IF(VLOOKUP($M8&amp;RIGHT(P$7,1),BDD!$A$1:$S$600,15,FALSE)=4,"NE",IF(VLOOKUP($M8&amp;RIGHT(P$7,1),BDD!$A$1:$S$600,15,FALSE)=0,"NE",VLOOKUP($M8&amp;RIGHT(P$7,1),BDD!$A$1:$S$600,15,FALSE)))</f>
        <v>NE</v>
      </c>
      <c r="Q8" s="423" t="str">
        <f>IF(VLOOKUP($M8&amp;RIGHT(Q$7,1),BDD!$A$1:$S$600,15,FALSE)=4,"NE",IF(VLOOKUP($M8&amp;RIGHT(Q$7,1),BDD!$A$1:$S$600,15,FALSE)=0,"NE",VLOOKUP($M8&amp;RIGHT(Q$7,1),BDD!$A$1:$S$600,15,FALSE)))</f>
        <v>NE</v>
      </c>
      <c r="R8" s="423" t="str">
        <f>IF(VLOOKUP($M8&amp;RIGHT(R$7,1),BDD!$A$1:$S$600,15,FALSE)=4,"NE",IF(VLOOKUP($M8&amp;RIGHT(R$7,1),BDD!$A$1:$S$600,15,FALSE)=0,"NE",VLOOKUP($M8&amp;RIGHT(R$7,1),BDD!$A$1:$S$600,15,FALSE)))</f>
        <v>NE</v>
      </c>
      <c r="S8" s="423" t="str">
        <f>IF(VLOOKUP($M8&amp;RIGHT(S$7,1),BDD!$A$1:$S$600,15,FALSE)=4,"NE",IF(VLOOKUP($M8&amp;RIGHT(S$7,1),BDD!$A$1:$S$600,15,FALSE)=0,"NE",VLOOKUP($M8&amp;RIGHT(S$7,1),BDD!$A$1:$S$600,15,FALSE)))</f>
        <v>NE</v>
      </c>
      <c r="T8" s="423" t="str">
        <f>IF(VLOOKUP($M8&amp;RIGHT(T$7,1),BDD!$A$1:$S$600,15,FALSE)=4,"NE",IF(VLOOKUP($M8&amp;RIGHT(T$7,1),BDD!$A$1:$S$600,15,FALSE)=0,"NE",VLOOKUP($M8&amp;RIGHT(T$7,1),BDD!$A$1:$S$600,15,FALSE)))</f>
        <v>NE</v>
      </c>
      <c r="U8" s="475"/>
      <c r="V8" s="545"/>
      <c r="W8" s="441" t="s">
        <v>16</v>
      </c>
      <c r="X8" s="442"/>
      <c r="Y8" s="548"/>
      <c r="Z8" s="468">
        <f>O25</f>
        <v>0</v>
      </c>
      <c r="AA8" s="469">
        <f>P25</f>
        <v>0</v>
      </c>
      <c r="AB8" s="547"/>
      <c r="AC8" s="40"/>
      <c r="AD8" s="638"/>
      <c r="AE8" s="44" t="s">
        <v>17</v>
      </c>
      <c r="AF8" s="32"/>
      <c r="AG8" s="32"/>
      <c r="AH8" s="118"/>
      <c r="AI8" s="38"/>
    </row>
    <row r="9" spans="1:35" ht="30" customHeight="1" x14ac:dyDescent="0.3">
      <c r="A9" s="116"/>
      <c r="B9" s="38"/>
      <c r="C9" s="38"/>
      <c r="D9" s="38"/>
      <c r="E9" s="38" t="str">
        <f>$C$25&amp;"15"</f>
        <v>1015</v>
      </c>
      <c r="F9" s="38"/>
      <c r="G9" s="196" t="str">
        <f>IF(VLOOKUP(E9,BDD!$A$2:$N$567,13,FALSE)=0,"",VLOOKUP(E9,BDD!$A$2:$N$567,13,FALSE))</f>
        <v/>
      </c>
      <c r="H9" s="39"/>
      <c r="I9" s="32"/>
      <c r="K9" s="39"/>
      <c r="L9" s="543"/>
      <c r="M9" s="419" t="str">
        <f>IF(LEFT(RIGHT($B$1,2),1)=" ",RIGHT($B$1,1),RIGHT($B$1,2))&amp;2</f>
        <v>102</v>
      </c>
      <c r="N9" s="424" t="str">
        <f>RIGHT(M9,1)&amp;" : "&amp;VLOOKUP($M9&amp;"1",BDD!$A$2:$N$567,6,FALSE)</f>
        <v>2 : Référentiel</v>
      </c>
      <c r="O9" s="425" t="str">
        <f>IF(VLOOKUP($M9&amp;RIGHT(O$7,1),BDD!$A$1:$S$600,15,FALSE)=4,"NE",IF(VLOOKUP($M9&amp;RIGHT(O$7,1),BDD!$A$1:$S$600,15,FALSE)=0,"NE",VLOOKUP($M9&amp;RIGHT(O$7,1),BDD!$A$1:$S$600,15,FALSE)))</f>
        <v>NE</v>
      </c>
      <c r="P9" s="425" t="str">
        <f>IF(VLOOKUP($M9&amp;RIGHT(P$7,1),BDD!$A$1:$S$600,15,FALSE)=4,"NE",IF(VLOOKUP($M9&amp;RIGHT(P$7,1),BDD!$A$1:$S$600,15,FALSE)=0,"NE",VLOOKUP($M9&amp;RIGHT(P$7,1),BDD!$A$1:$S$600,15,FALSE)))</f>
        <v>NE</v>
      </c>
      <c r="Q9" s="425" t="str">
        <f>IF(VLOOKUP($M9&amp;RIGHT(Q$7,1),BDD!$A$1:$S$600,15,FALSE)=4,"NE",IF(VLOOKUP($M9&amp;RIGHT(Q$7,1),BDD!$A$1:$S$600,15,FALSE)=0,"NE",VLOOKUP($M9&amp;RIGHT(Q$7,1),BDD!$A$1:$S$600,15,FALSE)))</f>
        <v>NE</v>
      </c>
      <c r="R9" s="426"/>
      <c r="S9" s="426"/>
      <c r="T9" s="426"/>
      <c r="U9" s="427"/>
      <c r="V9" s="545"/>
      <c r="W9" s="443" t="s">
        <v>16</v>
      </c>
      <c r="X9" s="444"/>
      <c r="Y9" s="549"/>
      <c r="Z9" s="472">
        <f>O33</f>
        <v>0</v>
      </c>
      <c r="AA9" s="473">
        <f>P33</f>
        <v>0</v>
      </c>
      <c r="AB9" s="547"/>
      <c r="AC9" s="40"/>
      <c r="AD9" s="638"/>
      <c r="AE9" s="48" t="s">
        <v>18</v>
      </c>
      <c r="AF9" s="32"/>
      <c r="AG9" s="32"/>
      <c r="AH9" s="118"/>
      <c r="AI9" s="38"/>
    </row>
    <row r="10" spans="1:35" ht="30" customHeight="1" x14ac:dyDescent="0.3">
      <c r="A10" s="116"/>
      <c r="B10" s="38"/>
      <c r="C10" s="38"/>
      <c r="D10" s="38"/>
      <c r="E10" s="38" t="str">
        <f>$C$25&amp;"16"</f>
        <v>1016</v>
      </c>
      <c r="F10" s="38"/>
      <c r="G10" s="31" t="str">
        <f>IF(VLOOKUP(E10,BDD!$A$2:$N$567,13,FALSE)=0,"",VLOOKUP(E10,BDD!$A$2:$N$567,13,FALSE))</f>
        <v/>
      </c>
      <c r="H10" s="39"/>
      <c r="I10" s="32"/>
      <c r="K10" s="39"/>
      <c r="L10" s="543"/>
      <c r="M10" s="419" t="str">
        <f>IF(LEFT(RIGHT($B$1,2),1)=" ",RIGHT($B$1,1),RIGHT($B$1,2))&amp;3</f>
        <v>103</v>
      </c>
      <c r="N10" s="422" t="str">
        <f>RIGHT(M10,1)&amp;" : "&amp;VLOOKUP($M10&amp;"1",BDD!$A$2:$N$567,6,FALSE)</f>
        <v>3 : Gestion des emplois et parcours professionnels (GEPP / Strategic Workforce Planning)</v>
      </c>
      <c r="O10" s="423" t="str">
        <f>IF(VLOOKUP($M10&amp;RIGHT(O$7,1),BDD!$A$1:$S$600,15,FALSE)=4,"NE",IF(VLOOKUP($M10&amp;RIGHT(O$7,1),BDD!$A$1:$S$600,15,FALSE)=0,"NE",VLOOKUP($M10&amp;RIGHT(O$7,1),BDD!$A$1:$S$600,15,FALSE)))</f>
        <v>NE</v>
      </c>
      <c r="P10" s="423" t="str">
        <f>IF(VLOOKUP($M10&amp;RIGHT(P$7,1),BDD!$A$1:$S$600,15,FALSE)=4,"NE",IF(VLOOKUP($M10&amp;RIGHT(P$7,1),BDD!$A$1:$S$600,15,FALSE)=0,"NE",VLOOKUP($M10&amp;RIGHT(P$7,1),BDD!$A$1:$S$600,15,FALSE)))</f>
        <v>NE</v>
      </c>
      <c r="Q10" s="423" t="str">
        <f>IF(VLOOKUP($M10&amp;RIGHT(Q$7,1),BDD!$A$1:$S$600,15,FALSE)=4,"NE",IF(VLOOKUP($M10&amp;RIGHT(Q$7,1),BDD!$A$1:$S$600,15,FALSE)=0,"NE",VLOOKUP($M10&amp;RIGHT(Q$7,1),BDD!$A$1:$S$600,15,FALSE)))</f>
        <v>NE</v>
      </c>
      <c r="R10" s="474"/>
      <c r="S10" s="475"/>
      <c r="T10" s="475"/>
      <c r="U10" s="430"/>
      <c r="V10" s="545"/>
      <c r="W10" s="445" t="s">
        <v>16</v>
      </c>
      <c r="X10" s="446"/>
      <c r="Y10" s="548"/>
      <c r="Z10" s="468">
        <f>O38</f>
        <v>0</v>
      </c>
      <c r="AA10" s="469">
        <f>P38</f>
        <v>0</v>
      </c>
      <c r="AB10" s="547"/>
      <c r="AC10" s="40"/>
      <c r="AD10" s="638"/>
      <c r="AE10" s="53" t="s">
        <v>19</v>
      </c>
      <c r="AF10" s="51"/>
      <c r="AG10" s="52"/>
      <c r="AH10" s="119"/>
      <c r="AI10" s="38"/>
    </row>
    <row r="11" spans="1:35" ht="30" customHeight="1" x14ac:dyDescent="0.3">
      <c r="A11" s="112"/>
      <c r="B11" s="30"/>
      <c r="C11" s="30"/>
      <c r="D11" s="30"/>
      <c r="E11" s="30" t="str">
        <f>$C$25&amp;"17"</f>
        <v>1017</v>
      </c>
      <c r="F11" s="30"/>
      <c r="G11" s="31" t="str">
        <f>IF(VLOOKUP(E11,BDD!$A$2:$N$567,13,FALSE)=0,"",VLOOKUP(E11,BDD!$A$2:$N$567,13,FALSE))</f>
        <v/>
      </c>
      <c r="H11" s="52"/>
      <c r="I11" s="32"/>
      <c r="K11" s="52"/>
      <c r="L11" s="550"/>
      <c r="M11" s="419" t="str">
        <f>IF(LEFT(RIGHT($B$1,2),1)=" ",RIGHT($B$1,1),RIGHT($B$1,2))&amp;4</f>
        <v>104</v>
      </c>
      <c r="N11" s="424" t="str">
        <f>RIGHT(M11,1)&amp;" : "&amp;VLOOKUP($M11&amp;"1",BDD!$A$2:$N$567,6,FALSE)</f>
        <v>4 : Évaluation</v>
      </c>
      <c r="O11" s="425" t="str">
        <f>IF(VLOOKUP($M11&amp;RIGHT(O$7,1),BDD!$A$1:$S$600,15,FALSE)=4,"NE",IF(VLOOKUP($M11&amp;RIGHT(O$7,1),BDD!$A$1:$S$600,15,FALSE)=0,"NE",VLOOKUP($M11&amp;RIGHT(O$7,1),BDD!$A$1:$S$600,15,FALSE)))</f>
        <v>NE</v>
      </c>
      <c r="P11" s="425" t="str">
        <f>IF(VLOOKUP($M11&amp;RIGHT(P$7,1),BDD!$A$1:$S$600,15,FALSE)=4,"NE",IF(VLOOKUP($M11&amp;RIGHT(P$7,1),BDD!$A$1:$S$600,15,FALSE)=0,"NE",VLOOKUP($M11&amp;RIGHT(P$7,1),BDD!$A$1:$S$600,15,FALSE)))</f>
        <v>NE</v>
      </c>
      <c r="Q11" s="425" t="str">
        <f>IF(VLOOKUP($M11&amp;RIGHT(Q$7,1),BDD!$A$1:$S$600,15,FALSE)=4,"NE",IF(VLOOKUP($M11&amp;RIGHT(Q$7,1),BDD!$A$1:$S$600,15,FALSE)=0,"NE",VLOOKUP($M11&amp;RIGHT(Q$7,1),BDD!$A$1:$S$600,15,FALSE)))</f>
        <v>NE</v>
      </c>
      <c r="R11" s="425" t="str">
        <f>IF(VLOOKUP($M11&amp;RIGHT(R$7,1),BDD!$A$1:$S$600,15,FALSE)=4,"NE",IF(VLOOKUP($M11&amp;RIGHT(R$7,1),BDD!$A$1:$S$600,15,FALSE)=0,"NE",VLOOKUP($M11&amp;RIGHT(R$7,1),BDD!$A$1:$S$600,15,FALSE)))</f>
        <v>NE</v>
      </c>
      <c r="S11" s="425" t="str">
        <f>IF(VLOOKUP($M11&amp;RIGHT(S$7,1),BDD!$A$1:$S$600,15,FALSE)=4,"NE",IF(VLOOKUP($M11&amp;RIGHT(S$7,1),BDD!$A$1:$S$600,15,FALSE)=0,"NE",VLOOKUP($M11&amp;RIGHT(S$7,1),BDD!$A$1:$S$600,15,FALSE)))</f>
        <v>NE</v>
      </c>
      <c r="T11" s="425" t="str">
        <f>IF(VLOOKUP($M11&amp;RIGHT(T$7,1),BDD!$A$1:$S$600,15,FALSE)=4,"NE",IF(VLOOKUP($M11&amp;RIGHT(T$7,1),BDD!$A$1:$S$600,15,FALSE)=0,"NE",VLOOKUP($M11&amp;RIGHT(T$7,1),BDD!$A$1:$S$600,15,FALSE)))</f>
        <v>NE</v>
      </c>
      <c r="U11" s="427"/>
      <c r="V11" s="545"/>
      <c r="W11" s="443" t="s">
        <v>16</v>
      </c>
      <c r="X11" s="444"/>
      <c r="Y11" s="548"/>
      <c r="Z11" s="472">
        <f>O43</f>
        <v>0</v>
      </c>
      <c r="AA11" s="473">
        <f>P43</f>
        <v>0</v>
      </c>
      <c r="AB11" s="547"/>
      <c r="AC11" s="40"/>
      <c r="AD11" s="212"/>
      <c r="AF11" s="51"/>
      <c r="AG11" s="52"/>
      <c r="AH11" s="119"/>
      <c r="AI11" s="30"/>
    </row>
    <row r="12" spans="1:35" ht="30" customHeight="1" x14ac:dyDescent="0.3">
      <c r="A12" s="112"/>
      <c r="B12" s="30"/>
      <c r="C12" s="30"/>
      <c r="D12" s="30"/>
      <c r="E12" s="30"/>
      <c r="F12" s="30"/>
      <c r="G12" s="54" t="s">
        <v>20</v>
      </c>
      <c r="H12" s="32"/>
      <c r="I12" s="32"/>
      <c r="K12" s="32"/>
      <c r="L12" s="551"/>
      <c r="M12" s="419" t="str">
        <f>IF(LEFT(RIGHT($B$1,2),1)=" ",RIGHT($B$1,1),RIGHT($B$1,2))&amp;5</f>
        <v>105</v>
      </c>
      <c r="N12" s="422" t="str">
        <f>RIGHT(M12,1)&amp;" : "&amp;VLOOKUP($M12&amp;"1",BDD!$A$2:$N$567,6,FALSE)</f>
        <v>5 : Recrutement</v>
      </c>
      <c r="O12" s="423" t="str">
        <f>IF(VLOOKUP($M12&amp;RIGHT(O$7,1),BDD!$A$1:$S$600,15,FALSE)=4,"NE",IF(VLOOKUP($M12&amp;RIGHT(O$7,1),BDD!$A$1:$S$600,15,FALSE)=0,"NE",VLOOKUP($M12&amp;RIGHT(O$7,1),BDD!$A$1:$S$600,15,FALSE)))</f>
        <v>NE</v>
      </c>
      <c r="P12" s="423" t="str">
        <f>IF(VLOOKUP($M12&amp;RIGHT(P$7,1),BDD!$A$1:$S$600,15,FALSE)=4,"NE",IF(VLOOKUP($M12&amp;RIGHT(P$7,1),BDD!$A$1:$S$600,15,FALSE)=0,"NE",VLOOKUP($M12&amp;RIGHT(P$7,1),BDD!$A$1:$S$600,15,FALSE)))</f>
        <v>NE</v>
      </c>
      <c r="Q12" s="423" t="str">
        <f>IF(VLOOKUP($M12&amp;RIGHT(Q$7,1),BDD!$A$1:$S$600,15,FALSE)=4,"NE",IF(VLOOKUP($M12&amp;RIGHT(Q$7,1),BDD!$A$1:$S$600,15,FALSE)=0,"NE",VLOOKUP($M12&amp;RIGHT(Q$7,1),BDD!$A$1:$S$600,15,FALSE)))</f>
        <v>NE</v>
      </c>
      <c r="R12" s="475"/>
      <c r="S12" s="475"/>
      <c r="T12" s="475"/>
      <c r="U12" s="430"/>
      <c r="V12" s="545"/>
      <c r="W12" s="445" t="s">
        <v>16</v>
      </c>
      <c r="X12" s="446"/>
      <c r="Y12" s="548"/>
      <c r="Z12" s="468">
        <f>O51</f>
        <v>0</v>
      </c>
      <c r="AA12" s="469">
        <f>P51</f>
        <v>0</v>
      </c>
      <c r="AB12" s="547"/>
      <c r="AC12" s="40"/>
      <c r="AD12" s="213"/>
      <c r="AF12" s="55"/>
      <c r="AG12" s="30"/>
      <c r="AH12" s="112"/>
      <c r="AI12" s="30"/>
    </row>
    <row r="13" spans="1:35" ht="30" customHeight="1" thickBot="1" x14ac:dyDescent="0.35">
      <c r="A13" s="112"/>
      <c r="B13" s="30"/>
      <c r="C13" s="30"/>
      <c r="D13" s="30"/>
      <c r="E13" s="30" t="str">
        <f>$C$25&amp;"11"</f>
        <v>1011</v>
      </c>
      <c r="F13" s="30"/>
      <c r="G13" s="197" t="str">
        <f>IF(VLOOKUP(E13,BDD!$A$2:$N$567,14,FALSE)=0,"",VLOOKUP(E13,BDD!$A$2:$N$567,14,FALSE))</f>
        <v>Perte de compétences rares ou essentielles due à une mauvaise maîtrise de la pyramide des âges.</v>
      </c>
      <c r="H13" s="34"/>
      <c r="I13" s="32"/>
      <c r="K13" s="52"/>
      <c r="L13" s="550"/>
      <c r="M13" s="419" t="str">
        <f>IF(LEFT(RIGHT($B$1,2),1)=" ",RIGHT($B$1,1),RIGHT($B$1,2))&amp;6</f>
        <v>106</v>
      </c>
      <c r="N13" s="424" t="str">
        <f>RIGHT(M13,1)&amp;" : "&amp;VLOOKUP($M13&amp;"1",BDD!$A$2:$N$567,6,FALSE)</f>
        <v>6 : Développement des compétences</v>
      </c>
      <c r="O13" s="425" t="str">
        <f>IF(VLOOKUP($M13&amp;RIGHT(O$7,1),BDD!$A$1:$S$600,15,FALSE)=4,"NE",IF(VLOOKUP($M13&amp;RIGHT(O$7,1),BDD!$A$1:$S$600,15,FALSE)=0,"NE",VLOOKUP($M13&amp;RIGHT(O$7,1),BDD!$A$1:$S$600,15,FALSE)))</f>
        <v>NE</v>
      </c>
      <c r="P13" s="425" t="str">
        <f>IF(VLOOKUP($M13&amp;RIGHT(P$7,1),BDD!$A$1:$S$600,15,FALSE)=4,"NE",IF(VLOOKUP($M13&amp;RIGHT(P$7,1),BDD!$A$1:$S$600,15,FALSE)=0,"NE",VLOOKUP($M13&amp;RIGHT(P$7,1),BDD!$A$1:$S$600,15,FALSE)))</f>
        <v>NE</v>
      </c>
      <c r="Q13" s="425" t="str">
        <f>IF(VLOOKUP($M13&amp;RIGHT(Q$7,1),BDD!$A$1:$S$600,15,FALSE)=4,"NE",IF(VLOOKUP($M13&amp;RIGHT(Q$7,1),BDD!$A$1:$S$600,15,FALSE)=0,"NE",VLOOKUP($M13&amp;RIGHT(Q$7,1),BDD!$A$1:$S$600,15,FALSE)))</f>
        <v>NE</v>
      </c>
      <c r="R13" s="425" t="str">
        <f>IF(VLOOKUP($M13&amp;RIGHT(R$7,1),BDD!$A$1:$S$600,15,FALSE)=4,"NE",IF(VLOOKUP($M13&amp;RIGHT(R$7,1),BDD!$A$1:$S$600,15,FALSE)=0,"NE",VLOOKUP($M13&amp;RIGHT(R$7,1),BDD!$A$1:$S$600,15,FALSE)))</f>
        <v>NE</v>
      </c>
      <c r="S13" s="425" t="str">
        <f>IF(VLOOKUP($M13&amp;RIGHT(S$7,1),BDD!$A$1:$S$600,15,FALSE)=4,"NE",IF(VLOOKUP($M13&amp;RIGHT(S$7,1),BDD!$A$1:$S$600,15,FALSE)=0,"NE",VLOOKUP($M13&amp;RIGHT(S$7,1),BDD!$A$1:$S$600,15,FALSE)))</f>
        <v>NE</v>
      </c>
      <c r="T13" s="425" t="str">
        <f>IF(VLOOKUP($M13&amp;RIGHT(T$7,1),BDD!$A$1:$S$600,15,FALSE)=4,"NE",IF(VLOOKUP($M13&amp;RIGHT(T$7,1),BDD!$A$1:$S$600,15,FALSE)=0,"NE",VLOOKUP($M13&amp;RIGHT(T$7,1),BDD!$A$1:$S$600,15,FALSE)))</f>
        <v>NE</v>
      </c>
      <c r="U13" s="427"/>
      <c r="V13" s="545"/>
      <c r="W13" s="447" t="s">
        <v>16</v>
      </c>
      <c r="X13" s="448"/>
      <c r="Y13" s="548"/>
      <c r="Z13" s="472">
        <f>O56</f>
        <v>0</v>
      </c>
      <c r="AA13" s="473">
        <f>P56</f>
        <v>0</v>
      </c>
      <c r="AB13" s="547"/>
      <c r="AC13" s="40"/>
      <c r="AD13" s="30"/>
      <c r="AE13" s="55"/>
      <c r="AF13" s="56"/>
      <c r="AG13" s="40"/>
      <c r="AH13" s="120"/>
      <c r="AI13" s="30"/>
    </row>
    <row r="14" spans="1:35" ht="30" customHeight="1" x14ac:dyDescent="0.3">
      <c r="A14" s="112"/>
      <c r="B14" s="30"/>
      <c r="C14" s="30"/>
      <c r="D14" s="30"/>
      <c r="E14" s="30" t="str">
        <f>$C$25&amp;"12"</f>
        <v>1012</v>
      </c>
      <c r="F14" s="30"/>
      <c r="G14" s="197" t="str">
        <f>IF(VLOOKUP(E14,BDD!$A$2:$N$567,14,FALSE)=0,"",VLOOKUP(E14,BDD!$A$2:$N$567,14,FALSE))</f>
        <v>Turnover non maîtrisé.</v>
      </c>
      <c r="H14" s="57"/>
      <c r="I14" s="32"/>
      <c r="K14" s="34"/>
      <c r="L14" s="552"/>
      <c r="M14" s="553"/>
      <c r="N14" s="554"/>
      <c r="O14" s="554"/>
      <c r="P14" s="554"/>
      <c r="Q14" s="554"/>
      <c r="R14" s="554"/>
      <c r="S14" s="554"/>
      <c r="T14" s="554"/>
      <c r="U14" s="554"/>
      <c r="V14" s="554"/>
      <c r="W14" s="555"/>
      <c r="X14" s="556"/>
      <c r="Y14" s="556"/>
      <c r="Z14" s="556"/>
      <c r="AA14" s="556"/>
      <c r="AB14" s="557"/>
      <c r="AC14" s="40"/>
      <c r="AD14" s="56"/>
      <c r="AE14" s="56"/>
      <c r="AF14" s="30"/>
      <c r="AG14" s="30"/>
      <c r="AH14" s="112"/>
      <c r="AI14" s="30"/>
    </row>
    <row r="15" spans="1:35" ht="30" customHeight="1" thickBot="1" x14ac:dyDescent="0.35">
      <c r="A15" s="112"/>
      <c r="B15" s="30"/>
      <c r="C15" s="30"/>
      <c r="D15" s="30"/>
      <c r="E15" s="30" t="str">
        <f>$C$25&amp;"13"</f>
        <v>1013</v>
      </c>
      <c r="F15" s="30"/>
      <c r="G15" s="197" t="str">
        <f>IF(VLOOKUP(E15,BDD!$A$2:$N$567,14,FALSE)=0,"",VLOOKUP(E15,BDD!$A$2:$N$567,14,FALSE))</f>
        <v>Perte d’attractivité entraînant des difficultés de recrutement et un déficit de compétences.</v>
      </c>
      <c r="H15" s="58"/>
      <c r="I15" s="32"/>
      <c r="K15" s="58"/>
      <c r="L15" s="558"/>
      <c r="M15" s="553"/>
      <c r="N15" s="559" t="str">
        <f>"Evaluation globale du vecteur "&amp;RIGHT(B1,2)</f>
        <v>Evaluation globale du vecteur 10</v>
      </c>
      <c r="O15" s="560"/>
      <c r="P15" s="560"/>
      <c r="Q15" s="560"/>
      <c r="R15" s="560"/>
      <c r="S15" s="560"/>
      <c r="T15" s="560"/>
      <c r="U15" s="560"/>
      <c r="V15" s="560"/>
      <c r="W15" s="561"/>
      <c r="X15" s="556"/>
      <c r="Y15" s="548"/>
      <c r="Z15" s="562" t="s">
        <v>642</v>
      </c>
      <c r="AA15" s="562" t="s">
        <v>643</v>
      </c>
      <c r="AB15" s="557"/>
      <c r="AC15" s="55"/>
      <c r="AD15" s="30"/>
      <c r="AE15" s="30"/>
      <c r="AF15" s="30"/>
      <c r="AG15" s="30"/>
      <c r="AH15" s="112"/>
      <c r="AI15" s="30"/>
    </row>
    <row r="16" spans="1:35" ht="30" customHeight="1" thickBot="1" x14ac:dyDescent="0.35">
      <c r="A16" s="112"/>
      <c r="B16" s="30"/>
      <c r="C16" s="30"/>
      <c r="D16" s="30"/>
      <c r="E16" s="30" t="str">
        <f>$C$25&amp;"14"</f>
        <v>1014</v>
      </c>
      <c r="F16" s="30"/>
      <c r="G16" s="197" t="str">
        <f>IF(VLOOKUP(E16,BDD!$A$2:$N$567,14,FALSE)=0,"",VLOOKUP(E16,BDD!$A$2:$N$567,14,FALSE))</f>
        <v/>
      </c>
      <c r="H16" s="58"/>
      <c r="I16" s="32"/>
      <c r="K16" s="32"/>
      <c r="L16" s="551"/>
      <c r="M16" s="553"/>
      <c r="N16" s="451"/>
      <c r="O16" s="560"/>
      <c r="P16" s="560"/>
      <c r="Q16" s="560"/>
      <c r="R16" s="560"/>
      <c r="S16" s="560"/>
      <c r="T16" s="560"/>
      <c r="U16" s="560"/>
      <c r="V16" s="560"/>
      <c r="W16" s="449" t="s">
        <v>16</v>
      </c>
      <c r="X16" s="450"/>
      <c r="Y16" s="556"/>
      <c r="Z16" s="530">
        <f>O22</f>
        <v>0</v>
      </c>
      <c r="AA16" s="531">
        <f>SUM($W$26:$W$65)</f>
        <v>0</v>
      </c>
      <c r="AB16" s="557"/>
      <c r="AC16" s="30"/>
      <c r="AD16" s="30"/>
      <c r="AE16" s="30"/>
      <c r="AF16" s="30"/>
      <c r="AG16" s="30"/>
      <c r="AH16" s="112"/>
      <c r="AI16" s="30"/>
    </row>
    <row r="17" spans="1:35" ht="41.4" customHeight="1" thickBot="1" x14ac:dyDescent="0.35">
      <c r="A17" s="112"/>
      <c r="B17" s="30"/>
      <c r="C17" s="30"/>
      <c r="D17" s="30"/>
      <c r="E17" s="30" t="str">
        <f>$C$25&amp;"15"</f>
        <v>1015</v>
      </c>
      <c r="F17" s="30"/>
      <c r="G17" s="197" t="str">
        <f>IF(VLOOKUP(E17,BDD!$A$2:$N$567,14,FALSE)=0,"",VLOOKUP(E17,BDD!$A$2:$N$567,14,FALSE))</f>
        <v/>
      </c>
      <c r="H17" s="58"/>
      <c r="I17" s="32"/>
      <c r="K17" s="58"/>
      <c r="L17" s="563"/>
      <c r="M17" s="564"/>
      <c r="N17" s="565"/>
      <c r="O17" s="565"/>
      <c r="P17" s="565"/>
      <c r="Q17" s="565"/>
      <c r="R17" s="565"/>
      <c r="S17" s="565"/>
      <c r="T17" s="565"/>
      <c r="U17" s="565"/>
      <c r="V17" s="565"/>
      <c r="W17" s="566"/>
      <c r="X17" s="565"/>
      <c r="Y17" s="565"/>
      <c r="Z17" s="565"/>
      <c r="AA17" s="565"/>
      <c r="AB17" s="567"/>
      <c r="AC17" s="30"/>
      <c r="AD17" s="30"/>
      <c r="AE17" s="30"/>
      <c r="AF17" s="30"/>
      <c r="AG17" s="30"/>
      <c r="AH17" s="112"/>
      <c r="AI17" s="30"/>
    </row>
    <row r="18" spans="1:35" ht="63.6" customHeight="1" x14ac:dyDescent="0.3">
      <c r="A18" s="112"/>
      <c r="B18" s="30"/>
      <c r="C18" s="30"/>
      <c r="D18" s="30"/>
      <c r="E18" s="30" t="str">
        <f>$C$25&amp;"16"</f>
        <v>1016</v>
      </c>
      <c r="F18" s="30"/>
      <c r="G18" s="197" t="str">
        <f>IF(VLOOKUP(E18,BDD!$A$2:$N$567,14,FALSE)=0,"",VLOOKUP(E18,BDD!$A$2:$N$567,14,FALSE))</f>
        <v/>
      </c>
      <c r="H18" s="58"/>
      <c r="I18" s="32"/>
      <c r="L18" s="573"/>
      <c r="M18" s="573"/>
      <c r="N18" s="573"/>
      <c r="O18" s="573"/>
      <c r="P18" s="573"/>
      <c r="Q18" s="573"/>
      <c r="R18" s="573"/>
      <c r="S18" s="573"/>
      <c r="T18" s="573"/>
      <c r="U18" s="573"/>
      <c r="V18" s="573"/>
      <c r="W18" s="573"/>
      <c r="X18" s="573"/>
      <c r="Y18" s="573"/>
      <c r="Z18" s="573"/>
      <c r="AA18" s="573"/>
      <c r="AB18" s="573"/>
      <c r="AC18" s="30"/>
      <c r="AD18" s="30"/>
      <c r="AE18" s="30"/>
      <c r="AF18" s="30"/>
      <c r="AG18" s="30"/>
      <c r="AH18" s="112"/>
      <c r="AI18" s="30"/>
    </row>
    <row r="19" spans="1:35" ht="63.6" hidden="1" customHeight="1" x14ac:dyDescent="0.3">
      <c r="A19" s="112"/>
      <c r="B19" s="30"/>
      <c r="C19" s="30"/>
      <c r="D19" s="30"/>
      <c r="E19" s="30" t="str">
        <f>$C$25&amp;"17"</f>
        <v>1017</v>
      </c>
      <c r="F19" s="30"/>
      <c r="G19" s="197" t="str">
        <f>IF(VLOOKUP(E19,BDD!$A$2:$N$567,14,FALSE)=0,"",VLOOKUP(E19,BDD!$A$2:$N$567,14,FALSE))</f>
        <v/>
      </c>
      <c r="H19" s="58"/>
      <c r="I19" s="32"/>
      <c r="AC19" s="30"/>
      <c r="AD19" s="30"/>
      <c r="AE19" s="30"/>
      <c r="AF19" s="30"/>
      <c r="AG19" s="30"/>
      <c r="AH19" s="112"/>
      <c r="AI19" s="30"/>
    </row>
    <row r="20" spans="1:35" ht="30" customHeight="1" x14ac:dyDescent="0.3">
      <c r="A20" s="112"/>
      <c r="B20" s="30"/>
      <c r="C20" s="30"/>
      <c r="D20" s="30"/>
      <c r="E20" s="30"/>
      <c r="F20" s="30"/>
      <c r="G20" s="197"/>
      <c r="H20" s="58"/>
      <c r="I20" s="32"/>
      <c r="K20" s="58"/>
      <c r="L20" s="58"/>
      <c r="M20" s="32"/>
      <c r="N20" s="215" t="s">
        <v>855</v>
      </c>
      <c r="O20" s="641">
        <f>COUNTIF(N27:N100,"Non renseigné")</f>
        <v>27</v>
      </c>
      <c r="P20" s="642"/>
      <c r="Q20" s="642"/>
      <c r="R20" s="643"/>
      <c r="S20" s="30"/>
      <c r="T20" s="30"/>
      <c r="U20" s="30"/>
      <c r="V20" s="30"/>
      <c r="W20" s="30"/>
      <c r="X20" s="30"/>
      <c r="Y20" s="30"/>
      <c r="Z20" s="30"/>
      <c r="AA20" s="30"/>
      <c r="AB20" s="30"/>
      <c r="AC20" s="30"/>
      <c r="AD20" s="30"/>
      <c r="AE20" s="30"/>
      <c r="AF20" s="30"/>
      <c r="AG20" s="30"/>
      <c r="AH20" s="112"/>
      <c r="AI20" s="30"/>
    </row>
    <row r="21" spans="1:35" ht="30" customHeight="1" x14ac:dyDescent="0.3">
      <c r="A21" s="112"/>
      <c r="B21" s="30"/>
      <c r="C21" s="30"/>
      <c r="D21" s="30"/>
      <c r="E21" s="30" t="str">
        <f>RIGHT($B$1,1)&amp;"17"</f>
        <v>017</v>
      </c>
      <c r="F21" s="30"/>
      <c r="G21" s="197"/>
      <c r="H21" s="58"/>
      <c r="I21" s="58"/>
      <c r="K21" s="58"/>
      <c r="L21" s="58"/>
      <c r="M21" s="32"/>
      <c r="N21" s="215" t="s">
        <v>853</v>
      </c>
      <c r="O21" s="648">
        <f>COUNTIF($N$27:$N$90,"Non évalué")</f>
        <v>0</v>
      </c>
      <c r="P21" s="649"/>
      <c r="Q21" s="649"/>
      <c r="R21" s="650"/>
      <c r="S21" s="30"/>
      <c r="T21" s="30"/>
      <c r="U21" s="30"/>
      <c r="V21" s="30"/>
      <c r="W21" s="30"/>
      <c r="X21" s="30"/>
      <c r="Y21" s="30"/>
      <c r="Z21" s="30"/>
      <c r="AA21" s="30"/>
      <c r="AB21" s="30"/>
      <c r="AC21" s="30"/>
      <c r="AD21" s="30"/>
      <c r="AE21" s="30"/>
      <c r="AF21" s="30"/>
      <c r="AG21" s="30"/>
      <c r="AH21" s="112"/>
      <c r="AI21" s="30"/>
    </row>
    <row r="22" spans="1:35" ht="50.4" customHeight="1" x14ac:dyDescent="0.3">
      <c r="A22" s="112"/>
      <c r="B22" s="30"/>
      <c r="C22" s="30"/>
      <c r="D22" s="30"/>
      <c r="E22" s="30"/>
      <c r="F22" s="30"/>
      <c r="G22" s="197"/>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112"/>
      <c r="AI22" s="30"/>
    </row>
    <row r="23" spans="1:35" ht="30" customHeight="1" x14ac:dyDescent="0.3">
      <c r="A23" s="112"/>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112"/>
      <c r="AI23" s="30"/>
    </row>
    <row r="24" spans="1:35" ht="39.6" customHeight="1" x14ac:dyDescent="0.3">
      <c r="A24" s="112"/>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112"/>
      <c r="AI24" s="30"/>
    </row>
    <row r="25" spans="1:35" ht="30" customHeight="1" x14ac:dyDescent="0.3">
      <c r="A25" s="112"/>
      <c r="B25" s="30"/>
      <c r="C25" s="30" t="str">
        <f>IF(LEFT(RIGHT($B$1,2),1)=" ",RIGHT($B$1,1),RIGHT($B$1,2))</f>
        <v>10</v>
      </c>
      <c r="D25" s="32">
        <f>IF(LEFT(F25,5)="Bonne",B23+1,D24)</f>
        <v>1</v>
      </c>
      <c r="E25" s="32"/>
      <c r="F25" s="191" t="s">
        <v>499</v>
      </c>
      <c r="G25" s="192" t="str">
        <f>VLOOKUP(E27,BDD!$A$2:$N$567,6,FALSE)</f>
        <v>Plan RH cohérent avec la stratégie numérique</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112"/>
      <c r="AI25" s="30"/>
    </row>
    <row r="26" spans="1:35" ht="30" customHeight="1" x14ac:dyDescent="0.3">
      <c r="A26" s="112"/>
      <c r="B26" s="30"/>
      <c r="C26" s="30" t="str">
        <f t="shared" ref="C26:C63" si="0">IF(LEFT(RIGHT($B$1,2),1)=" ",RIGHT($B$1,1),RIGHT($B$1,2))</f>
        <v>10</v>
      </c>
      <c r="D26" s="32">
        <f>IF(LEFT(F26,5)="Bonne",D24+1,D25)</f>
        <v>1</v>
      </c>
      <c r="F26" s="211" t="s">
        <v>550</v>
      </c>
      <c r="G26" s="193" t="str">
        <f>VLOOKUP(E28,BDD!$A$2:$N$567,7,FALSE)</f>
        <v>La gestion des ressources humaines du numérique permet de garantir le fonctionnement des systèmes actuels et d’anticiper les besoins futurs de l’organisation.</v>
      </c>
      <c r="H26" s="139"/>
      <c r="I26" s="139"/>
      <c r="J26" s="139"/>
      <c r="K26" s="139"/>
      <c r="L26" s="140"/>
      <c r="M26" s="141"/>
      <c r="N26" s="14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112"/>
      <c r="AI26" s="30"/>
    </row>
    <row r="27" spans="1:35" ht="30" customHeight="1" x14ac:dyDescent="0.3">
      <c r="A27" s="112"/>
      <c r="B27" s="30"/>
      <c r="C27" s="30" t="str">
        <f t="shared" si="0"/>
        <v>10</v>
      </c>
      <c r="D27" s="32">
        <f>IF(LEFT(F27,5)="Bonne",D25+1,D26)</f>
        <v>1</v>
      </c>
      <c r="E27" s="32" t="str">
        <f>C27&amp;D27&amp;RIGHT(F27,1)</f>
        <v>1011</v>
      </c>
      <c r="F27" s="143" t="s">
        <v>27</v>
      </c>
      <c r="G27" s="144" t="str">
        <f>VLOOKUP(E27,BDD!$A$2:$N$567,MATCH(G$24,BDD!$A$1:$P$1,0),FALSE)</f>
        <v>Un plan RH de moyen terme de la DSI est formalisé, aligné sur le plan SI et en cohérence avec la stratégie et la politique RH de l’entreprise.</v>
      </c>
      <c r="H27" s="149" t="str">
        <f>IF(VLOOKUP($E27,BDD!$A$2:$N$567,MATCH($H$23,BDD!$A$1:$P$1,0),FALSE)=H$24,V10_RH!H$24,"")</f>
        <v/>
      </c>
      <c r="I27" s="150" t="str">
        <f>IF(VLOOKUP($E27,BDD!$A$2:$N$567,MATCH($H$23,BDD!$A$1:$P$1,0),FALSE)=I$24,V10_RH!I$24,"")</f>
        <v>N2</v>
      </c>
      <c r="J27" s="150" t="str">
        <f>IF(VLOOKUP($E27,BDD!$A$2:$N$567,MATCH($H$23,BDD!$A$1:$P$1,0),FALSE)=J$24,V10_RH!J$24,"")</f>
        <v/>
      </c>
      <c r="K27" s="150" t="str">
        <f>IF(VLOOKUP($E27,BDD!$A$2:$N$567,MATCH($H$23,BDD!$A$1:$P$1,0),FALSE)=K$24,V10_RH!K$24,"")</f>
        <v/>
      </c>
      <c r="L27" s="151" t="str">
        <f>IF(VLOOKUP($E27,BDD!$A$2:$N$567,MATCH($H$23,BDD!$A$1:$P$1,0),FALSE)=L$24,V10_RH!L$24,"")</f>
        <v/>
      </c>
      <c r="M27" s="63">
        <f t="shared" ref="M27:M32" si="1">IF(N27="Exigences partiellement respectées",1,IF(N27="Exigences respectées",2,0))</f>
        <v>0</v>
      </c>
      <c r="N27" s="144" t="str">
        <f>VLOOKUP(VLOOKUP(E27,BDD!$A$2:$P$428,15,FALSE),Suppl!$D$64:$E$68,2,FALSE)</f>
        <v>Non renseigné</v>
      </c>
      <c r="O27" s="653"/>
      <c r="P27" s="653"/>
      <c r="Q27" s="653"/>
      <c r="R27" s="653"/>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112"/>
      <c r="AI27" s="30"/>
    </row>
    <row r="28" spans="1:35" ht="55.2" x14ac:dyDescent="0.3">
      <c r="A28" s="112"/>
      <c r="B28" s="30"/>
      <c r="C28" s="30" t="str">
        <f t="shared" si="0"/>
        <v>10</v>
      </c>
      <c r="D28" s="32">
        <f t="shared" ref="D28:D32" si="2">IF(LEFT(F28,5)="Bonne",D26+1,D27)</f>
        <v>1</v>
      </c>
      <c r="E28" s="32" t="str">
        <f t="shared" ref="E28:E32" si="3">C28&amp;D28&amp;RIGHT(F28,1)</f>
        <v>1012</v>
      </c>
      <c r="F28" s="145" t="s">
        <v>28</v>
      </c>
      <c r="G28" s="146" t="str">
        <f>VLOOKUP(E28,BDD!$A$2:$N$567,MATCH(G$24,BDD!$A$1:$P$1,0),FALSE)</f>
        <v>Un plan de résorption des écarts entre les besoins et la situation actuelle est réalisé, formalisé et mis en œuvre (formation, recrutement, partenariats fournisseurs et startups). La synthèse en est présentée au comité de direction de la DSI et partagée avec la DRH.</v>
      </c>
      <c r="H28" s="149" t="str">
        <f>IF(VLOOKUP($E28,BDD!$A$2:$N$567,MATCH($H$23,BDD!$A$1:$P$1,0),FALSE)=H$24,V10_RH!H$24,"")</f>
        <v/>
      </c>
      <c r="I28" s="150" t="str">
        <f>IF(VLOOKUP($E28,BDD!$A$2:$N$567,MATCH($H$23,BDD!$A$1:$P$1,0),FALSE)=I$24,V10_RH!I$24,"")</f>
        <v/>
      </c>
      <c r="J28" s="150" t="str">
        <f>IF(VLOOKUP($E28,BDD!$A$2:$N$567,MATCH($H$23,BDD!$A$1:$P$1,0),FALSE)=J$24,V10_RH!J$24,"")</f>
        <v>N3</v>
      </c>
      <c r="K28" s="150" t="str">
        <f>IF(VLOOKUP($E28,BDD!$A$2:$N$567,MATCH($H$23,BDD!$A$1:$P$1,0),FALSE)=K$24,V10_RH!K$24,"")</f>
        <v/>
      </c>
      <c r="L28" s="151" t="str">
        <f>IF(VLOOKUP($E28,BDD!$A$2:$N$567,MATCH($H$23,BDD!$A$1:$P$1,0),FALSE)=L$24,V10_RH!L$24,"")</f>
        <v/>
      </c>
      <c r="M28" s="63">
        <f t="shared" si="1"/>
        <v>0</v>
      </c>
      <c r="N28" s="146" t="str">
        <f>VLOOKUP(VLOOKUP(E28,BDD!$A$2:$P$428,15,FALSE),Suppl!$D$64:$E$68,2,FALSE)</f>
        <v>Non renseigné</v>
      </c>
      <c r="O28" s="627"/>
      <c r="P28" s="627"/>
      <c r="Q28" s="627"/>
      <c r="R28" s="627"/>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112"/>
      <c r="AI28" s="30"/>
    </row>
    <row r="29" spans="1:35" ht="41.4" x14ac:dyDescent="0.3">
      <c r="A29" s="112"/>
      <c r="B29" s="30"/>
      <c r="C29" s="30" t="str">
        <f t="shared" si="0"/>
        <v>10</v>
      </c>
      <c r="D29" s="32">
        <f>IF(LEFT(F29,5)="Bonne",D27+1,D28)</f>
        <v>1</v>
      </c>
      <c r="E29" s="32" t="str">
        <f t="shared" si="3"/>
        <v>1013</v>
      </c>
      <c r="F29" s="143" t="s">
        <v>30</v>
      </c>
      <c r="G29" s="144" t="str">
        <f>VLOOKUP(E29,BDD!$A$2:$N$567,MATCH(G$24,BDD!$A$1:$P$1,0),FALSE)</f>
        <v>Des bilans évaluent régulièrement l’adéquation entre les ressources SI allouées et les besoins identifiés, et des mesures correctives de la trajectoire sont élaborées par la DSI aidée de la DRH.</v>
      </c>
      <c r="H29" s="149" t="str">
        <f>IF(VLOOKUP($E29,BDD!$A$2:$N$567,MATCH($H$23,BDD!$A$1:$P$1,0),FALSE)=H$24,V10_RH!H$24,"")</f>
        <v/>
      </c>
      <c r="I29" s="150" t="str">
        <f>IF(VLOOKUP($E29,BDD!$A$2:$N$567,MATCH($H$23,BDD!$A$1:$P$1,0),FALSE)=I$24,V10_RH!I$24,"")</f>
        <v/>
      </c>
      <c r="J29" s="150" t="str">
        <f>IF(VLOOKUP($E29,BDD!$A$2:$N$567,MATCH($H$23,BDD!$A$1:$P$1,0),FALSE)=J$24,V10_RH!J$24,"")</f>
        <v>N3</v>
      </c>
      <c r="K29" s="150" t="str">
        <f>IF(VLOOKUP($E29,BDD!$A$2:$N$567,MATCH($H$23,BDD!$A$1:$P$1,0),FALSE)=K$24,V10_RH!K$24,"")</f>
        <v/>
      </c>
      <c r="L29" s="151" t="str">
        <f>IF(VLOOKUP($E29,BDD!$A$2:$N$567,MATCH($H$23,BDD!$A$1:$P$1,0),FALSE)=L$24,V10_RH!L$24,"")</f>
        <v/>
      </c>
      <c r="M29" s="63">
        <f t="shared" si="1"/>
        <v>0</v>
      </c>
      <c r="N29" s="144" t="str">
        <f>VLOOKUP(VLOOKUP(E29,BDD!$A$2:$P$428,15,FALSE),Suppl!$D$64:$E$68,2,FALSE)</f>
        <v>Non renseigné</v>
      </c>
      <c r="O29" s="627"/>
      <c r="P29" s="627"/>
      <c r="Q29" s="627"/>
      <c r="R29" s="627"/>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112"/>
      <c r="AI29" s="30"/>
    </row>
    <row r="30" spans="1:35" ht="41.4" x14ac:dyDescent="0.3">
      <c r="A30" s="112"/>
      <c r="B30" s="30"/>
      <c r="C30" s="30" t="str">
        <f t="shared" si="0"/>
        <v>10</v>
      </c>
      <c r="D30" s="32">
        <f t="shared" si="2"/>
        <v>1</v>
      </c>
      <c r="E30" s="32" t="str">
        <f t="shared" si="3"/>
        <v>1014</v>
      </c>
      <c r="F30" s="145" t="s">
        <v>32</v>
      </c>
      <c r="G30" s="146" t="str">
        <f>VLOOKUP(E30,BDD!$A$2:$N$567,MATCH(G$24,BDD!$A$1:$P$1,0),FALSE)</f>
        <v>En liaison avec sa démarche d’innovation et en anticipation des besoins futurs de l'organisation, la DSI réalise une veille sur les moyens d'acquérir les compétences requises.</v>
      </c>
      <c r="H30" s="149" t="str">
        <f>IF(VLOOKUP($E30,BDD!$A$2:$N$567,MATCH($H$23,BDD!$A$1:$P$1,0),FALSE)=H$24,V10_RH!H$24,"")</f>
        <v/>
      </c>
      <c r="I30" s="150" t="str">
        <f>IF(VLOOKUP($E30,BDD!$A$2:$N$567,MATCH($H$23,BDD!$A$1:$P$1,0),FALSE)=I$24,V10_RH!I$24,"")</f>
        <v/>
      </c>
      <c r="J30" s="150" t="str">
        <f>IF(VLOOKUP($E30,BDD!$A$2:$N$567,MATCH($H$23,BDD!$A$1:$P$1,0),FALSE)=J$24,V10_RH!J$24,"")</f>
        <v>N3</v>
      </c>
      <c r="K30" s="150" t="str">
        <f>IF(VLOOKUP($E30,BDD!$A$2:$N$567,MATCH($H$23,BDD!$A$1:$P$1,0),FALSE)=K$24,V10_RH!K$24,"")</f>
        <v/>
      </c>
      <c r="L30" s="151" t="str">
        <f>IF(VLOOKUP($E30,BDD!$A$2:$N$567,MATCH($H$23,BDD!$A$1:$P$1,0),FALSE)=L$24,V10_RH!L$24,"")</f>
        <v/>
      </c>
      <c r="M30" s="63">
        <f t="shared" si="1"/>
        <v>0</v>
      </c>
      <c r="N30" s="146" t="str">
        <f>VLOOKUP(VLOOKUP(E30,BDD!$A$2:$P$428,15,FALSE),Suppl!$D$64:$E$68,2,FALSE)</f>
        <v>Non renseigné</v>
      </c>
      <c r="O30" s="627"/>
      <c r="P30" s="627"/>
      <c r="Q30" s="627"/>
      <c r="R30" s="627"/>
      <c r="S30" s="627">
        <f>IF(N30=Suppl!$E$65,0,IF(N30=Suppl!$E$66,1/2/(COUNTIFS($D:$D,D30,$N:$N,"Exigences"&amp;"*",G:G,"&lt;&gt;0")+COUNTIFS($D:$D,D30,$N:$N,"Non"&amp;"*",G:G,"&lt;&gt;0")),IF(N30=Suppl!$E$67,1/(COUNTIFS($D:$D,D30,$N:$N,"Exigences"&amp;"*",G:G,"&lt;&gt;0")+COUNTIFS($D:$D,D30,$N:$N,"Non"&amp;"*",G:G,"&lt;&gt;0")),0)))</f>
        <v>0</v>
      </c>
      <c r="T30" s="627"/>
      <c r="U30" s="627"/>
      <c r="V30" s="628"/>
      <c r="W30" s="356">
        <f>IFERROR(IF(N30=Suppl!$E$65,0,IF(N30=Suppl!$E$66,1/2/(COUNTIFS($N:$N,"Exigences"&amp;"*")+COUNTIFS($N:$N,"Non"&amp;"*")),IF(N30=Suppl!$E$67,1/(COUNTIFS($N:$N,"Exigences"&amp;"*")+COUNTIFS($N:$N,"Non"&amp;"*")),0))),0)</f>
        <v>0</v>
      </c>
      <c r="X30" s="30" t="s">
        <v>164</v>
      </c>
      <c r="Y30" s="30"/>
      <c r="Z30" s="30"/>
      <c r="AA30" s="30"/>
      <c r="AB30" s="30"/>
      <c r="AC30" s="30"/>
      <c r="AD30" s="30"/>
      <c r="AE30" s="30"/>
      <c r="AF30" s="30"/>
      <c r="AG30" s="30"/>
      <c r="AH30" s="112"/>
      <c r="AI30" s="30"/>
    </row>
    <row r="31" spans="1:35" ht="30" customHeight="1" x14ac:dyDescent="0.3">
      <c r="A31" s="112"/>
      <c r="B31" s="30"/>
      <c r="C31" s="30" t="str">
        <f t="shared" si="0"/>
        <v>10</v>
      </c>
      <c r="D31" s="32">
        <f t="shared" si="2"/>
        <v>1</v>
      </c>
      <c r="E31" s="32" t="str">
        <f t="shared" si="3"/>
        <v>1015</v>
      </c>
      <c r="F31" s="143" t="s">
        <v>33</v>
      </c>
      <c r="G31" s="144" t="str">
        <f>VLOOKUP(E31,BDD!$A$2:$N$567,MATCH(G$24,BDD!$A$1:$P$1,0),FALSE)</f>
        <v>La gestion RH de la DSI est alignée avec la politique RH ainsi qu'avec la stratégie RSE de l'organisation (féminisation, inclusion et diversité, etc.).</v>
      </c>
      <c r="H31" s="149" t="str">
        <f>IF(VLOOKUP($E31,BDD!$A$2:$N$567,MATCH($H$23,BDD!$A$1:$P$1,0),FALSE)=H$24,V10_RH!H$24,"")</f>
        <v>N1</v>
      </c>
      <c r="I31" s="150" t="str">
        <f>IF(VLOOKUP($E31,BDD!$A$2:$N$567,MATCH($H$23,BDD!$A$1:$P$1,0),FALSE)=I$24,V10_RH!I$24,"")</f>
        <v/>
      </c>
      <c r="J31" s="150" t="str">
        <f>IF(VLOOKUP($E31,BDD!$A$2:$N$567,MATCH($H$23,BDD!$A$1:$P$1,0),FALSE)=J$24,V10_RH!J$24,"")</f>
        <v/>
      </c>
      <c r="K31" s="150" t="str">
        <f>IF(VLOOKUP($E31,BDD!$A$2:$N$567,MATCH($H$23,BDD!$A$1:$P$1,0),FALSE)=K$24,V10_RH!K$24,"")</f>
        <v/>
      </c>
      <c r="L31" s="151" t="str">
        <f>IF(VLOOKUP($E31,BDD!$A$2:$N$567,MATCH($H$23,BDD!$A$1:$P$1,0),FALSE)=L$24,V10_RH!L$24,"")</f>
        <v/>
      </c>
      <c r="M31" s="63">
        <f t="shared" si="1"/>
        <v>0</v>
      </c>
      <c r="N31" s="144" t="str">
        <f>VLOOKUP(VLOOKUP(E31,BDD!$A$2:$P$428,15,FALSE),Suppl!$D$64:$E$68,2,FALSE)</f>
        <v>Non renseigné</v>
      </c>
      <c r="O31" s="627"/>
      <c r="P31" s="627"/>
      <c r="Q31" s="627"/>
      <c r="R31" s="627"/>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112"/>
      <c r="AI31" s="30"/>
    </row>
    <row r="32" spans="1:35" ht="30" customHeight="1" x14ac:dyDescent="0.3">
      <c r="A32" s="112"/>
      <c r="B32" s="30"/>
      <c r="C32" s="30" t="str">
        <f t="shared" si="0"/>
        <v>10</v>
      </c>
      <c r="D32" s="32">
        <f t="shared" si="2"/>
        <v>1</v>
      </c>
      <c r="E32" s="32" t="str">
        <f t="shared" si="3"/>
        <v>1016</v>
      </c>
      <c r="F32" s="147" t="s">
        <v>34</v>
      </c>
      <c r="G32" s="148" t="str">
        <f>VLOOKUP(E32,BDD!$A$2:$N$567,MATCH(G$24,BDD!$A$1:$P$1,0),FALSE)</f>
        <v>Un plan de transfert des compétences rares ou en voie de disparition est formalisé.</v>
      </c>
      <c r="H32" s="149" t="str">
        <f>IF(VLOOKUP($E32,BDD!$A$2:$N$567,MATCH($H$23,BDD!$A$1:$P$1,0),FALSE)=H$24,V10_RH!H$24,"")</f>
        <v/>
      </c>
      <c r="I32" s="150" t="str">
        <f>IF(VLOOKUP($E32,BDD!$A$2:$N$567,MATCH($H$23,BDD!$A$1:$P$1,0),FALSE)=I$24,V10_RH!I$24,"")</f>
        <v/>
      </c>
      <c r="J32" s="150" t="str">
        <f>IF(VLOOKUP($E32,BDD!$A$2:$N$567,MATCH($H$23,BDD!$A$1:$P$1,0),FALSE)=J$24,V10_RH!J$24,"")</f>
        <v>N3</v>
      </c>
      <c r="K32" s="150" t="str">
        <f>IF(VLOOKUP($E32,BDD!$A$2:$N$567,MATCH($H$23,BDD!$A$1:$P$1,0),FALSE)=K$24,V10_RH!K$24,"")</f>
        <v/>
      </c>
      <c r="L32" s="151" t="str">
        <f>IF(VLOOKUP($E32,BDD!$A$2:$N$567,MATCH($H$23,BDD!$A$1:$P$1,0),FALSE)=L$24,V10_RH!L$24,"")</f>
        <v/>
      </c>
      <c r="M32" s="63">
        <f t="shared" si="1"/>
        <v>0</v>
      </c>
      <c r="N32" s="148" t="str">
        <f>VLOOKUP(VLOOKUP(E32,BDD!$A$2:$P$428,15,FALSE),Suppl!$D$64:$E$68,2,FALSE)</f>
        <v>Non renseigné</v>
      </c>
      <c r="O32" s="627"/>
      <c r="P32" s="627"/>
      <c r="Q32" s="627"/>
      <c r="R32" s="627"/>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112"/>
      <c r="AI32" s="30"/>
    </row>
    <row r="33" spans="1:35" ht="30" customHeight="1" x14ac:dyDescent="0.3">
      <c r="A33" s="112"/>
      <c r="B33" s="30"/>
      <c r="C33" s="30" t="str">
        <f t="shared" si="0"/>
        <v>10</v>
      </c>
      <c r="D33" s="32">
        <f t="shared" ref="D33:D63" si="4">IF(LEFT(F33,5)="Bonne",D31+1,D32)</f>
        <v>2</v>
      </c>
      <c r="E33" s="32" t="str">
        <f t="shared" ref="E33:E63" si="5">C33&amp;D33&amp;RIGHT(F33,1)</f>
        <v>1022</v>
      </c>
      <c r="F33" s="191" t="s">
        <v>500</v>
      </c>
      <c r="G33" s="192" t="str">
        <f>VLOOKUP(E35,BDD!$A$2:$N$567,6,FALSE)</f>
        <v>Référentiel</v>
      </c>
      <c r="H33" s="190" t="str">
        <f>VLOOKUP(E35,BDD!$A$2:$N$567,6,FALSE)</f>
        <v>Référentiel</v>
      </c>
      <c r="I33" s="135"/>
      <c r="J33" s="135"/>
      <c r="K33" s="135"/>
      <c r="L33" s="136"/>
      <c r="M33" s="137"/>
      <c r="N33" s="138"/>
      <c r="O33" s="630">
        <v>0</v>
      </c>
      <c r="P33" s="630"/>
      <c r="Q33" s="630"/>
      <c r="R33" s="630"/>
      <c r="S33" s="632">
        <f>SUMIFS(S:S,$D:$D,D33,$N:$N,"Exigences"&amp;"*")</f>
        <v>0</v>
      </c>
      <c r="T33" s="632"/>
      <c r="U33" s="632"/>
      <c r="V33" s="633"/>
      <c r="W33" s="356">
        <f>IFERROR(IF(N33=Suppl!$E$65,0,IF(N33=Suppl!$E$66,1/2/(COUNTIFS($N:$N,"Exigences"&amp;"*")+COUNTIFS($N:$N,"Non"&amp;"*")),IF(N33=Suppl!$E$67,1/(COUNTIFS($N:$N,"Exigences"&amp;"*")+COUNTIFS($N:$N,"Non"&amp;"*")),0))),0)</f>
        <v>0</v>
      </c>
      <c r="X33" s="30"/>
      <c r="Y33" s="30"/>
      <c r="Z33" s="30"/>
      <c r="AA33" s="30"/>
      <c r="AB33" s="30"/>
      <c r="AC33" s="30"/>
      <c r="AD33" s="30"/>
      <c r="AE33" s="30"/>
      <c r="AF33" s="30"/>
      <c r="AG33" s="30"/>
      <c r="AH33" s="112"/>
      <c r="AI33" s="30"/>
    </row>
    <row r="34" spans="1:35" ht="30" customHeight="1" x14ac:dyDescent="0.3">
      <c r="A34" s="112"/>
      <c r="B34" s="30"/>
      <c r="C34" s="30" t="str">
        <f t="shared" si="0"/>
        <v>10</v>
      </c>
      <c r="D34" s="32">
        <f t="shared" si="4"/>
        <v>2</v>
      </c>
      <c r="E34" s="32" t="str">
        <f t="shared" si="5"/>
        <v>1021</v>
      </c>
      <c r="F34" s="211" t="s">
        <v>550</v>
      </c>
      <c r="G34" s="193" t="str">
        <f>VLOOKUP(E36,BDD!$A$2:$N$567,7,FALSE)</f>
        <v>Un référentiel des compétences requises est formalisé.</v>
      </c>
      <c r="H34" s="139"/>
      <c r="I34" s="139"/>
      <c r="J34" s="139"/>
      <c r="K34" s="139"/>
      <c r="L34" s="140"/>
      <c r="M34" s="141"/>
      <c r="N34" s="142"/>
      <c r="O34" s="631"/>
      <c r="P34" s="631"/>
      <c r="Q34" s="631"/>
      <c r="R34" s="631"/>
      <c r="S34" s="634"/>
      <c r="T34" s="634"/>
      <c r="U34" s="634"/>
      <c r="V34" s="635"/>
      <c r="W34" s="356">
        <f>IFERROR(IF(N34=Suppl!$E$65,0,IF(N34=Suppl!$E$66,1/2/(COUNTIFS($N:$N,"Exigences"&amp;"*")+COUNTIFS($N:$N,"Non"&amp;"*")),IF(N34=Suppl!$E$67,1/(COUNTIFS($N:$N,"Exigences"&amp;"*")+COUNTIFS($N:$N,"Non"&amp;"*")),0))),0)</f>
        <v>0</v>
      </c>
      <c r="X34" s="30"/>
      <c r="Y34" s="30"/>
      <c r="Z34" s="30"/>
      <c r="AA34" s="30"/>
      <c r="AB34" s="30"/>
      <c r="AC34" s="30"/>
      <c r="AD34" s="30"/>
      <c r="AE34" s="30"/>
      <c r="AF34" s="30"/>
      <c r="AG34" s="30"/>
      <c r="AH34" s="112"/>
      <c r="AI34" s="30"/>
    </row>
    <row r="35" spans="1:35" ht="44.4" customHeight="1" x14ac:dyDescent="0.3">
      <c r="A35" s="112"/>
      <c r="B35" s="30"/>
      <c r="C35" s="30" t="str">
        <f t="shared" si="0"/>
        <v>10</v>
      </c>
      <c r="D35" s="32">
        <f t="shared" si="4"/>
        <v>2</v>
      </c>
      <c r="E35" s="32" t="str">
        <f t="shared" si="5"/>
        <v>1021</v>
      </c>
      <c r="F35" s="143" t="s">
        <v>27</v>
      </c>
      <c r="G35" s="144" t="str">
        <f>VLOOKUP(E35,BDD!$A$2:$N$567,MATCH(G$24,BDD!$A$1:$P$1,0),FALSE)</f>
        <v>Un référentiel répertoriant les profils métiers du numérique est établi en cohérence avec les référentiels de la profession et est partagé avec les parties prenantes. Il identifie et décrit des passerelles potentielles entre les catégories d’emplois.</v>
      </c>
      <c r="H35" s="149" t="str">
        <f>IF(VLOOKUP($E35,BDD!$A$2:$N$567,MATCH($H$23,BDD!$A$1:$P$1,0),FALSE)=H$24,V10_RH!H$24,"")</f>
        <v>N1</v>
      </c>
      <c r="I35" s="150" t="str">
        <f>IF(VLOOKUP($E35,BDD!$A$2:$N$567,MATCH($H$23,BDD!$A$1:$P$1,0),FALSE)=I$24,V10_RH!I$24,"")</f>
        <v/>
      </c>
      <c r="J35" s="150" t="str">
        <f>IF(VLOOKUP($E35,BDD!$A$2:$N$567,MATCH($H$23,BDD!$A$1:$P$1,0),FALSE)=J$24,V10_RH!J$24,"")</f>
        <v/>
      </c>
      <c r="K35" s="150" t="str">
        <f>IF(VLOOKUP($E35,BDD!$A$2:$N$567,MATCH($H$23,BDD!$A$1:$P$1,0),FALSE)=K$24,V10_RH!K$24,"")</f>
        <v/>
      </c>
      <c r="L35" s="151" t="str">
        <f>IF(VLOOKUP($E35,BDD!$A$2:$N$567,MATCH($H$23,BDD!$A$1:$P$1,0),FALSE)=L$24,V10_RH!L$24,"")</f>
        <v/>
      </c>
      <c r="M35" s="63">
        <f>IF(N35="Exigences partiellement respectées",1,IF(N35="Exigences respectées",2,0))</f>
        <v>0</v>
      </c>
      <c r="N35" s="144" t="str">
        <f>VLOOKUP(VLOOKUP(E35,BDD!$A$2:$P$428,15,FALSE),Suppl!$D$64:$E$68,2,FALSE)</f>
        <v>Non renseigné</v>
      </c>
      <c r="O35" s="653"/>
      <c r="P35" s="653"/>
      <c r="Q35" s="653"/>
      <c r="R35" s="653"/>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112"/>
      <c r="AI35" s="30"/>
    </row>
    <row r="36" spans="1:35" ht="30" customHeight="1" x14ac:dyDescent="0.3">
      <c r="A36" s="112"/>
      <c r="B36" s="30"/>
      <c r="C36" s="30" t="str">
        <f t="shared" si="0"/>
        <v>10</v>
      </c>
      <c r="D36" s="32">
        <f t="shared" si="4"/>
        <v>2</v>
      </c>
      <c r="E36" s="32" t="str">
        <f t="shared" si="5"/>
        <v>1022</v>
      </c>
      <c r="F36" s="145" t="s">
        <v>28</v>
      </c>
      <c r="G36" s="146" t="str">
        <f>VLOOKUP(E36,BDD!$A$2:$N$567,MATCH(G$24,BDD!$A$1:$P$1,0),FALSE)</f>
        <v>Des fiches de postes rattachées aux emplois du référentiel sont formalisées..</v>
      </c>
      <c r="H36" s="149" t="str">
        <f>IF(VLOOKUP($E36,BDD!$A$2:$N$567,MATCH($H$23,BDD!$A$1:$P$1,0),FALSE)=H$24,V10_RH!H$24,"")</f>
        <v>N1</v>
      </c>
      <c r="I36" s="150" t="str">
        <f>IF(VLOOKUP($E36,BDD!$A$2:$N$567,MATCH($H$23,BDD!$A$1:$P$1,0),FALSE)=I$24,V10_RH!I$24,"")</f>
        <v/>
      </c>
      <c r="J36" s="150" t="str">
        <f>IF(VLOOKUP($E36,BDD!$A$2:$N$567,MATCH($H$23,BDD!$A$1:$P$1,0),FALSE)=J$24,V10_RH!J$24,"")</f>
        <v/>
      </c>
      <c r="K36" s="150" t="str">
        <f>IF(VLOOKUP($E36,BDD!$A$2:$N$567,MATCH($H$23,BDD!$A$1:$P$1,0),FALSE)=K$24,V10_RH!K$24,"")</f>
        <v/>
      </c>
      <c r="L36" s="151" t="str">
        <f>IF(VLOOKUP($E36,BDD!$A$2:$N$567,MATCH($H$23,BDD!$A$1:$P$1,0),FALSE)=L$24,V10_RH!L$24,"")</f>
        <v/>
      </c>
      <c r="M36" s="63">
        <f t="shared" ref="M36:M37" si="6">IF(N36="Exigences partiellement respectées",1,IF(N36="Exigences respectées",2,0))</f>
        <v>0</v>
      </c>
      <c r="N36" s="146" t="str">
        <f>VLOOKUP(VLOOKUP(E36,BDD!$A$2:$P$428,15,FALSE),Suppl!$D$64:$E$68,2,FALSE)</f>
        <v>Non renseigné</v>
      </c>
      <c r="O36" s="627"/>
      <c r="P36" s="627"/>
      <c r="Q36" s="627"/>
      <c r="R36" s="627"/>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112"/>
      <c r="AI36" s="30"/>
    </row>
    <row r="37" spans="1:35" ht="30" customHeight="1" x14ac:dyDescent="0.3">
      <c r="A37" s="112"/>
      <c r="B37" s="30"/>
      <c r="C37" s="30" t="str">
        <f t="shared" si="0"/>
        <v>10</v>
      </c>
      <c r="D37" s="32">
        <f t="shared" si="4"/>
        <v>2</v>
      </c>
      <c r="E37" s="32" t="str">
        <f t="shared" si="5"/>
        <v>1023</v>
      </c>
      <c r="F37" s="143" t="s">
        <v>30</v>
      </c>
      <c r="G37" s="144" t="str">
        <f>VLOOKUP(E37,BDD!$A$2:$N$567,MATCH(G$24,BDD!$A$1:$P$1,0),FALSE)</f>
        <v>Il existe une cartographie des métiers SI et numériques qui répertorie les compétences nécessaires et identifie les postes critiques ou clés .</v>
      </c>
      <c r="H37" s="149" t="str">
        <f>IF(VLOOKUP($E37,BDD!$A$2:$N$567,MATCH($H$23,BDD!$A$1:$P$1,0),FALSE)=H$24,V10_RH!H$24,"")</f>
        <v/>
      </c>
      <c r="I37" s="150" t="str">
        <f>IF(VLOOKUP($E37,BDD!$A$2:$N$567,MATCH($H$23,BDD!$A$1:$P$1,0),FALSE)=I$24,V10_RH!I$24,"")</f>
        <v/>
      </c>
      <c r="J37" s="150" t="str">
        <f>IF(VLOOKUP($E37,BDD!$A$2:$N$567,MATCH($H$23,BDD!$A$1:$P$1,0),FALSE)=J$24,V10_RH!J$24,"")</f>
        <v>N3</v>
      </c>
      <c r="K37" s="150" t="str">
        <f>IF(VLOOKUP($E37,BDD!$A$2:$N$567,MATCH($H$23,BDD!$A$1:$P$1,0),FALSE)=K$24,V10_RH!K$24,"")</f>
        <v/>
      </c>
      <c r="L37" s="151" t="str">
        <f>IF(VLOOKUP($E37,BDD!$A$2:$N$567,MATCH($H$23,BDD!$A$1:$P$1,0),FALSE)=L$24,V10_RH!L$24,"")</f>
        <v/>
      </c>
      <c r="M37" s="63">
        <f t="shared" si="6"/>
        <v>0</v>
      </c>
      <c r="N37" s="144" t="str">
        <f>VLOOKUP(VLOOKUP(E37,BDD!$A$2:$P$428,15,FALSE),Suppl!$D$64:$E$68,2,FALSE)</f>
        <v>Non renseigné</v>
      </c>
      <c r="O37" s="627"/>
      <c r="P37" s="627"/>
      <c r="Q37" s="627"/>
      <c r="R37" s="627"/>
      <c r="S37" s="627">
        <f>IF(N37=Suppl!$E$65,0,IF(N37=Suppl!$E$66,1/2/(COUNTIFS($D:$D,D37,$N:$N,"Exigences"&amp;"*",G:G,"&lt;&gt;0")+COUNTIFS($D:$D,D37,$N:$N,"Non"&amp;"*",G:G,"&lt;&gt;0")),IF(N37=Suppl!$E$67,1/(COUNTIFS($D:$D,D37,$N:$N,"Exigences"&amp;"*",G:G,"&lt;&gt;0")+COUNTIFS($D:$D,D37,$N:$N,"Non"&amp;"*",G:G,"&lt;&gt;0")),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112"/>
      <c r="AI37" s="30"/>
    </row>
    <row r="38" spans="1:35" ht="30" customHeight="1" x14ac:dyDescent="0.3">
      <c r="A38" s="112"/>
      <c r="B38" s="30"/>
      <c r="C38" s="30" t="str">
        <f t="shared" si="0"/>
        <v>10</v>
      </c>
      <c r="D38" s="32">
        <f t="shared" si="4"/>
        <v>3</v>
      </c>
      <c r="E38" s="32" t="str">
        <f t="shared" si="5"/>
        <v>1033</v>
      </c>
      <c r="F38" s="191" t="s">
        <v>501</v>
      </c>
      <c r="G38" s="192" t="str">
        <f>VLOOKUP(E40,BDD!$A$2:$N$567,6,FALSE)</f>
        <v>Gestion des emplois et parcours professionnels (GEPP / Strategic Workforce Planning)</v>
      </c>
      <c r="H38" s="190"/>
      <c r="I38" s="135"/>
      <c r="J38" s="135"/>
      <c r="K38" s="135"/>
      <c r="L38" s="136"/>
      <c r="M38" s="137"/>
      <c r="N38" s="138"/>
      <c r="O38" s="630">
        <v>0</v>
      </c>
      <c r="P38" s="630"/>
      <c r="Q38" s="630"/>
      <c r="R38" s="630"/>
      <c r="S38" s="632">
        <f>SUMIFS(S:S,$D:$D,D38,$N:$N,"Exigences"&amp;"*")</f>
        <v>0</v>
      </c>
      <c r="T38" s="632"/>
      <c r="U38" s="632"/>
      <c r="V38" s="633"/>
      <c r="W38" s="356">
        <f>IFERROR(IF(N38=Suppl!$E$65,0,IF(N38=Suppl!$E$66,1/2/(COUNTIFS($N:$N,"Exigences"&amp;"*")+COUNTIFS($N:$N,"Non"&amp;"*")),IF(N38=Suppl!$E$67,1/(COUNTIFS($N:$N,"Exigences"&amp;"*")+COUNTIFS($N:$N,"Non"&amp;"*")),0))),0)</f>
        <v>0</v>
      </c>
      <c r="X38" s="30"/>
      <c r="Y38" s="30"/>
      <c r="Z38" s="30"/>
      <c r="AA38" s="30"/>
      <c r="AB38" s="30"/>
      <c r="AC38" s="30"/>
      <c r="AD38" s="30"/>
      <c r="AE38" s="30"/>
      <c r="AF38" s="30"/>
      <c r="AG38" s="30"/>
      <c r="AH38" s="112"/>
      <c r="AI38" s="30"/>
    </row>
    <row r="39" spans="1:35" ht="30" customHeight="1" x14ac:dyDescent="0.3">
      <c r="A39" s="112"/>
      <c r="B39" s="30"/>
      <c r="C39" s="30" t="str">
        <f t="shared" si="0"/>
        <v>10</v>
      </c>
      <c r="D39" s="32">
        <f t="shared" si="4"/>
        <v>3</v>
      </c>
      <c r="E39" s="32" t="str">
        <f t="shared" si="5"/>
        <v>1031</v>
      </c>
      <c r="F39" s="211" t="s">
        <v>550</v>
      </c>
      <c r="G39" s="620" t="str">
        <f>VLOOKUP(E41,BDD!$A$2:$N$567,7,FALSE)</f>
        <v>Un plan d’adéquation des compétences aux besoins actuels et futurs de l'organisation est formalisé et mis en place, et il s'intègre dans le processus RH de l'organisation.</v>
      </c>
      <c r="H39" s="621"/>
      <c r="I39" s="621"/>
      <c r="J39" s="621"/>
      <c r="K39" s="621"/>
      <c r="L39" s="621"/>
      <c r="M39" s="621"/>
      <c r="N39" s="622"/>
      <c r="O39" s="631"/>
      <c r="P39" s="631"/>
      <c r="Q39" s="631"/>
      <c r="R39" s="631"/>
      <c r="S39" s="634"/>
      <c r="T39" s="634"/>
      <c r="U39" s="634"/>
      <c r="V39" s="635"/>
      <c r="W39" s="356">
        <f>IFERROR(IF(N39=Suppl!$E$65,0,IF(N39=Suppl!$E$66,1/2/(COUNTIFS($N:$N,"Exigences"&amp;"*")+COUNTIFS($N:$N,"Non"&amp;"*")),IF(N39=Suppl!$E$67,1/(COUNTIFS($N:$N,"Exigences"&amp;"*")+COUNTIFS($N:$N,"Non"&amp;"*")),0))),0)</f>
        <v>0</v>
      </c>
      <c r="X39" s="30"/>
      <c r="Y39" s="30"/>
      <c r="Z39" s="30"/>
      <c r="AA39" s="30"/>
      <c r="AB39" s="30"/>
      <c r="AC39" s="30"/>
      <c r="AD39" s="30"/>
      <c r="AE39" s="30"/>
      <c r="AF39" s="30"/>
      <c r="AG39" s="30"/>
      <c r="AH39" s="112"/>
      <c r="AI39" s="30"/>
    </row>
    <row r="40" spans="1:35" ht="55.2" x14ac:dyDescent="0.3">
      <c r="A40" s="112"/>
      <c r="B40" s="30"/>
      <c r="C40" s="30" t="str">
        <f t="shared" si="0"/>
        <v>10</v>
      </c>
      <c r="D40" s="32">
        <f t="shared" si="4"/>
        <v>3</v>
      </c>
      <c r="E40" s="32" t="str">
        <f t="shared" si="5"/>
        <v>1031</v>
      </c>
      <c r="F40" s="143" t="s">
        <v>27</v>
      </c>
      <c r="G40" s="144" t="str">
        <f>VLOOKUP(E40,BDD!$A$2:$N$567,MATCH(G$24,BDD!$A$1:$P$1,0),FALSE)</f>
        <v>La DSI construit, à un niveau macro, un plan prévisionnel des compétences aligné sur la stratégie numérique de l'organisation, les besoins numériques des métiers et la politique de make or buy retenue, même en l’absence d’une planification des ressources centrée sur les effectifs à long terme (5-10 ans).</v>
      </c>
      <c r="H40" s="149" t="str">
        <f>IF(VLOOKUP($E40,BDD!$A$2:$N$567,MATCH($H$23,BDD!$A$1:$P$1,0),FALSE)=H$24,V10_RH!H$24,"")</f>
        <v>N1</v>
      </c>
      <c r="I40" s="150" t="str">
        <f>IF(VLOOKUP($E40,BDD!$A$2:$N$567,MATCH($H$23,BDD!$A$1:$P$1,0),FALSE)=I$24,V10_RH!I$24,"")</f>
        <v/>
      </c>
      <c r="J40" s="150" t="str">
        <f>IF(VLOOKUP($E40,BDD!$A$2:$N$567,MATCH($H$23,BDD!$A$1:$P$1,0),FALSE)=J$24,V10_RH!J$24,"")</f>
        <v/>
      </c>
      <c r="K40" s="150" t="str">
        <f>IF(VLOOKUP($E40,BDD!$A$2:$N$567,MATCH($H$23,BDD!$A$1:$P$1,0),FALSE)=K$24,V10_RH!K$24,"")</f>
        <v/>
      </c>
      <c r="L40" s="151" t="str">
        <f>IF(VLOOKUP($E40,BDD!$A$2:$N$567,MATCH($H$23,BDD!$A$1:$P$1,0),FALSE)=L$24,V10_RH!L$24,"")</f>
        <v/>
      </c>
      <c r="M40" s="63">
        <f t="shared" ref="M40:M42" si="7">IF(N40="Exigences partiellement respectées",1,IF(N40="Exigences respectées",2,0))</f>
        <v>0</v>
      </c>
      <c r="N40" s="144" t="str">
        <f>VLOOKUP(VLOOKUP(E40,BDD!$A$2:$P$428,15,FALSE),Suppl!$D$64:$E$68,2,FALSE)</f>
        <v>Non renseigné</v>
      </c>
      <c r="O40" s="653"/>
      <c r="P40" s="653"/>
      <c r="Q40" s="653"/>
      <c r="R40" s="653"/>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112"/>
      <c r="AI40" s="30"/>
    </row>
    <row r="41" spans="1:35" ht="30" customHeight="1" x14ac:dyDescent="0.3">
      <c r="A41" s="112"/>
      <c r="B41" s="30"/>
      <c r="C41" s="30" t="str">
        <f t="shared" si="0"/>
        <v>10</v>
      </c>
      <c r="D41" s="32">
        <f t="shared" si="4"/>
        <v>3</v>
      </c>
      <c r="E41" s="32" t="str">
        <f t="shared" si="5"/>
        <v>1032</v>
      </c>
      <c r="F41" s="145" t="s">
        <v>28</v>
      </c>
      <c r="G41" s="146" t="str">
        <f>VLOOKUP(E41,BDD!$A$2:$N$567,MATCH(G$24,BDD!$A$1:$P$1,0),FALSE)</f>
        <v>Une analyse des écarts, sur le court terme (1-2 ans), est effectuée afin de comparer la situation actuelle avec les besoins exprimés dans le plan prévisionnel.</v>
      </c>
      <c r="H41" s="149" t="str">
        <f>IF(VLOOKUP($E41,BDD!$A$2:$N$567,MATCH($H$23,BDD!$A$1:$P$1,0),FALSE)=H$24,V10_RH!H$24,"")</f>
        <v/>
      </c>
      <c r="I41" s="150" t="str">
        <f>IF(VLOOKUP($E41,BDD!$A$2:$N$567,MATCH($H$23,BDD!$A$1:$P$1,0),FALSE)=I$24,V10_RH!I$24,"")</f>
        <v/>
      </c>
      <c r="J41" s="150" t="str">
        <f>IF(VLOOKUP($E41,BDD!$A$2:$N$567,MATCH($H$23,BDD!$A$1:$P$1,0),FALSE)=J$24,V10_RH!J$24,"")</f>
        <v>N3</v>
      </c>
      <c r="K41" s="150" t="str">
        <f>IF(VLOOKUP($E41,BDD!$A$2:$N$567,MATCH($H$23,BDD!$A$1:$P$1,0),FALSE)=K$24,V10_RH!K$24,"")</f>
        <v/>
      </c>
      <c r="L41" s="151" t="str">
        <f>IF(VLOOKUP($E41,BDD!$A$2:$N$567,MATCH($H$23,BDD!$A$1:$P$1,0),FALSE)=L$24,V10_RH!L$24,"")</f>
        <v/>
      </c>
      <c r="M41" s="63">
        <f t="shared" si="7"/>
        <v>0</v>
      </c>
      <c r="N41" s="146" t="str">
        <f>VLOOKUP(VLOOKUP(E41,BDD!$A$2:$P$428,15,FALSE),Suppl!$D$64:$E$68,2,FALSE)</f>
        <v>Non renseigné</v>
      </c>
      <c r="O41" s="627"/>
      <c r="P41" s="627"/>
      <c r="Q41" s="627"/>
      <c r="R41" s="627"/>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112"/>
      <c r="AI41" s="30"/>
    </row>
    <row r="42" spans="1:35" ht="55.2" x14ac:dyDescent="0.3">
      <c r="A42" s="112"/>
      <c r="B42" s="30"/>
      <c r="C42" s="30" t="str">
        <f t="shared" si="0"/>
        <v>10</v>
      </c>
      <c r="D42" s="32">
        <f t="shared" si="4"/>
        <v>3</v>
      </c>
      <c r="E42" s="32" t="str">
        <f t="shared" si="5"/>
        <v>1033</v>
      </c>
      <c r="F42" s="143" t="s">
        <v>30</v>
      </c>
      <c r="G42" s="144" t="str">
        <f>VLOOKUP(E42,BDD!$A$2:$N$567,MATCH(G$24,BDD!$A$1:$P$1,0),FALSE)</f>
        <v>La GEPP permet une projection à long terme (à horizon 5-10 ans) des besoins et des ressources, elle anticipe les tendances du marché, et s'appuie sur l'analyse des écarts pour en tirer une politique individuelle de recrutement / formation découlant du plan à moyen terme.</v>
      </c>
      <c r="H42" s="149" t="str">
        <f>IF(VLOOKUP($E42,BDD!$A$2:$N$567,MATCH($H$23,BDD!$A$1:$P$1,0),FALSE)=H$24,V10_RH!H$24,"")</f>
        <v/>
      </c>
      <c r="I42" s="150" t="str">
        <f>IF(VLOOKUP($E42,BDD!$A$2:$N$567,MATCH($H$23,BDD!$A$1:$P$1,0),FALSE)=I$24,V10_RH!I$24,"")</f>
        <v/>
      </c>
      <c r="J42" s="150" t="str">
        <f>IF(VLOOKUP($E42,BDD!$A$2:$N$567,MATCH($H$23,BDD!$A$1:$P$1,0),FALSE)=J$24,V10_RH!J$24,"")</f>
        <v/>
      </c>
      <c r="K42" s="150" t="str">
        <f>IF(VLOOKUP($E42,BDD!$A$2:$N$567,MATCH($H$23,BDD!$A$1:$P$1,0),FALSE)=K$24,V10_RH!K$24,"")</f>
        <v>N4</v>
      </c>
      <c r="L42" s="151" t="str">
        <f>IF(VLOOKUP($E42,BDD!$A$2:$N$567,MATCH($H$23,BDD!$A$1:$P$1,0),FALSE)=L$24,V10_RH!L$24,"")</f>
        <v/>
      </c>
      <c r="M42" s="63">
        <f t="shared" si="7"/>
        <v>0</v>
      </c>
      <c r="N42" s="144" t="str">
        <f>VLOOKUP(VLOOKUP(E42,BDD!$A$2:$P$428,15,FALSE),Suppl!$D$64:$E$68,2,FALSE)</f>
        <v>Non renseigné</v>
      </c>
      <c r="O42" s="627"/>
      <c r="P42" s="627"/>
      <c r="Q42" s="627"/>
      <c r="R42" s="627"/>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112"/>
      <c r="AI42" s="30"/>
    </row>
    <row r="43" spans="1:35" ht="30" customHeight="1" x14ac:dyDescent="0.3">
      <c r="A43" s="112"/>
      <c r="B43" s="30"/>
      <c r="C43" s="30" t="str">
        <f t="shared" si="0"/>
        <v>10</v>
      </c>
      <c r="D43" s="32">
        <f>IF(LEFT(F43,5)="Bonne",D42+1,#REF!)</f>
        <v>4</v>
      </c>
      <c r="E43" s="32" t="str">
        <f t="shared" si="5"/>
        <v>1044</v>
      </c>
      <c r="F43" s="191" t="s">
        <v>502</v>
      </c>
      <c r="G43" s="192" t="str">
        <f>VLOOKUP(E45,BDD!$A$2:$N$567,6,FALSE)</f>
        <v>Évaluation</v>
      </c>
      <c r="H43" s="190"/>
      <c r="I43" s="135"/>
      <c r="J43" s="135"/>
      <c r="K43" s="135"/>
      <c r="L43" s="136"/>
      <c r="M43" s="137"/>
      <c r="N43" s="138"/>
      <c r="O43" s="630">
        <v>0</v>
      </c>
      <c r="P43" s="630"/>
      <c r="Q43" s="630"/>
      <c r="R43" s="630"/>
      <c r="S43" s="632">
        <f>SUMIFS(S:S,$D:$D,D43,$N:$N,"Exigences"&amp;"*")</f>
        <v>0</v>
      </c>
      <c r="T43" s="632"/>
      <c r="U43" s="632"/>
      <c r="V43" s="633"/>
      <c r="W43" s="356">
        <f>IFERROR(IF(N43=Suppl!$E$65,0,IF(N43=Suppl!$E$66,1/2/(COUNTIFS($N:$N,"Exigences"&amp;"*")+COUNTIFS($N:$N,"Non"&amp;"*")),IF(N43=Suppl!$E$67,1/(COUNTIFS($N:$N,"Exigences"&amp;"*")+COUNTIFS($N:$N,"Non"&amp;"*")),0))),0)</f>
        <v>0</v>
      </c>
      <c r="X43" s="30"/>
      <c r="Y43" s="30"/>
      <c r="Z43" s="30"/>
      <c r="AA43" s="30"/>
      <c r="AB43" s="30"/>
      <c r="AC43" s="30"/>
      <c r="AD43" s="30"/>
      <c r="AE43" s="30"/>
      <c r="AF43" s="30"/>
      <c r="AG43" s="30"/>
      <c r="AH43" s="112"/>
      <c r="AI43" s="30"/>
    </row>
    <row r="44" spans="1:35" ht="30" customHeight="1" x14ac:dyDescent="0.3">
      <c r="A44" s="112"/>
      <c r="B44" s="30"/>
      <c r="C44" s="30" t="str">
        <f t="shared" si="0"/>
        <v>10</v>
      </c>
      <c r="D44" s="32">
        <f>IF(LEFT(F44,5)="Bonne",#REF!+1,D43)</f>
        <v>4</v>
      </c>
      <c r="E44" s="32" t="str">
        <f t="shared" si="5"/>
        <v>1041</v>
      </c>
      <c r="F44" s="211" t="s">
        <v>550</v>
      </c>
      <c r="G44" s="193" t="str">
        <f>VLOOKUP(E46,BDD!$A$2:$N$567,7,FALSE)</f>
        <v>L’évaluation des compétences et des performances est réalisée.</v>
      </c>
      <c r="H44" s="139"/>
      <c r="I44" s="139"/>
      <c r="J44" s="139"/>
      <c r="K44" s="139"/>
      <c r="L44" s="140"/>
      <c r="M44" s="141"/>
      <c r="N44" s="142"/>
      <c r="O44" s="631"/>
      <c r="P44" s="631"/>
      <c r="Q44" s="631"/>
      <c r="R44" s="631"/>
      <c r="S44" s="634"/>
      <c r="T44" s="634"/>
      <c r="U44" s="634"/>
      <c r="V44" s="635"/>
      <c r="W44" s="356">
        <f>IFERROR(IF(N44=Suppl!$E$65,0,IF(N44=Suppl!$E$66,1/2/(COUNTIFS($N:$N,"Exigences"&amp;"*")+COUNTIFS($N:$N,"Non"&amp;"*")),IF(N44=Suppl!$E$67,1/(COUNTIFS($N:$N,"Exigences"&amp;"*")+COUNTIFS($N:$N,"Non"&amp;"*")),0))),0)</f>
        <v>0</v>
      </c>
      <c r="X44" s="30"/>
      <c r="Y44" s="30"/>
      <c r="Z44" s="30"/>
      <c r="AA44" s="30"/>
      <c r="AB44" s="30"/>
      <c r="AC44" s="30"/>
      <c r="AD44" s="30"/>
      <c r="AE44" s="30"/>
      <c r="AF44" s="30"/>
      <c r="AG44" s="30"/>
      <c r="AH44" s="112"/>
      <c r="AI44" s="30"/>
    </row>
    <row r="45" spans="1:35" ht="30" customHeight="1" x14ac:dyDescent="0.3">
      <c r="A45" s="112"/>
      <c r="B45" s="30"/>
      <c r="C45" s="30" t="str">
        <f t="shared" si="0"/>
        <v>10</v>
      </c>
      <c r="D45" s="32">
        <f t="shared" si="4"/>
        <v>4</v>
      </c>
      <c r="E45" s="32" t="str">
        <f t="shared" si="5"/>
        <v>1041</v>
      </c>
      <c r="F45" s="143" t="s">
        <v>27</v>
      </c>
      <c r="G45" s="144" t="str">
        <f>VLOOKUP(E45,BDD!$A$2:$N$567,MATCH(G$24,BDD!$A$1:$P$1,0),FALSE)</f>
        <v>La DSI met en œuvre un « référentiel des compétences nécessaires » et une grille d'évaluation associée.</v>
      </c>
      <c r="H45" s="149" t="str">
        <f>IF(VLOOKUP($E45,BDD!$A$2:$N$567,MATCH($H$23,BDD!$A$1:$P$1,0),FALSE)=H$24,V10_RH!H$24,"")</f>
        <v>N1</v>
      </c>
      <c r="I45" s="150" t="str">
        <f>IF(VLOOKUP($E45,BDD!$A$2:$N$567,MATCH($H$23,BDD!$A$1:$P$1,0),FALSE)=I$24,V10_RH!I$24,"")</f>
        <v/>
      </c>
      <c r="J45" s="150" t="str">
        <f>IF(VLOOKUP($E45,BDD!$A$2:$N$567,MATCH($H$23,BDD!$A$1:$P$1,0),FALSE)=J$24,V10_RH!J$24,"")</f>
        <v/>
      </c>
      <c r="K45" s="150" t="str">
        <f>IF(VLOOKUP($E45,BDD!$A$2:$N$567,MATCH($H$23,BDD!$A$1:$P$1,0),FALSE)=K$24,V10_RH!K$24,"")</f>
        <v/>
      </c>
      <c r="L45" s="151" t="str">
        <f>IF(VLOOKUP($E45,BDD!$A$2:$N$567,MATCH($H$23,BDD!$A$1:$P$1,0),FALSE)=L$24,V10_RH!L$24,"")</f>
        <v/>
      </c>
      <c r="M45" s="63">
        <f t="shared" ref="M45:M50" si="8">IF(N45="Exigences partiellement respectées",1,IF(N45="Exigences respectées",2,0))</f>
        <v>0</v>
      </c>
      <c r="N45" s="144" t="str">
        <f>VLOOKUP(VLOOKUP(E45,BDD!$A$2:$P$428,15,FALSE),Suppl!$D$64:$E$68,2,FALSE)</f>
        <v>Non renseigné</v>
      </c>
      <c r="O45" s="653"/>
      <c r="P45" s="653"/>
      <c r="Q45" s="653"/>
      <c r="R45" s="653"/>
      <c r="S45" s="627">
        <f>IF(N45=Suppl!$E$65,0,IF(N45=Suppl!$E$66,1/2/(COUNTIFS($D:$D,D45,$N:$N,"Exigences"&amp;"*",G:G,"&lt;&gt;0")+COUNTIFS($D:$D,D45,$N:$N,"Non"&amp;"*",G:G,"&lt;&gt;0")),IF(N45=Suppl!$E$67,1/(COUNTIFS($D:$D,D45,$N:$N,"Exigences"&amp;"*",G:G,"&lt;&gt;0")+COUNTIFS($D:$D,D45,$N:$N,"Non"&amp;"*",G:G,"&lt;&gt;0")),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112"/>
      <c r="AI45" s="30"/>
    </row>
    <row r="46" spans="1:35" ht="30" customHeight="1" x14ac:dyDescent="0.3">
      <c r="A46" s="112"/>
      <c r="B46" s="30"/>
      <c r="C46" s="30" t="str">
        <f t="shared" si="0"/>
        <v>10</v>
      </c>
      <c r="D46" s="32">
        <f t="shared" si="4"/>
        <v>4</v>
      </c>
      <c r="E46" s="32" t="str">
        <f t="shared" si="5"/>
        <v>1042</v>
      </c>
      <c r="F46" s="145" t="s">
        <v>28</v>
      </c>
      <c r="G46" s="146" t="str">
        <f>VLOOKUP(E46,BDD!$A$2:$N$567,MATCH(G$24,BDD!$A$1:$P$1,0),FALSE)</f>
        <v>Un processus régulier d’évaluation des compétences présentes dans la DSI est en place, basé sur le référentiel des compétences.</v>
      </c>
      <c r="H46" s="149" t="str">
        <f>IF(VLOOKUP($E46,BDD!$A$2:$N$567,MATCH($H$23,BDD!$A$1:$P$1,0),FALSE)=H$24,V10_RH!H$24,"")</f>
        <v/>
      </c>
      <c r="I46" s="150" t="str">
        <f>IF(VLOOKUP($E46,BDD!$A$2:$N$567,MATCH($H$23,BDD!$A$1:$P$1,0),FALSE)=I$24,V10_RH!I$24,"")</f>
        <v>N2</v>
      </c>
      <c r="J46" s="150" t="str">
        <f>IF(VLOOKUP($E46,BDD!$A$2:$N$567,MATCH($H$23,BDD!$A$1:$P$1,0),FALSE)=J$24,V10_RH!J$24,"")</f>
        <v/>
      </c>
      <c r="K46" s="150" t="str">
        <f>IF(VLOOKUP($E46,BDD!$A$2:$N$567,MATCH($H$23,BDD!$A$1:$P$1,0),FALSE)=K$24,V10_RH!K$24,"")</f>
        <v/>
      </c>
      <c r="L46" s="151" t="str">
        <f>IF(VLOOKUP($E46,BDD!$A$2:$N$567,MATCH($H$23,BDD!$A$1:$P$1,0),FALSE)=L$24,V10_RH!L$24,"")</f>
        <v/>
      </c>
      <c r="M46" s="63">
        <f t="shared" si="8"/>
        <v>0</v>
      </c>
      <c r="N46" s="146" t="str">
        <f>VLOOKUP(VLOOKUP(E46,BDD!$A$2:$P$428,15,FALSE),Suppl!$D$64:$E$68,2,FALSE)</f>
        <v>Non renseigné</v>
      </c>
      <c r="O46" s="627"/>
      <c r="P46" s="627"/>
      <c r="Q46" s="627"/>
      <c r="R46" s="627"/>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112"/>
      <c r="AI46" s="30"/>
    </row>
    <row r="47" spans="1:35" ht="30" customHeight="1" x14ac:dyDescent="0.3">
      <c r="A47" s="112"/>
      <c r="B47" s="30"/>
      <c r="C47" s="30" t="str">
        <f t="shared" si="0"/>
        <v>10</v>
      </c>
      <c r="D47" s="32">
        <f t="shared" si="4"/>
        <v>4</v>
      </c>
      <c r="E47" s="32" t="str">
        <f t="shared" si="5"/>
        <v>1043</v>
      </c>
      <c r="F47" s="143" t="s">
        <v>30</v>
      </c>
      <c r="G47" s="144" t="str">
        <f>VLOOKUP(E47,BDD!$A$2:$N$567,MATCH(G$24,BDD!$A$1:$P$1,0),FALSE)</f>
        <v>Ce processus est piloté à l’aide d’indicateurs et donne lieu à des actions correctives si nécessaire (ou si besoin).</v>
      </c>
      <c r="H47" s="149" t="str">
        <f>IF(VLOOKUP($E47,BDD!$A$2:$N$567,MATCH($H$23,BDD!$A$1:$P$1,0),FALSE)=H$24,V10_RH!H$24,"")</f>
        <v/>
      </c>
      <c r="I47" s="150" t="str">
        <f>IF(VLOOKUP($E47,BDD!$A$2:$N$567,MATCH($H$23,BDD!$A$1:$P$1,0),FALSE)=I$24,V10_RH!I$24,"")</f>
        <v/>
      </c>
      <c r="J47" s="150" t="str">
        <f>IF(VLOOKUP($E47,BDD!$A$2:$N$567,MATCH($H$23,BDD!$A$1:$P$1,0),FALSE)=J$24,V10_RH!J$24,"")</f>
        <v/>
      </c>
      <c r="K47" s="150" t="str">
        <f>IF(VLOOKUP($E47,BDD!$A$2:$N$567,MATCH($H$23,BDD!$A$1:$P$1,0),FALSE)=K$24,V10_RH!K$24,"")</f>
        <v>N4</v>
      </c>
      <c r="L47" s="151" t="str">
        <f>IF(VLOOKUP($E47,BDD!$A$2:$N$567,MATCH($H$23,BDD!$A$1:$P$1,0),FALSE)=L$24,V10_RH!L$24,"")</f>
        <v/>
      </c>
      <c r="M47" s="63">
        <f t="shared" si="8"/>
        <v>0</v>
      </c>
      <c r="N47" s="144" t="str">
        <f>VLOOKUP(VLOOKUP(E47,BDD!$A$2:$P$428,15,FALSE),Suppl!$D$64:$E$68,2,FALSE)</f>
        <v>Non renseigné</v>
      </c>
      <c r="O47" s="627"/>
      <c r="P47" s="627"/>
      <c r="Q47" s="627"/>
      <c r="R47" s="627"/>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112"/>
      <c r="AI47" s="30"/>
    </row>
    <row r="48" spans="1:35" ht="43.8" customHeight="1" x14ac:dyDescent="0.3">
      <c r="A48" s="112"/>
      <c r="B48" s="30"/>
      <c r="C48" s="30" t="str">
        <f t="shared" si="0"/>
        <v>10</v>
      </c>
      <c r="D48" s="32">
        <f t="shared" si="4"/>
        <v>4</v>
      </c>
      <c r="E48" s="32" t="str">
        <f t="shared" si="5"/>
        <v>1044</v>
      </c>
      <c r="F48" s="145" t="s">
        <v>32</v>
      </c>
      <c r="G48" s="146" t="str">
        <f>VLOOKUP(E48,BDD!$A$2:$N$567,MATCH(G$24,BDD!$A$1:$P$1,0),FALSE)</f>
        <v>La DSI applique les processus et utilise les outils d’évaluation RH de l’organisation, dans le respect des contraintes réglementaires (sécurité, RGPD, directive européenne sur la transparence des salaires et des promotions, etc.).</v>
      </c>
      <c r="H48" s="149" t="str">
        <f>IF(VLOOKUP($E48,BDD!$A$2:$N$567,MATCH($H$23,BDD!$A$1:$P$1,0),FALSE)=H$24,V10_RH!H$24,"")</f>
        <v>N1</v>
      </c>
      <c r="I48" s="150" t="str">
        <f>IF(VLOOKUP($E48,BDD!$A$2:$N$567,MATCH($H$23,BDD!$A$1:$P$1,0),FALSE)=I$24,V10_RH!I$24,"")</f>
        <v/>
      </c>
      <c r="J48" s="150" t="str">
        <f>IF(VLOOKUP($E48,BDD!$A$2:$N$567,MATCH($H$23,BDD!$A$1:$P$1,0),FALSE)=J$24,V10_RH!J$24,"")</f>
        <v/>
      </c>
      <c r="K48" s="150" t="str">
        <f>IF(VLOOKUP($E48,BDD!$A$2:$N$567,MATCH($H$23,BDD!$A$1:$P$1,0),FALSE)=K$24,V10_RH!K$24,"")</f>
        <v/>
      </c>
      <c r="L48" s="151" t="str">
        <f>IF(VLOOKUP($E48,BDD!$A$2:$N$567,MATCH($H$23,BDD!$A$1:$P$1,0),FALSE)=L$24,V10_RH!L$24,"")</f>
        <v/>
      </c>
      <c r="M48" s="63">
        <f t="shared" si="8"/>
        <v>0</v>
      </c>
      <c r="N48" s="146" t="str">
        <f>VLOOKUP(VLOOKUP(E48,BDD!$A$2:$P$428,15,FALSE),Suppl!$D$64:$E$68,2,FALSE)</f>
        <v>Non renseigné</v>
      </c>
      <c r="O48" s="627"/>
      <c r="P48" s="627"/>
      <c r="Q48" s="627"/>
      <c r="R48" s="627"/>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112"/>
      <c r="AI48" s="30"/>
    </row>
    <row r="49" spans="1:35" ht="30" customHeight="1" x14ac:dyDescent="0.3">
      <c r="A49" s="112"/>
      <c r="B49" s="30"/>
      <c r="C49" s="30" t="str">
        <f t="shared" si="0"/>
        <v>10</v>
      </c>
      <c r="D49" s="32">
        <f t="shared" si="4"/>
        <v>4</v>
      </c>
      <c r="E49" s="32" t="str">
        <f t="shared" si="5"/>
        <v>1045</v>
      </c>
      <c r="F49" s="143" t="s">
        <v>33</v>
      </c>
      <c r="G49" s="144" t="str">
        <f>VLOOKUP(E49,BDD!$A$2:$N$567,MATCH(G$24,BDD!$A$1:$P$1,0),FALSE)</f>
        <v>Des objectifs professionnels sont définis et mesurés pour chaque collaborateur en cohérence avec la politique RH.</v>
      </c>
      <c r="H49" s="149" t="str">
        <f>IF(VLOOKUP($E49,BDD!$A$2:$N$567,MATCH($H$23,BDD!$A$1:$P$1,0),FALSE)=H$24,V10_RH!H$24,"")</f>
        <v/>
      </c>
      <c r="I49" s="150" t="str">
        <f>IF(VLOOKUP($E49,BDD!$A$2:$N$567,MATCH($H$23,BDD!$A$1:$P$1,0),FALSE)=I$24,V10_RH!I$24,"")</f>
        <v>N2</v>
      </c>
      <c r="J49" s="150" t="str">
        <f>IF(VLOOKUP($E49,BDD!$A$2:$N$567,MATCH($H$23,BDD!$A$1:$P$1,0),FALSE)=J$24,V10_RH!J$24,"")</f>
        <v/>
      </c>
      <c r="K49" s="150" t="str">
        <f>IF(VLOOKUP($E49,BDD!$A$2:$N$567,MATCH($H$23,BDD!$A$1:$P$1,0),FALSE)=K$24,V10_RH!K$24,"")</f>
        <v/>
      </c>
      <c r="L49" s="151" t="str">
        <f>IF(VLOOKUP($E49,BDD!$A$2:$N$567,MATCH($H$23,BDD!$A$1:$P$1,0),FALSE)=L$24,V10_RH!L$24,"")</f>
        <v/>
      </c>
      <c r="M49" s="63">
        <f t="shared" si="8"/>
        <v>0</v>
      </c>
      <c r="N49" s="144" t="str">
        <f>VLOOKUP(VLOOKUP(E49,BDD!$A$2:$P$428,15,FALSE),Suppl!$D$64:$E$68,2,FALSE)</f>
        <v>Non renseigné</v>
      </c>
      <c r="O49" s="627"/>
      <c r="P49" s="627"/>
      <c r="Q49" s="627"/>
      <c r="R49" s="627"/>
      <c r="S49" s="627">
        <f>IF(N49=Suppl!$E$65,0,IF(N49=Suppl!$E$66,1/2/(COUNTIFS($D:$D,D49,$N:$N,"Exigences"&amp;"*",G:G,"&lt;&gt;0")+COUNTIFS($D:$D,D49,$N:$N,"Non"&amp;"*",G:G,"&lt;&gt;0")),IF(N49=Suppl!$E$67,1/(COUNTIFS($D:$D,D49,$N:$N,"Exigences"&amp;"*",G:G,"&lt;&gt;0")+COUNTIFS($D:$D,D49,$N:$N,"Non"&amp;"*",G:G,"&lt;&gt;0")),0)))</f>
        <v>0</v>
      </c>
      <c r="T49" s="627"/>
      <c r="U49" s="627"/>
      <c r="V49" s="628"/>
      <c r="W49" s="356">
        <f>IFERROR(IF(N49=Suppl!$E$65,0,IF(N49=Suppl!$E$66,1/2/(COUNTIFS($N:$N,"Exigences"&amp;"*")+COUNTIFS($N:$N,"Non"&amp;"*")),IF(N49=Suppl!$E$67,1/(COUNTIFS($N:$N,"Exigences"&amp;"*")+COUNTIFS($N:$N,"Non"&amp;"*")),0))),0)</f>
        <v>0</v>
      </c>
      <c r="X49" s="30"/>
      <c r="Y49" s="30"/>
      <c r="Z49" s="30"/>
      <c r="AA49" s="30"/>
      <c r="AB49" s="30"/>
      <c r="AC49" s="30"/>
      <c r="AD49" s="30"/>
      <c r="AE49" s="30"/>
      <c r="AF49" s="30"/>
      <c r="AG49" s="30"/>
      <c r="AH49" s="112"/>
      <c r="AI49" s="30"/>
    </row>
    <row r="50" spans="1:35" ht="58.2" customHeight="1" x14ac:dyDescent="0.3">
      <c r="A50" s="112"/>
      <c r="B50" s="30"/>
      <c r="C50" s="30" t="str">
        <f t="shared" si="0"/>
        <v>10</v>
      </c>
      <c r="D50" s="32">
        <f t="shared" si="4"/>
        <v>4</v>
      </c>
      <c r="E50" s="32" t="str">
        <f t="shared" si="5"/>
        <v>1046</v>
      </c>
      <c r="F50" s="147" t="s">
        <v>34</v>
      </c>
      <c r="G50" s="148" t="str">
        <f>VLOOKUP(E50,BDD!$A$2:$N$567,MATCH(G$24,BDD!$A$1:$P$1,0),FALSE)</f>
        <v>La DSI a développé des parcours de carrière internes et favorise également la mobilité au sein de l'organisation (identification des passerelles avec les autres métiers). Cette réflexion peut s'inscrire dans une démarche de type Gestion des Emplois et des Parcours Professionnels (GEPP).</v>
      </c>
      <c r="H50" s="149" t="str">
        <f>IF(VLOOKUP($E50,BDD!$A$2:$N$567,MATCH($H$23,BDD!$A$1:$P$1,0),FALSE)=H$24,V10_RH!H$24,"")</f>
        <v/>
      </c>
      <c r="I50" s="150" t="str">
        <f>IF(VLOOKUP($E50,BDD!$A$2:$N$567,MATCH($H$23,BDD!$A$1:$P$1,0),FALSE)=I$24,V10_RH!I$24,"")</f>
        <v/>
      </c>
      <c r="J50" s="150" t="str">
        <f>IF(VLOOKUP($E50,BDD!$A$2:$N$567,MATCH($H$23,BDD!$A$1:$P$1,0),FALSE)=J$24,V10_RH!J$24,"")</f>
        <v/>
      </c>
      <c r="K50" s="150" t="str">
        <f>IF(VLOOKUP($E50,BDD!$A$2:$N$567,MATCH($H$23,BDD!$A$1:$P$1,0),FALSE)=K$24,V10_RH!K$24,"")</f>
        <v>N4</v>
      </c>
      <c r="L50" s="151" t="str">
        <f>IF(VLOOKUP($E50,BDD!$A$2:$N$567,MATCH($H$23,BDD!$A$1:$P$1,0),FALSE)=L$24,V10_RH!L$24,"")</f>
        <v/>
      </c>
      <c r="M50" s="63">
        <f t="shared" si="8"/>
        <v>0</v>
      </c>
      <c r="N50" s="148" t="str">
        <f>VLOOKUP(VLOOKUP(E50,BDD!$A$2:$P$428,15,FALSE),Suppl!$D$64:$E$68,2,FALSE)</f>
        <v>Non renseigné</v>
      </c>
      <c r="O50" s="627"/>
      <c r="P50" s="627"/>
      <c r="Q50" s="627"/>
      <c r="R50" s="627"/>
      <c r="S50" s="627">
        <f>IF(N50=Suppl!$E$65,0,IF(N50=Suppl!$E$66,1/2/(COUNTIFS($D:$D,D50,$N:$N,"Exigences"&amp;"*",G:G,"&lt;&gt;0")+COUNTIFS($D:$D,D50,$N:$N,"Non"&amp;"*",G:G,"&lt;&gt;0")),IF(N50=Suppl!$E$67,1/(COUNTIFS($D:$D,D50,$N:$N,"Exigences"&amp;"*",G:G,"&lt;&gt;0")+COUNTIFS($D:$D,D50,$N:$N,"Non"&amp;"*",G:G,"&lt;&gt;0")),0)))</f>
        <v>0</v>
      </c>
      <c r="T50" s="627"/>
      <c r="U50" s="627"/>
      <c r="V50" s="628"/>
      <c r="W50" s="356">
        <f>IFERROR(IF(N50=Suppl!$E$65,0,IF(N50=Suppl!$E$66,1/2/(COUNTIFS($N:$N,"Exigences"&amp;"*")+COUNTIFS($N:$N,"Non"&amp;"*")),IF(N50=Suppl!$E$67,1/(COUNTIFS($N:$N,"Exigences"&amp;"*")+COUNTIFS($N:$N,"Non"&amp;"*")),0))),0)</f>
        <v>0</v>
      </c>
      <c r="X50" s="30"/>
      <c r="Y50" s="30"/>
      <c r="Z50" s="30"/>
      <c r="AA50" s="30"/>
      <c r="AB50" s="30"/>
      <c r="AC50" s="30"/>
      <c r="AD50" s="30"/>
      <c r="AE50" s="30"/>
      <c r="AF50" s="30"/>
      <c r="AG50" s="30"/>
      <c r="AH50" s="112"/>
      <c r="AI50" s="30"/>
    </row>
    <row r="51" spans="1:35" ht="30" customHeight="1" x14ac:dyDescent="0.3">
      <c r="A51" s="112"/>
      <c r="B51" s="30"/>
      <c r="C51" s="30" t="str">
        <f t="shared" si="0"/>
        <v>10</v>
      </c>
      <c r="D51" s="32">
        <f t="shared" si="4"/>
        <v>5</v>
      </c>
      <c r="E51" s="32" t="str">
        <f t="shared" si="5"/>
        <v>1055</v>
      </c>
      <c r="F51" s="191" t="s">
        <v>503</v>
      </c>
      <c r="G51" s="192" t="str">
        <f>VLOOKUP(E53,BDD!$A$2:$N$567,6,FALSE)</f>
        <v>Recrutement</v>
      </c>
      <c r="H51" s="190"/>
      <c r="I51" s="135"/>
      <c r="J51" s="135"/>
      <c r="K51" s="135"/>
      <c r="L51" s="136"/>
      <c r="M51" s="137"/>
      <c r="N51" s="138"/>
      <c r="O51" s="630">
        <v>0</v>
      </c>
      <c r="P51" s="630"/>
      <c r="Q51" s="630"/>
      <c r="R51" s="630"/>
      <c r="S51" s="632">
        <f>SUMIFS(S:S,$D:$D,D51,$N:$N,"Exigences"&amp;"*")</f>
        <v>0</v>
      </c>
      <c r="T51" s="632"/>
      <c r="U51" s="632"/>
      <c r="V51" s="633"/>
      <c r="W51" s="356">
        <f>IFERROR(IF(N51=Suppl!$E$65,0,IF(N51=Suppl!$E$66,1/2/(COUNTIFS($N:$N,"Exigences"&amp;"*")+COUNTIFS($N:$N,"Non"&amp;"*")),IF(N51=Suppl!$E$67,1/(COUNTIFS($N:$N,"Exigences"&amp;"*")+COUNTIFS($N:$N,"Non"&amp;"*")),0))),0)</f>
        <v>0</v>
      </c>
      <c r="X51" s="30"/>
      <c r="Y51" s="30"/>
      <c r="Z51" s="30"/>
      <c r="AA51" s="30"/>
      <c r="AB51" s="30"/>
      <c r="AC51" s="30"/>
      <c r="AD51" s="30"/>
      <c r="AE51" s="30"/>
      <c r="AF51" s="30"/>
      <c r="AG51" s="30"/>
      <c r="AH51" s="112"/>
      <c r="AI51" s="30"/>
    </row>
    <row r="52" spans="1:35" ht="30" customHeight="1" x14ac:dyDescent="0.3">
      <c r="A52" s="112"/>
      <c r="B52" s="30"/>
      <c r="C52" s="30" t="str">
        <f t="shared" si="0"/>
        <v>10</v>
      </c>
      <c r="D52" s="32">
        <f t="shared" si="4"/>
        <v>5</v>
      </c>
      <c r="E52" s="32" t="str">
        <f t="shared" si="5"/>
        <v>1051</v>
      </c>
      <c r="F52" s="211" t="s">
        <v>550</v>
      </c>
      <c r="G52" s="193" t="str">
        <f>VLOOKUP(E54,BDD!$A$2:$N$567,7,FALSE)</f>
        <v>Un plan de recrutement est défini et mis en œuvre pour répondre aux besoins en ressources de la DSI.</v>
      </c>
      <c r="H52" s="139"/>
      <c r="I52" s="139"/>
      <c r="J52" s="139"/>
      <c r="K52" s="139"/>
      <c r="L52" s="140"/>
      <c r="M52" s="141"/>
      <c r="N52" s="142"/>
      <c r="O52" s="631"/>
      <c r="P52" s="631"/>
      <c r="Q52" s="631"/>
      <c r="R52" s="631"/>
      <c r="S52" s="634"/>
      <c r="T52" s="634"/>
      <c r="U52" s="634"/>
      <c r="V52" s="635"/>
      <c r="W52" s="356">
        <f>IFERROR(IF(N52=Suppl!$E$65,0,IF(N52=Suppl!$E$66,1/2/(COUNTIFS($N:$N,"Exigences"&amp;"*")+COUNTIFS($N:$N,"Non"&amp;"*")),IF(N52=Suppl!$E$67,1/(COUNTIFS($N:$N,"Exigences"&amp;"*")+COUNTIFS($N:$N,"Non"&amp;"*")),0))),0)</f>
        <v>0</v>
      </c>
      <c r="X52" s="30"/>
      <c r="Y52" s="30"/>
      <c r="Z52" s="30"/>
      <c r="AA52" s="30"/>
      <c r="AB52" s="30"/>
      <c r="AC52" s="30"/>
      <c r="AD52" s="30"/>
      <c r="AE52" s="30"/>
      <c r="AF52" s="30"/>
      <c r="AG52" s="30"/>
      <c r="AH52" s="112"/>
      <c r="AI52" s="30"/>
    </row>
    <row r="53" spans="1:35" ht="27.6" x14ac:dyDescent="0.3">
      <c r="A53" s="112"/>
      <c r="B53" s="30"/>
      <c r="C53" s="30" t="str">
        <f t="shared" si="0"/>
        <v>10</v>
      </c>
      <c r="D53" s="32">
        <f t="shared" si="4"/>
        <v>5</v>
      </c>
      <c r="E53" s="32" t="str">
        <f t="shared" si="5"/>
        <v>1051</v>
      </c>
      <c r="F53" s="143" t="s">
        <v>27</v>
      </c>
      <c r="G53" s="144" t="str">
        <f>VLOOKUP(E53,BDD!$A$2:$N$567,MATCH(G$24,BDD!$A$1:$P$1,0),FALSE)</f>
        <v>Un plan de recrutement est établi en cohérence avec le plan de résorption des écarts et il est mis en œuvre pour répondre aux besoins actuels et futurs de la DSI.</v>
      </c>
      <c r="H53" s="149" t="str">
        <f>IF(VLOOKUP($E53,BDD!$A$2:$N$567,MATCH($H$23,BDD!$A$1:$P$1,0),FALSE)=H$24,V10_RH!H$24,"")</f>
        <v>N1</v>
      </c>
      <c r="I53" s="150" t="str">
        <f>IF(VLOOKUP($E53,BDD!$A$2:$N$567,MATCH($H$23,BDD!$A$1:$P$1,0),FALSE)=I$24,V10_RH!I$24,"")</f>
        <v/>
      </c>
      <c r="J53" s="150" t="str">
        <f>IF(VLOOKUP($E53,BDD!$A$2:$N$567,MATCH($H$23,BDD!$A$1:$P$1,0),FALSE)=J$24,V10_RH!J$24,"")</f>
        <v/>
      </c>
      <c r="K53" s="150" t="str">
        <f>IF(VLOOKUP($E53,BDD!$A$2:$N$567,MATCH($H$23,BDD!$A$1:$P$1,0),FALSE)=K$24,V10_RH!K$24,"")</f>
        <v/>
      </c>
      <c r="L53" s="151" t="str">
        <f>IF(VLOOKUP($E53,BDD!$A$2:$N$567,MATCH($H$23,BDD!$A$1:$P$1,0),FALSE)=L$24,V10_RH!L$24,"")</f>
        <v/>
      </c>
      <c r="M53" s="63">
        <f t="shared" ref="M53:M55" si="9">IF(N53="Exigences partiellement respectées",1,IF(N53="Exigences respectées",2,0))</f>
        <v>0</v>
      </c>
      <c r="N53" s="144" t="str">
        <f>VLOOKUP(VLOOKUP(E53,BDD!$A$2:$P$428,15,FALSE),Suppl!$D$64:$E$68,2,FALSE)</f>
        <v>Non renseigné</v>
      </c>
      <c r="O53" s="653"/>
      <c r="P53" s="653"/>
      <c r="Q53" s="653"/>
      <c r="R53" s="653"/>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112"/>
      <c r="AI53" s="30"/>
    </row>
    <row r="54" spans="1:35" ht="30" customHeight="1" x14ac:dyDescent="0.3">
      <c r="A54" s="112"/>
      <c r="B54" s="30"/>
      <c r="C54" s="30" t="str">
        <f t="shared" si="0"/>
        <v>10</v>
      </c>
      <c r="D54" s="32">
        <f t="shared" si="4"/>
        <v>5</v>
      </c>
      <c r="E54" s="32" t="str">
        <f t="shared" si="5"/>
        <v>1052</v>
      </c>
      <c r="F54" s="145" t="s">
        <v>28</v>
      </c>
      <c r="G54" s="146" t="str">
        <f>VLOOKUP(E54,BDD!$A$2:$N$567,MATCH(G$24,BDD!$A$1:$P$1,0),FALSE)</f>
        <v>La réalisation du plan de recrutement fait l’objet d’un suivi régulier conjoint par les directions SI et RH.</v>
      </c>
      <c r="H54" s="149" t="str">
        <f>IF(VLOOKUP($E54,BDD!$A$2:$N$567,MATCH($H$23,BDD!$A$1:$P$1,0),FALSE)=H$24,V10_RH!H$24,"")</f>
        <v/>
      </c>
      <c r="I54" s="150" t="str">
        <f>IF(VLOOKUP($E54,BDD!$A$2:$N$567,MATCH($H$23,BDD!$A$1:$P$1,0),FALSE)=I$24,V10_RH!I$24,"")</f>
        <v>N2</v>
      </c>
      <c r="J54" s="150" t="str">
        <f>IF(VLOOKUP($E54,BDD!$A$2:$N$567,MATCH($H$23,BDD!$A$1:$P$1,0),FALSE)=J$24,V10_RH!J$24,"")</f>
        <v/>
      </c>
      <c r="K54" s="150" t="str">
        <f>IF(VLOOKUP($E54,BDD!$A$2:$N$567,MATCH($H$23,BDD!$A$1:$P$1,0),FALSE)=K$24,V10_RH!K$24,"")</f>
        <v/>
      </c>
      <c r="L54" s="151" t="str">
        <f>IF(VLOOKUP($E54,BDD!$A$2:$N$567,MATCH($H$23,BDD!$A$1:$P$1,0),FALSE)=L$24,V10_RH!L$24,"")</f>
        <v/>
      </c>
      <c r="M54" s="63">
        <f t="shared" si="9"/>
        <v>0</v>
      </c>
      <c r="N54" s="146" t="str">
        <f>VLOOKUP(VLOOKUP(E54,BDD!$A$2:$P$428,15,FALSE),Suppl!$D$64:$E$68,2,FALSE)</f>
        <v>Non renseigné</v>
      </c>
      <c r="O54" s="627"/>
      <c r="P54" s="627"/>
      <c r="Q54" s="627"/>
      <c r="R54" s="627"/>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112"/>
      <c r="AI54" s="30"/>
    </row>
    <row r="55" spans="1:35" ht="30" customHeight="1" x14ac:dyDescent="0.3">
      <c r="A55" s="112"/>
      <c r="B55" s="30"/>
      <c r="C55" s="30" t="str">
        <f t="shared" si="0"/>
        <v>10</v>
      </c>
      <c r="D55" s="32">
        <f t="shared" si="4"/>
        <v>5</v>
      </c>
      <c r="E55" s="32" t="str">
        <f t="shared" si="5"/>
        <v>1053</v>
      </c>
      <c r="F55" s="143" t="s">
        <v>30</v>
      </c>
      <c r="G55" s="144" t="str">
        <f>VLOOKUP(E55,BDD!$A$2:$N$567,MATCH(G$24,BDD!$A$1:$P$1,0),FALSE)</f>
        <v>Un processus d'accueil et d'intégration est en place pour permettre la bonne intégration des nouveaux arrivants.</v>
      </c>
      <c r="H55" s="149" t="str">
        <f>IF(VLOOKUP($E55,BDD!$A$2:$N$567,MATCH($H$23,BDD!$A$1:$P$1,0),FALSE)=H$24,V10_RH!H$24,"")</f>
        <v/>
      </c>
      <c r="I55" s="150" t="str">
        <f>IF(VLOOKUP($E55,BDD!$A$2:$N$567,MATCH($H$23,BDD!$A$1:$P$1,0),FALSE)=I$24,V10_RH!I$24,"")</f>
        <v>N2</v>
      </c>
      <c r="J55" s="150" t="str">
        <f>IF(VLOOKUP($E55,BDD!$A$2:$N$567,MATCH($H$23,BDD!$A$1:$P$1,0),FALSE)=J$24,V10_RH!J$24,"")</f>
        <v/>
      </c>
      <c r="K55" s="150" t="str">
        <f>IF(VLOOKUP($E55,BDD!$A$2:$N$567,MATCH($H$23,BDD!$A$1:$P$1,0),FALSE)=K$24,V10_RH!K$24,"")</f>
        <v/>
      </c>
      <c r="L55" s="151" t="str">
        <f>IF(VLOOKUP($E55,BDD!$A$2:$N$567,MATCH($H$23,BDD!$A$1:$P$1,0),FALSE)=L$24,V10_RH!L$24,"")</f>
        <v/>
      </c>
      <c r="M55" s="63">
        <f t="shared" si="9"/>
        <v>0</v>
      </c>
      <c r="N55" s="144" t="str">
        <f>VLOOKUP(VLOOKUP(E55,BDD!$A$2:$P$428,15,FALSE),Suppl!$D$64:$E$68,2,FALSE)</f>
        <v>Non renseigné</v>
      </c>
      <c r="O55" s="627"/>
      <c r="P55" s="627"/>
      <c r="Q55" s="627"/>
      <c r="R55" s="627"/>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112"/>
      <c r="AI55" s="30"/>
    </row>
    <row r="56" spans="1:35" ht="30" customHeight="1" x14ac:dyDescent="0.3">
      <c r="A56" s="112"/>
      <c r="B56" s="30"/>
      <c r="C56" s="30" t="str">
        <f t="shared" si="0"/>
        <v>10</v>
      </c>
      <c r="D56" s="32">
        <f t="shared" si="4"/>
        <v>6</v>
      </c>
      <c r="E56" s="32" t="str">
        <f t="shared" si="5"/>
        <v>1066</v>
      </c>
      <c r="F56" s="191" t="s">
        <v>556</v>
      </c>
      <c r="G56" s="192" t="str">
        <f>VLOOKUP(E58,BDD!$A$2:$N$567,6,FALSE)</f>
        <v>Développement des compétences</v>
      </c>
      <c r="H56" s="190"/>
      <c r="I56" s="135"/>
      <c r="J56" s="135"/>
      <c r="K56" s="135"/>
      <c r="L56" s="136"/>
      <c r="M56" s="137"/>
      <c r="N56" s="138"/>
      <c r="O56" s="630">
        <v>0</v>
      </c>
      <c r="P56" s="630"/>
      <c r="Q56" s="630"/>
      <c r="R56" s="630"/>
      <c r="S56" s="632">
        <f>SUMIFS(S:S,$D:$D,D56,$N:$N,"Exigences"&amp;"*")</f>
        <v>0</v>
      </c>
      <c r="T56" s="632"/>
      <c r="U56" s="632"/>
      <c r="V56" s="633"/>
      <c r="W56" s="356">
        <f>IFERROR(IF(N56=Suppl!$E$65,0,IF(N56=Suppl!$E$66,1/2/(COUNTIFS($N:$N,"Exigences"&amp;"*")+COUNTIFS($N:$N,"Non"&amp;"*")),IF(N56=Suppl!$E$67,1/(COUNTIFS($N:$N,"Exigences"&amp;"*")+COUNTIFS($N:$N,"Non"&amp;"*")),0))),0)</f>
        <v>0</v>
      </c>
      <c r="X56" s="30"/>
      <c r="Y56" s="30"/>
      <c r="Z56" s="30"/>
      <c r="AA56" s="30"/>
      <c r="AB56" s="30"/>
      <c r="AC56" s="30"/>
      <c r="AD56" s="30"/>
      <c r="AE56" s="30"/>
      <c r="AF56" s="30"/>
      <c r="AG56" s="30"/>
      <c r="AH56" s="112"/>
      <c r="AI56" s="30"/>
    </row>
    <row r="57" spans="1:35" ht="30" customHeight="1" x14ac:dyDescent="0.3">
      <c r="A57" s="112"/>
      <c r="B57" s="30"/>
      <c r="C57" s="30" t="str">
        <f t="shared" si="0"/>
        <v>10</v>
      </c>
      <c r="D57" s="32">
        <f t="shared" si="4"/>
        <v>6</v>
      </c>
      <c r="E57" s="32" t="str">
        <f t="shared" si="5"/>
        <v>1061</v>
      </c>
      <c r="F57" s="211" t="s">
        <v>550</v>
      </c>
      <c r="G57" s="193" t="str">
        <f>VLOOKUP(E59,BDD!$A$2:$N$567,7,FALSE)</f>
        <v>Une stratégie de développement des compétences numériques est définie</v>
      </c>
      <c r="H57" s="139"/>
      <c r="I57" s="139"/>
      <c r="J57" s="139"/>
      <c r="K57" s="139"/>
      <c r="L57" s="140"/>
      <c r="M57" s="141"/>
      <c r="N57" s="142"/>
      <c r="O57" s="631"/>
      <c r="P57" s="631"/>
      <c r="Q57" s="631"/>
      <c r="R57" s="631"/>
      <c r="S57" s="634"/>
      <c r="T57" s="634"/>
      <c r="U57" s="634"/>
      <c r="V57" s="635"/>
      <c r="W57" s="356">
        <f>IFERROR(IF(N57=Suppl!$E$65,0,IF(N57=Suppl!$E$66,1/2/(COUNTIFS($N:$N,"Exigences"&amp;"*")+COUNTIFS($N:$N,"Non"&amp;"*")),IF(N57=Suppl!$E$67,1/(COUNTIFS($N:$N,"Exigences"&amp;"*")+COUNTIFS($N:$N,"Non"&amp;"*")),0))),0)</f>
        <v>0</v>
      </c>
      <c r="X57" s="30"/>
      <c r="Y57" s="30"/>
      <c r="Z57" s="30"/>
      <c r="AA57" s="30"/>
      <c r="AB57" s="30"/>
      <c r="AC57" s="30"/>
      <c r="AD57" s="30"/>
      <c r="AE57" s="30"/>
      <c r="AF57" s="30"/>
      <c r="AG57" s="30"/>
      <c r="AH57" s="112"/>
      <c r="AI57" s="30"/>
    </row>
    <row r="58" spans="1:35" ht="30" customHeight="1" x14ac:dyDescent="0.3">
      <c r="A58" s="112"/>
      <c r="B58" s="30"/>
      <c r="C58" s="30" t="str">
        <f t="shared" si="0"/>
        <v>10</v>
      </c>
      <c r="D58" s="32">
        <f t="shared" si="4"/>
        <v>6</v>
      </c>
      <c r="E58" s="32" t="str">
        <f t="shared" si="5"/>
        <v>1061</v>
      </c>
      <c r="F58" s="143" t="s">
        <v>27</v>
      </c>
      <c r="G58" s="144" t="str">
        <f>VLOOKUP(E58,BDD!$A$2:$N$567,MATCH(G$24,BDD!$A$1:$P$1,0),FALSE)</f>
        <v>Le DSI et les différents niveaux d'encadrement, en lien avec la DRH, veillent à ce que le plan de formation soit en adéquation avec le plan de résorption des écarts.</v>
      </c>
      <c r="H58" s="149" t="str">
        <f>IF(VLOOKUP($E58,BDD!$A$2:$N$567,MATCH($H$23,BDD!$A$1:$P$1,0),FALSE)=H$24,V10_RH!H$24,"")</f>
        <v/>
      </c>
      <c r="I58" s="150" t="str">
        <f>IF(VLOOKUP($E58,BDD!$A$2:$N$567,MATCH($H$23,BDD!$A$1:$P$1,0),FALSE)=I$24,V10_RH!I$24,"")</f>
        <v>N2</v>
      </c>
      <c r="J58" s="150" t="str">
        <f>IF(VLOOKUP($E58,BDD!$A$2:$N$567,MATCH($H$23,BDD!$A$1:$P$1,0),FALSE)=J$24,V10_RH!J$24,"")</f>
        <v/>
      </c>
      <c r="K58" s="150" t="str">
        <f>IF(VLOOKUP($E58,BDD!$A$2:$N$567,MATCH($H$23,BDD!$A$1:$P$1,0),FALSE)=K$24,V10_RH!K$24,"")</f>
        <v/>
      </c>
      <c r="L58" s="151" t="str">
        <f>IF(VLOOKUP($E58,BDD!$A$2:$N$567,MATCH($H$23,BDD!$A$1:$P$1,0),FALSE)=L$24,V10_RH!L$24,"")</f>
        <v/>
      </c>
      <c r="M58" s="63">
        <f t="shared" ref="M58:M63" si="10">IF(N58="Exigences partiellement respectées",1,IF(N58="Exigences respectées",2,0))</f>
        <v>0</v>
      </c>
      <c r="N58" s="144" t="str">
        <f>VLOOKUP(VLOOKUP(E58,BDD!$A$2:$P$428,15,FALSE),Suppl!$D$64:$E$68,2,FALSE)</f>
        <v>Non renseigné</v>
      </c>
      <c r="O58" s="653"/>
      <c r="P58" s="653"/>
      <c r="Q58" s="653"/>
      <c r="R58" s="653"/>
      <c r="S58" s="627">
        <f>IF(N58=Suppl!$E$65,0,IF(N58=Suppl!$E$66,1/2/(COUNTIFS($D:$D,D58,$N:$N,"Exigences"&amp;"*",G:G,"&lt;&gt;0")+COUNTIFS($D:$D,D58,$N:$N,"Non"&amp;"*",G:G,"&lt;&gt;0")),IF(N58=Suppl!$E$67,1/(COUNTIFS($D:$D,D58,$N:$N,"Exigences"&amp;"*",G:G,"&lt;&gt;0")+COUNTIFS($D:$D,D58,$N:$N,"Non"&amp;"*",G:G,"&lt;&gt;0")),0)))</f>
        <v>0</v>
      </c>
      <c r="T58" s="627"/>
      <c r="U58" s="627"/>
      <c r="V58" s="628"/>
      <c r="W58" s="356">
        <f>IFERROR(IF(N58=Suppl!$E$65,0,IF(N58=Suppl!$E$66,1/2/(COUNTIFS($N:$N,"Exigences"&amp;"*")+COUNTIFS($N:$N,"Non"&amp;"*")),IF(N58=Suppl!$E$67,1/(COUNTIFS($N:$N,"Exigences"&amp;"*")+COUNTIFS($N:$N,"Non"&amp;"*")),0))),0)</f>
        <v>0</v>
      </c>
      <c r="X58" s="30"/>
      <c r="Y58" s="30"/>
      <c r="Z58" s="30"/>
      <c r="AA58" s="30"/>
      <c r="AB58" s="30"/>
      <c r="AC58" s="30"/>
      <c r="AD58" s="30"/>
      <c r="AE58" s="30"/>
      <c r="AF58" s="30"/>
      <c r="AG58" s="30"/>
      <c r="AH58" s="112"/>
      <c r="AI58" s="30"/>
    </row>
    <row r="59" spans="1:35" ht="41.4" x14ac:dyDescent="0.3">
      <c r="A59" s="112"/>
      <c r="B59" s="30"/>
      <c r="C59" s="30" t="str">
        <f t="shared" si="0"/>
        <v>10</v>
      </c>
      <c r="D59" s="32">
        <f t="shared" si="4"/>
        <v>6</v>
      </c>
      <c r="E59" s="32" t="str">
        <f t="shared" si="5"/>
        <v>1062</v>
      </c>
      <c r="F59" s="145" t="s">
        <v>28</v>
      </c>
      <c r="G59" s="146" t="str">
        <f>VLOOKUP(E59,BDD!$A$2:$N$567,MATCH(G$24,BDD!$A$1:$P$1,0),FALSE)</f>
        <v>Une offre de développement des compétences (formation, mentorat, accompagnement) est publiée et rendue visible à l’ensemble des collaborateurs de la fonction numérique.</v>
      </c>
      <c r="H59" s="149" t="str">
        <f>IF(VLOOKUP($E59,BDD!$A$2:$N$567,MATCH($H$23,BDD!$A$1:$P$1,0),FALSE)=H$24,V10_RH!H$24,"")</f>
        <v/>
      </c>
      <c r="I59" s="150" t="str">
        <f>IF(VLOOKUP($E59,BDD!$A$2:$N$567,MATCH($H$23,BDD!$A$1:$P$1,0),FALSE)=I$24,V10_RH!I$24,"")</f>
        <v>N2</v>
      </c>
      <c r="J59" s="150" t="str">
        <f>IF(VLOOKUP($E59,BDD!$A$2:$N$567,MATCH($H$23,BDD!$A$1:$P$1,0),FALSE)=J$24,V10_RH!J$24,"")</f>
        <v/>
      </c>
      <c r="K59" s="150" t="str">
        <f>IF(VLOOKUP($E59,BDD!$A$2:$N$567,MATCH($H$23,BDD!$A$1:$P$1,0),FALSE)=K$24,V10_RH!K$24,"")</f>
        <v/>
      </c>
      <c r="L59" s="151" t="str">
        <f>IF(VLOOKUP($E59,BDD!$A$2:$N$567,MATCH($H$23,BDD!$A$1:$P$1,0),FALSE)=L$24,V10_RH!L$24,"")</f>
        <v/>
      </c>
      <c r="M59" s="63">
        <f t="shared" si="10"/>
        <v>0</v>
      </c>
      <c r="N59" s="146" t="str">
        <f>VLOOKUP(VLOOKUP(E59,BDD!$A$2:$P$428,15,FALSE),Suppl!$D$64:$E$68,2,FALSE)</f>
        <v>Non renseigné</v>
      </c>
      <c r="O59" s="627"/>
      <c r="P59" s="627"/>
      <c r="Q59" s="627"/>
      <c r="R59" s="627"/>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112"/>
      <c r="AI59" s="30"/>
    </row>
    <row r="60" spans="1:35" ht="30" customHeight="1" x14ac:dyDescent="0.3">
      <c r="A60" s="112"/>
      <c r="B60" s="30"/>
      <c r="C60" s="30" t="str">
        <f t="shared" si="0"/>
        <v>10</v>
      </c>
      <c r="D60" s="32">
        <f t="shared" si="4"/>
        <v>6</v>
      </c>
      <c r="E60" s="32" t="str">
        <f t="shared" si="5"/>
        <v>1063</v>
      </c>
      <c r="F60" s="143" t="s">
        <v>30</v>
      </c>
      <c r="G60" s="144" t="str">
        <f>VLOOKUP(E60,BDD!$A$2:$N$567,MATCH(G$24,BDD!$A$1:$P$1,0),FALSE)</f>
        <v>La DSI favorise l'accès et le partage de connaissances internes et externes ainsi que la capitalisation des savoir-faire.</v>
      </c>
      <c r="H60" s="149" t="str">
        <f>IF(VLOOKUP($E60,BDD!$A$2:$N$567,MATCH($H$23,BDD!$A$1:$P$1,0),FALSE)=H$24,V10_RH!H$24,"")</f>
        <v/>
      </c>
      <c r="I60" s="150" t="str">
        <f>IF(VLOOKUP($E60,BDD!$A$2:$N$567,MATCH($H$23,BDD!$A$1:$P$1,0),FALSE)=I$24,V10_RH!I$24,"")</f>
        <v>N2</v>
      </c>
      <c r="J60" s="150" t="str">
        <f>IF(VLOOKUP($E60,BDD!$A$2:$N$567,MATCH($H$23,BDD!$A$1:$P$1,0),FALSE)=J$24,V10_RH!J$24,"")</f>
        <v/>
      </c>
      <c r="K60" s="150" t="str">
        <f>IF(VLOOKUP($E60,BDD!$A$2:$N$567,MATCH($H$23,BDD!$A$1:$P$1,0),FALSE)=K$24,V10_RH!K$24,"")</f>
        <v/>
      </c>
      <c r="L60" s="151" t="str">
        <f>IF(VLOOKUP($E60,BDD!$A$2:$N$567,MATCH($H$23,BDD!$A$1:$P$1,0),FALSE)=L$24,V10_RH!L$24,"")</f>
        <v/>
      </c>
      <c r="M60" s="63">
        <f t="shared" si="10"/>
        <v>0</v>
      </c>
      <c r="N60" s="144" t="str">
        <f>VLOOKUP(VLOOKUP(E60,BDD!$A$2:$P$428,15,FALSE),Suppl!$D$64:$E$68,2,FALSE)</f>
        <v>Non renseigné</v>
      </c>
      <c r="O60" s="627"/>
      <c r="P60" s="627"/>
      <c r="Q60" s="627"/>
      <c r="R60" s="627"/>
      <c r="S60" s="627">
        <f>IF(N60=Suppl!$E$65,0,IF(N60=Suppl!$E$66,1/2/(COUNTIFS($D:$D,D60,$N:$N,"Exigences"&amp;"*",G:G,"&lt;&gt;0")+COUNTIFS($D:$D,D60,$N:$N,"Non"&amp;"*",G:G,"&lt;&gt;0")),IF(N60=Suppl!$E$67,1/(COUNTIFS($D:$D,D60,$N:$N,"Exigences"&amp;"*",G:G,"&lt;&gt;0")+COUNTIFS($D:$D,D60,$N:$N,"Non"&amp;"*",G:G,"&lt;&gt;0")),0)))</f>
        <v>0</v>
      </c>
      <c r="T60" s="627"/>
      <c r="U60" s="627"/>
      <c r="V60" s="628"/>
      <c r="W60" s="356">
        <f>IFERROR(IF(N60=Suppl!$E$65,0,IF(N60=Suppl!$E$66,1/2/(COUNTIFS($N:$N,"Exigences"&amp;"*")+COUNTIFS($N:$N,"Non"&amp;"*")),IF(N60=Suppl!$E$67,1/(COUNTIFS($N:$N,"Exigences"&amp;"*")+COUNTIFS($N:$N,"Non"&amp;"*")),0))),0)</f>
        <v>0</v>
      </c>
      <c r="X60" s="30"/>
      <c r="Y60" s="30"/>
      <c r="Z60" s="30"/>
      <c r="AA60" s="30"/>
      <c r="AB60" s="30"/>
      <c r="AC60" s="30"/>
      <c r="AD60" s="30"/>
      <c r="AE60" s="30"/>
      <c r="AF60" s="30"/>
      <c r="AG60" s="30"/>
      <c r="AH60" s="112"/>
      <c r="AI60" s="30"/>
    </row>
    <row r="61" spans="1:35" ht="30" customHeight="1" x14ac:dyDescent="0.3">
      <c r="A61" s="112"/>
      <c r="B61" s="30"/>
      <c r="C61" s="30" t="str">
        <f t="shared" si="0"/>
        <v>10</v>
      </c>
      <c r="D61" s="32">
        <f t="shared" si="4"/>
        <v>6</v>
      </c>
      <c r="E61" s="32" t="str">
        <f t="shared" si="5"/>
        <v>1064</v>
      </c>
      <c r="F61" s="145" t="s">
        <v>32</v>
      </c>
      <c r="G61" s="146" t="str">
        <f>VLOOKUP(E61,BDD!$A$2:$N$567,MATCH(G$24,BDD!$A$1:$P$1,0),FALSE)</f>
        <v>Une mesure de l'efficacité de l'exécution de la stratégie de développement des compétences internes est mise en œuvre et formalisée par la DSI.</v>
      </c>
      <c r="H61" s="149" t="str">
        <f>IF(VLOOKUP($E61,BDD!$A$2:$N$567,MATCH($H$23,BDD!$A$1:$P$1,0),FALSE)=H$24,V10_RH!H$24,"")</f>
        <v/>
      </c>
      <c r="I61" s="150" t="str">
        <f>IF(VLOOKUP($E61,BDD!$A$2:$N$567,MATCH($H$23,BDD!$A$1:$P$1,0),FALSE)=I$24,V10_RH!I$24,"")</f>
        <v/>
      </c>
      <c r="J61" s="150" t="str">
        <f>IF(VLOOKUP($E61,BDD!$A$2:$N$567,MATCH($H$23,BDD!$A$1:$P$1,0),FALSE)=J$24,V10_RH!J$24,"")</f>
        <v>N3</v>
      </c>
      <c r="K61" s="150" t="str">
        <f>IF(VLOOKUP($E61,BDD!$A$2:$N$567,MATCH($H$23,BDD!$A$1:$P$1,0),FALSE)=K$24,V10_RH!K$24,"")</f>
        <v/>
      </c>
      <c r="L61" s="151" t="str">
        <f>IF(VLOOKUP($E61,BDD!$A$2:$N$567,MATCH($H$23,BDD!$A$1:$P$1,0),FALSE)=L$24,V10_RH!L$24,"")</f>
        <v/>
      </c>
      <c r="M61" s="63">
        <f t="shared" si="10"/>
        <v>0</v>
      </c>
      <c r="N61" s="146" t="str">
        <f>VLOOKUP(VLOOKUP(E61,BDD!$A$2:$P$428,15,FALSE),Suppl!$D$64:$E$68,2,FALSE)</f>
        <v>Non renseigné</v>
      </c>
      <c r="O61" s="627"/>
      <c r="P61" s="627"/>
      <c r="Q61" s="627"/>
      <c r="R61" s="627"/>
      <c r="S61" s="627">
        <f>IF(N61=Suppl!$E$65,0,IF(N61=Suppl!$E$66,1/2/(COUNTIFS($D:$D,D61,$N:$N,"Exigences"&amp;"*",G:G,"&lt;&gt;0")+COUNTIFS($D:$D,D61,$N:$N,"Non"&amp;"*",G:G,"&lt;&gt;0")),IF(N61=Suppl!$E$67,1/(COUNTIFS($D:$D,D61,$N:$N,"Exigences"&amp;"*",G:G,"&lt;&gt;0")+COUNTIFS($D:$D,D61,$N:$N,"Non"&amp;"*",G:G,"&lt;&gt;0")),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112"/>
      <c r="AI61" s="30"/>
    </row>
    <row r="62" spans="1:35" ht="30" customHeight="1" x14ac:dyDescent="0.3">
      <c r="A62" s="112"/>
      <c r="B62" s="30"/>
      <c r="C62" s="30" t="str">
        <f t="shared" si="0"/>
        <v>10</v>
      </c>
      <c r="D62" s="32">
        <f t="shared" si="4"/>
        <v>6</v>
      </c>
      <c r="E62" s="32" t="str">
        <f t="shared" si="5"/>
        <v>1065</v>
      </c>
      <c r="F62" s="143" t="s">
        <v>33</v>
      </c>
      <c r="G62" s="144" t="str">
        <f>VLOOKUP(E62,BDD!$A$2:$N$567,MATCH(G$24,BDD!$A$1:$P$1,0),FALSE)</f>
        <v>Conformément à la politique RH de l'organisation, les managers font un point régulier avec leurs collaborateurs sur leur montée en compétences.</v>
      </c>
      <c r="H62" s="149" t="str">
        <f>IF(VLOOKUP($E62,BDD!$A$2:$N$567,MATCH($H$23,BDD!$A$1:$P$1,0),FALSE)=H$24,V10_RH!H$24,"")</f>
        <v>N1</v>
      </c>
      <c r="I62" s="150" t="str">
        <f>IF(VLOOKUP($E62,BDD!$A$2:$N$567,MATCH($H$23,BDD!$A$1:$P$1,0),FALSE)=I$24,V10_RH!I$24,"")</f>
        <v/>
      </c>
      <c r="J62" s="150" t="str">
        <f>IF(VLOOKUP($E62,BDD!$A$2:$N$567,MATCH($H$23,BDD!$A$1:$P$1,0),FALSE)=J$24,V10_RH!J$24,"")</f>
        <v/>
      </c>
      <c r="K62" s="150" t="str">
        <f>IF(VLOOKUP($E62,BDD!$A$2:$N$567,MATCH($H$23,BDD!$A$1:$P$1,0),FALSE)=K$24,V10_RH!K$24,"")</f>
        <v/>
      </c>
      <c r="L62" s="151" t="str">
        <f>IF(VLOOKUP($E62,BDD!$A$2:$N$567,MATCH($H$23,BDD!$A$1:$P$1,0),FALSE)=L$24,V10_RH!L$24,"")</f>
        <v/>
      </c>
      <c r="M62" s="63">
        <f t="shared" si="10"/>
        <v>0</v>
      </c>
      <c r="N62" s="144" t="str">
        <f>VLOOKUP(VLOOKUP(E62,BDD!$A$2:$P$428,15,FALSE),Suppl!$D$64:$E$68,2,FALSE)</f>
        <v>Non renseigné</v>
      </c>
      <c r="O62" s="627"/>
      <c r="P62" s="627"/>
      <c r="Q62" s="627"/>
      <c r="R62" s="627"/>
      <c r="S62" s="627">
        <f>IF(N62=Suppl!$E$65,0,IF(N62=Suppl!$E$66,1/2/(COUNTIFS($D:$D,D62,$N:$N,"Exigences"&amp;"*",G:G,"&lt;&gt;0")+COUNTIFS($D:$D,D62,$N:$N,"Non"&amp;"*",G:G,"&lt;&gt;0")),IF(N62=Suppl!$E$67,1/(COUNTIFS($D:$D,D62,$N:$N,"Exigences"&amp;"*",G:G,"&lt;&gt;0")+COUNTIFS($D:$D,D62,$N:$N,"Non"&amp;"*",G:G,"&lt;&gt;0")),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112"/>
      <c r="AI62" s="30"/>
    </row>
    <row r="63" spans="1:35" ht="30" customHeight="1" x14ac:dyDescent="0.3">
      <c r="A63" s="112"/>
      <c r="B63" s="30"/>
      <c r="C63" s="30" t="str">
        <f t="shared" si="0"/>
        <v>10</v>
      </c>
      <c r="D63" s="32">
        <f t="shared" si="4"/>
        <v>6</v>
      </c>
      <c r="E63" s="32" t="str">
        <f t="shared" si="5"/>
        <v>1066</v>
      </c>
      <c r="F63" s="147" t="s">
        <v>34</v>
      </c>
      <c r="G63" s="148" t="str">
        <f>VLOOKUP(E63,BDD!$A$2:$N$567,MATCH(G$24,BDD!$A$1:$P$1,0),FALSE)</f>
        <v xml:space="preserve">Un bilan annuel des compétences numériques est réalisé par la DSI et la DRH et il est présenté aux instances ad hoc (direction générale, partenaires sociaux). </v>
      </c>
      <c r="H63" s="149" t="str">
        <f>IF(VLOOKUP($E63,BDD!$A$2:$N$567,MATCH($H$23,BDD!$A$1:$P$1,0),FALSE)=H$24,V10_RH!H$24,"")</f>
        <v/>
      </c>
      <c r="I63" s="150" t="str">
        <f>IF(VLOOKUP($E63,BDD!$A$2:$N$567,MATCH($H$23,BDD!$A$1:$P$1,0),FALSE)=I$24,V10_RH!I$24,"")</f>
        <v/>
      </c>
      <c r="J63" s="150" t="str">
        <f>IF(VLOOKUP($E63,BDD!$A$2:$N$567,MATCH($H$23,BDD!$A$1:$P$1,0),FALSE)=J$24,V10_RH!J$24,"")</f>
        <v>N3</v>
      </c>
      <c r="K63" s="150" t="str">
        <f>IF(VLOOKUP($E63,BDD!$A$2:$N$567,MATCH($H$23,BDD!$A$1:$P$1,0),FALSE)=K$24,V10_RH!K$24,"")</f>
        <v/>
      </c>
      <c r="L63" s="151" t="str">
        <f>IF(VLOOKUP($E63,BDD!$A$2:$N$567,MATCH($H$23,BDD!$A$1:$P$1,0),FALSE)=L$24,V10_RH!L$24,"")</f>
        <v/>
      </c>
      <c r="M63" s="63">
        <f t="shared" si="10"/>
        <v>0</v>
      </c>
      <c r="N63" s="253" t="str">
        <f>VLOOKUP(VLOOKUP(E63,BDD!$A$2:$P$428,15,FALSE),Suppl!$D$64:$E$68,2,FALSE)</f>
        <v>Non renseigné</v>
      </c>
      <c r="O63" s="624"/>
      <c r="P63" s="624"/>
      <c r="Q63" s="624"/>
      <c r="R63" s="624"/>
      <c r="S63" s="624">
        <f>IF(N63=Suppl!$E$65,0,IF(N63=Suppl!$E$66,1/2/(COUNTIFS($D:$D,D63,$N:$N,"Exigences"&amp;"*",G:G,"&lt;&gt;0")+COUNTIFS($D:$D,D63,$N:$N,"Non"&amp;"*",G:G,"&lt;&gt;0")),IF(N63=Suppl!$E$67,1/(COUNTIFS($D:$D,D63,$N:$N,"Exigences"&amp;"*",G:G,"&lt;&gt;0")+COUNTIFS($D:$D,D63,$N:$N,"Non"&amp;"*",G:G,"&lt;&gt;0")),0)))</f>
        <v>0</v>
      </c>
      <c r="T63" s="624"/>
      <c r="U63" s="624"/>
      <c r="V63" s="625"/>
      <c r="W63" s="356">
        <f>IFERROR(IF(N63=Suppl!$E$65,0,IF(N63=Suppl!$E$66,1/2/(COUNTIFS($N:$N,"Exigences"&amp;"*")+COUNTIFS($N:$N,"Non"&amp;"*")),IF(N63=Suppl!$E$67,1/(COUNTIFS($N:$N,"Exigences"&amp;"*")+COUNTIFS($N:$N,"Non"&amp;"*")),0))),0)</f>
        <v>0</v>
      </c>
      <c r="X63" s="30"/>
      <c r="Y63" s="30"/>
      <c r="Z63" s="30"/>
      <c r="AA63" s="30"/>
      <c r="AB63" s="30"/>
      <c r="AC63" s="30"/>
      <c r="AD63" s="30"/>
      <c r="AE63" s="30"/>
      <c r="AF63" s="30"/>
      <c r="AG63" s="30"/>
      <c r="AH63" s="112"/>
      <c r="AI63" s="30"/>
    </row>
    <row r="64" spans="1:35" ht="30" customHeight="1" x14ac:dyDescent="0.3">
      <c r="A64" s="112"/>
      <c r="B64" s="30"/>
      <c r="C64" s="30"/>
      <c r="D64" s="32"/>
      <c r="E64" s="32"/>
      <c r="F64" s="244"/>
      <c r="G64" s="252"/>
      <c r="H64" s="32"/>
      <c r="I64" s="32"/>
      <c r="J64" s="32"/>
      <c r="K64" s="32"/>
      <c r="L64" s="32"/>
      <c r="M64" s="251"/>
      <c r="N64" s="252"/>
      <c r="O64" s="227"/>
      <c r="P64" s="227"/>
      <c r="Q64" s="227"/>
      <c r="R64" s="227"/>
      <c r="S64" s="228"/>
      <c r="T64" s="228"/>
      <c r="U64" s="228"/>
      <c r="V64" s="228"/>
      <c r="W64" s="30"/>
      <c r="X64" s="30"/>
      <c r="Y64" s="30"/>
      <c r="Z64" s="30"/>
      <c r="AA64" s="30"/>
      <c r="AB64" s="30"/>
      <c r="AC64" s="30"/>
      <c r="AD64" s="30"/>
      <c r="AE64" s="30"/>
      <c r="AF64" s="30"/>
      <c r="AG64" s="30"/>
      <c r="AH64" s="112"/>
      <c r="AI64" s="30"/>
    </row>
    <row r="65" spans="1:35" ht="30" customHeight="1" x14ac:dyDescent="0.3">
      <c r="A65" s="112" t="s">
        <v>164</v>
      </c>
      <c r="B65" s="112"/>
      <c r="C65" s="112"/>
      <c r="D65" s="112"/>
      <c r="E65" s="112"/>
      <c r="F65" s="112"/>
      <c r="G65" s="118"/>
      <c r="H65" s="118"/>
      <c r="I65" s="118"/>
      <c r="J65" s="118"/>
      <c r="K65" s="118"/>
      <c r="L65" s="118"/>
      <c r="M65" s="118"/>
      <c r="N65" s="112"/>
      <c r="O65" s="112"/>
      <c r="P65" s="112"/>
      <c r="Q65" s="112"/>
      <c r="R65" s="112"/>
      <c r="S65" s="112"/>
      <c r="T65" s="112"/>
      <c r="U65" s="112"/>
      <c r="V65" s="112"/>
      <c r="W65" s="121"/>
      <c r="X65" s="112"/>
      <c r="Y65" s="112"/>
      <c r="Z65" s="112"/>
      <c r="AA65" s="112"/>
      <c r="AB65" s="112"/>
      <c r="AC65" s="112"/>
      <c r="AD65" s="112"/>
      <c r="AE65" s="112"/>
      <c r="AF65" s="112"/>
      <c r="AG65" s="112"/>
      <c r="AH65" s="112" t="s">
        <v>164</v>
      </c>
      <c r="AI65" s="30"/>
    </row>
  </sheetData>
  <sheetProtection algorithmName="SHA-512" hashValue="qHgs19mxNeR3j0l26WMP9LXOe3buFBwlo7yFjv+x+Q7aNeWwmEVGi72eZYzH6F1esn3mrj3wiLGUUFTJw/dA0Q==" saltValue="nYpsiTGQZE4OVdK9qgNyOQ=="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73">
    <mergeCell ref="O63:R63"/>
    <mergeCell ref="S63:V63"/>
    <mergeCell ref="O60:R60"/>
    <mergeCell ref="S60:V60"/>
    <mergeCell ref="O61:R61"/>
    <mergeCell ref="S61:V61"/>
    <mergeCell ref="O62:R62"/>
    <mergeCell ref="S62:V62"/>
    <mergeCell ref="O25:R26"/>
    <mergeCell ref="S25:V26"/>
    <mergeCell ref="AD7:AD10"/>
    <mergeCell ref="O21:R21"/>
    <mergeCell ref="O22:R22"/>
    <mergeCell ref="O24:R24"/>
    <mergeCell ref="S24:V24"/>
    <mergeCell ref="O20:R20"/>
    <mergeCell ref="O27:R27"/>
    <mergeCell ref="S27:V27"/>
    <mergeCell ref="O28:R28"/>
    <mergeCell ref="S28:V28"/>
    <mergeCell ref="O29:R29"/>
    <mergeCell ref="S29:V29"/>
    <mergeCell ref="O30:R30"/>
    <mergeCell ref="S30:V30"/>
    <mergeCell ref="O31:R31"/>
    <mergeCell ref="S31:V31"/>
    <mergeCell ref="O32:R32"/>
    <mergeCell ref="S32:V32"/>
    <mergeCell ref="O33:R34"/>
    <mergeCell ref="S33:V34"/>
    <mergeCell ref="O35:R35"/>
    <mergeCell ref="S35:V35"/>
    <mergeCell ref="O36:R36"/>
    <mergeCell ref="S36:V36"/>
    <mergeCell ref="O37:R37"/>
    <mergeCell ref="S37:V37"/>
    <mergeCell ref="O38:R39"/>
    <mergeCell ref="S38:V39"/>
    <mergeCell ref="O40:R40"/>
    <mergeCell ref="S40:V40"/>
    <mergeCell ref="O41:R41"/>
    <mergeCell ref="S41:V41"/>
    <mergeCell ref="O42:R42"/>
    <mergeCell ref="S42:V42"/>
    <mergeCell ref="O43:R44"/>
    <mergeCell ref="S43:V44"/>
    <mergeCell ref="O45:R45"/>
    <mergeCell ref="S45:V45"/>
    <mergeCell ref="O46:R46"/>
    <mergeCell ref="S46:V46"/>
    <mergeCell ref="O47:R47"/>
    <mergeCell ref="S47:V47"/>
    <mergeCell ref="S48:V48"/>
    <mergeCell ref="O49:R49"/>
    <mergeCell ref="S49:V49"/>
    <mergeCell ref="O50:R50"/>
    <mergeCell ref="S50:V50"/>
    <mergeCell ref="G39:N39"/>
    <mergeCell ref="O59:R59"/>
    <mergeCell ref="S59:V59"/>
    <mergeCell ref="O54:R54"/>
    <mergeCell ref="S54:V54"/>
    <mergeCell ref="O55:R55"/>
    <mergeCell ref="S55:V55"/>
    <mergeCell ref="O56:R57"/>
    <mergeCell ref="S56:V57"/>
    <mergeCell ref="O51:R52"/>
    <mergeCell ref="S51:V52"/>
    <mergeCell ref="O53:R53"/>
    <mergeCell ref="S53:V53"/>
    <mergeCell ref="O58:R58"/>
    <mergeCell ref="S58:V58"/>
    <mergeCell ref="O48:R48"/>
  </mergeCells>
  <conditionalFormatting sqref="G5:G11 G22 G13:G19">
    <cfRule type="expression" dxfId="48" priority="12">
      <formula>$G5&lt;&gt;""</formula>
    </cfRule>
  </conditionalFormatting>
  <conditionalFormatting sqref="H27:L38 H40:L64">
    <cfRule type="expression" dxfId="47" priority="16">
      <formula>AND($N27="Non évalué",H27&lt;&gt;"")</formula>
    </cfRule>
    <cfRule type="expression" dxfId="46" priority="17">
      <formula>AND($N27="Exigences non respectées",H27&lt;&gt;"")</formula>
    </cfRule>
    <cfRule type="expression" dxfId="45" priority="18">
      <formula>AND($N27="Exigences partiellement respectées",H27&lt;&gt;"")</formula>
    </cfRule>
    <cfRule type="expression" dxfId="44" priority="19">
      <formula>AND($N27="Exigences respectées",H27&lt;&gt;"")</formula>
    </cfRule>
  </conditionalFormatting>
  <conditionalFormatting sqref="O8:U15">
    <cfRule type="cellIs" dxfId="43" priority="6" operator="equal">
      <formula>3</formula>
    </cfRule>
    <cfRule type="cellIs" dxfId="42" priority="7" operator="equal">
      <formula>2</formula>
    </cfRule>
    <cfRule type="cellIs" dxfId="41" priority="8" operator="equal">
      <formula>1</formula>
    </cfRule>
  </conditionalFormatting>
  <conditionalFormatting sqref="G20:G21">
    <cfRule type="expression" dxfId="40" priority="5">
      <formula>$G20&lt;&gt;""</formula>
    </cfRule>
  </conditionalFormatting>
  <conditionalFormatting sqref="O16:U16">
    <cfRule type="cellIs" dxfId="39" priority="2" operator="equal">
      <formula>3</formula>
    </cfRule>
    <cfRule type="cellIs" dxfId="38" priority="3" operator="equal">
      <formula>2</formula>
    </cfRule>
    <cfRule type="cellIs" dxfId="37" priority="4" operator="equal">
      <formula>1</formula>
    </cfRule>
  </conditionalFormatting>
  <conditionalFormatting sqref="O20:R20">
    <cfRule type="cellIs" dxfId="36"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2D40235-D7A3-460E-A2D9-3A4DEE000D19}">
          <x14:formula1>
            <xm:f>Suppl!$E$65:$E$69</xm:f>
          </x14:formula1>
          <xm:sqref>W16 W8:W13</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AD83-271B-4C2C-BFD7-0ABF9FA5AE13}">
  <sheetPr codeName="Feuil49">
    <tabColor rgb="FF69625F"/>
  </sheetPr>
  <dimension ref="A1:P118"/>
  <sheetViews>
    <sheetView showGridLines="0" showRowColHeaders="0" zoomScale="67" zoomScaleNormal="67" workbookViewId="0">
      <selection activeCell="J111" sqref="J111"/>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109"/>
      <c r="B1" s="231" t="s">
        <v>568</v>
      </c>
      <c r="C1" s="110"/>
      <c r="D1" s="110"/>
      <c r="E1" s="110"/>
      <c r="F1" s="110"/>
      <c r="G1" s="109"/>
      <c r="H1" s="111"/>
      <c r="I1" s="111"/>
      <c r="J1" s="232" t="str">
        <f>VLOOKUP($E$12,BDD!$A$2:$N$567,3,FALSE)</f>
        <v>Prestataires &amp; fournisseurs</v>
      </c>
      <c r="K1" s="111"/>
      <c r="L1" s="109"/>
      <c r="M1" s="109"/>
      <c r="N1" s="109"/>
      <c r="O1" s="109"/>
      <c r="P1" s="109"/>
    </row>
    <row r="2" spans="1:16" ht="45" customHeight="1" x14ac:dyDescent="0.3">
      <c r="A2" s="109"/>
      <c r="B2" s="109"/>
      <c r="C2" s="109"/>
      <c r="D2" s="109"/>
      <c r="E2" s="109"/>
      <c r="F2" s="109"/>
      <c r="G2" s="109"/>
      <c r="H2" s="109"/>
      <c r="I2" s="109"/>
      <c r="J2" s="114" t="str">
        <f>VLOOKUP($E$12,BDD!$A$2:$N$567,4,FALSE)</f>
        <v>Piloter les relations avec les fournisseurs de services et de solutions numériques</v>
      </c>
      <c r="K2" s="109"/>
      <c r="L2" s="109"/>
      <c r="M2" s="109"/>
      <c r="N2" s="109"/>
      <c r="O2" s="109"/>
      <c r="P2" s="109"/>
    </row>
    <row r="3" spans="1:16" ht="18" x14ac:dyDescent="0.35">
      <c r="A3" s="109"/>
      <c r="B3" s="68"/>
      <c r="C3" s="68"/>
      <c r="D3" s="68"/>
      <c r="E3" s="68"/>
      <c r="F3" s="68"/>
      <c r="G3" s="69" t="str">
        <f>IF(Suppl!B64=2,"Le vecteur n'est pas utilisé","")</f>
        <v/>
      </c>
      <c r="H3" s="69"/>
      <c r="I3" s="69"/>
      <c r="J3" s="69"/>
      <c r="K3" s="69"/>
      <c r="L3" s="70"/>
      <c r="M3" s="68"/>
      <c r="N3" s="68"/>
      <c r="O3" s="68"/>
      <c r="P3" s="109"/>
    </row>
    <row r="4" spans="1:16" x14ac:dyDescent="0.3">
      <c r="A4" s="109"/>
      <c r="B4" s="68"/>
      <c r="C4" s="68"/>
      <c r="D4" s="68"/>
      <c r="E4" s="68"/>
      <c r="F4" s="68"/>
      <c r="G4" s="68"/>
      <c r="H4" s="68"/>
      <c r="I4" s="68"/>
      <c r="J4" s="68"/>
      <c r="K4" s="68"/>
      <c r="L4" s="68"/>
      <c r="M4" s="68"/>
      <c r="N4" s="68"/>
      <c r="O4" s="68"/>
      <c r="P4" s="109"/>
    </row>
    <row r="5" spans="1:16" ht="25.8" x14ac:dyDescent="0.5">
      <c r="A5" s="229"/>
      <c r="B5" s="74"/>
      <c r="C5" s="68" t="str">
        <f>IF(LEFT(RIGHT($B$1,2),1)=" ",RIGHT($B$1,1),RIGHT($B$1,2))</f>
        <v>11</v>
      </c>
      <c r="D5" s="68">
        <f>IF(LEFT(F5,14)="Bonne pratique",D4+1,D4)</f>
        <v>1</v>
      </c>
      <c r="E5" s="71"/>
      <c r="F5" s="208" t="s">
        <v>499</v>
      </c>
      <c r="G5" s="75"/>
      <c r="H5" s="205"/>
      <c r="I5" s="73"/>
      <c r="J5" s="73" t="str">
        <f>VLOOKUP(E12,BDD!$A$2:$N$567,6,FALSE)</f>
        <v>Stratégie et gouvernance</v>
      </c>
      <c r="K5" s="72"/>
      <c r="L5" s="75"/>
      <c r="M5" s="75"/>
      <c r="N5" s="75"/>
      <c r="O5" s="74"/>
      <c r="P5" s="229"/>
    </row>
    <row r="6" spans="1:16" x14ac:dyDescent="0.3">
      <c r="A6" s="109"/>
      <c r="B6" s="68"/>
      <c r="C6" s="68" t="str">
        <f t="shared" ref="C6:C69" si="0">IF(LEFT(RIGHT($B$1,2),1)=" ",RIGHT($B$1,1),RIGHT($B$1,2))</f>
        <v>11</v>
      </c>
      <c r="D6" s="68">
        <f>IF(LEFT(F6,14)="Bonne pratique",D5+1,D5)</f>
        <v>1</v>
      </c>
      <c r="E6" s="68"/>
      <c r="F6" s="68"/>
      <c r="G6" s="68"/>
      <c r="H6" s="68"/>
      <c r="I6" s="68"/>
      <c r="J6" s="68"/>
      <c r="K6" s="68"/>
      <c r="L6" s="68"/>
      <c r="M6" s="68"/>
      <c r="N6" s="68"/>
      <c r="O6" s="68"/>
      <c r="P6" s="109"/>
    </row>
    <row r="7" spans="1:16" ht="23.4" customHeight="1" x14ac:dyDescent="0.35">
      <c r="A7" s="230"/>
      <c r="B7" s="76"/>
      <c r="C7" s="68" t="str">
        <f t="shared" si="0"/>
        <v>11</v>
      </c>
      <c r="D7" s="68">
        <f t="shared" ref="D7:D67" si="1">IF(LEFT(F7,14)="Bonne pratique",D6+1,D6)</f>
        <v>1</v>
      </c>
      <c r="E7" s="76"/>
      <c r="F7" s="76"/>
      <c r="G7" s="76"/>
      <c r="H7" s="76"/>
      <c r="I7" s="77"/>
      <c r="J7" s="207" t="str">
        <f>IFERROR(_xlfn.TEXTBEFORE(VLOOKUP(E12,BDD!$A$2:$N$567,7,FALSE)," ",30),VLOOKUP(E12,BDD!$A$2:$N$567,7,FALSE))</f>
        <v>Une stratégie de Make or Buy et la gouvernance associée ont été définies</v>
      </c>
      <c r="K7" s="77"/>
      <c r="L7" s="76"/>
      <c r="M7" s="76"/>
      <c r="N7" s="76"/>
      <c r="O7" s="76"/>
      <c r="P7" s="230"/>
    </row>
    <row r="8" spans="1:16" ht="18" x14ac:dyDescent="0.35">
      <c r="A8" s="109"/>
      <c r="B8" s="68"/>
      <c r="C8" s="68" t="str">
        <f t="shared" si="0"/>
        <v>11</v>
      </c>
      <c r="D8" s="68">
        <f t="shared" si="1"/>
        <v>1</v>
      </c>
      <c r="E8" s="68"/>
      <c r="F8" s="68"/>
      <c r="G8" s="68"/>
      <c r="H8" s="68"/>
      <c r="I8" s="68"/>
      <c r="J8" s="207" t="str">
        <f>IFERROR(_xlfn.TEXTAFTER(VLOOKUP(E12,BDD!$A$2:$N$567,7,FALSE)," ",30),"")</f>
        <v/>
      </c>
      <c r="K8" s="68"/>
      <c r="L8" s="68"/>
      <c r="M8" s="68"/>
      <c r="N8" s="68"/>
      <c r="O8" s="68"/>
      <c r="P8" s="109"/>
    </row>
    <row r="9" spans="1:16" x14ac:dyDescent="0.3">
      <c r="A9" s="109"/>
      <c r="B9" s="68"/>
      <c r="C9" s="68" t="str">
        <f t="shared" si="0"/>
        <v>11</v>
      </c>
      <c r="D9" s="68">
        <f t="shared" si="1"/>
        <v>1</v>
      </c>
      <c r="E9" s="68"/>
      <c r="F9" s="68"/>
      <c r="G9" s="78"/>
      <c r="H9" s="78"/>
      <c r="I9" s="78"/>
      <c r="J9" s="78"/>
      <c r="K9" s="78"/>
      <c r="L9" s="78"/>
      <c r="M9" s="618" t="s">
        <v>92</v>
      </c>
      <c r="N9" s="618"/>
      <c r="O9" s="68"/>
      <c r="P9" s="109"/>
    </row>
    <row r="10" spans="1:16" ht="33" x14ac:dyDescent="0.3">
      <c r="A10" s="109"/>
      <c r="B10" s="68"/>
      <c r="C10" s="68" t="str">
        <f t="shared" si="0"/>
        <v>11</v>
      </c>
      <c r="D10" s="68">
        <f t="shared" si="1"/>
        <v>1</v>
      </c>
      <c r="E10" s="68"/>
      <c r="F10" s="79"/>
      <c r="G10" s="80" t="s">
        <v>561</v>
      </c>
      <c r="H10" s="80" t="s">
        <v>82</v>
      </c>
      <c r="I10" s="126" t="s">
        <v>21</v>
      </c>
      <c r="J10" s="80" t="s">
        <v>84</v>
      </c>
      <c r="K10" s="80" t="s">
        <v>549</v>
      </c>
      <c r="L10" s="78"/>
      <c r="M10" s="81" t="s">
        <v>86</v>
      </c>
      <c r="N10" s="82" t="s">
        <v>87</v>
      </c>
      <c r="O10" s="68"/>
      <c r="P10" s="109"/>
    </row>
    <row r="11" spans="1:16" x14ac:dyDescent="0.3">
      <c r="A11" s="109"/>
      <c r="B11" s="68"/>
      <c r="C11" s="68" t="str">
        <f t="shared" si="0"/>
        <v>11</v>
      </c>
      <c r="D11" s="68">
        <f t="shared" si="1"/>
        <v>1</v>
      </c>
      <c r="E11" s="68"/>
      <c r="F11" s="68"/>
      <c r="G11" s="83"/>
      <c r="H11" s="83"/>
      <c r="I11" s="83"/>
      <c r="J11" s="68"/>
      <c r="K11" s="83"/>
      <c r="L11" s="68"/>
      <c r="M11" s="68"/>
      <c r="N11" s="68"/>
      <c r="O11" s="68"/>
      <c r="P11" s="109"/>
    </row>
    <row r="12" spans="1:16" ht="130.05000000000001" customHeight="1" x14ac:dyDescent="0.3">
      <c r="A12" s="109"/>
      <c r="B12" s="68"/>
      <c r="C12" s="68" t="str">
        <f t="shared" si="0"/>
        <v>11</v>
      </c>
      <c r="D12" s="68">
        <f t="shared" si="1"/>
        <v>1</v>
      </c>
      <c r="E12" s="84" t="str">
        <f>C12&amp;D12&amp;RIGHT(F12,1)</f>
        <v>1111</v>
      </c>
      <c r="F12" s="66" t="s">
        <v>27</v>
      </c>
      <c r="G12" s="67" t="str">
        <f>IFERROR(IF(VLOOKUP($E12,BDD!$A$1:$S$567,MATCH(G$10,BDD!$A$1:$P$1,0),FALSE)=0,"",VLOOKUP($E12,BDD!$A$1:$S$567,MATCH(G$10,BDD!$A$1:$P$1,0),FALSE)),"")</f>
        <v>La stratégie d’externalisation SI inclut la politique « make or buy ». La DSI évalue, avec les métiers, l'opportunité de recourir à la prestation en fonction de la criticité des activités concernées et fait valider la décision au niveau hiérarchique approprié.</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Cette évaluation comporte :  
- une cartographie des activités de l'organisation et des activités numériques correspondantes.
- la prise en compte des enjeux de massification ou de diversification des prestataires.
- une évaluation des différents critères : alignement sur la stratégie du métier, maturité du marché et des offres, nécessités opérationnelles, besoin d'agilité et de flexibilité, nombre et qualité des compétences internes.
- une évaluation des risques sociaux, juridiques, financiers, industriels, d'image et de dépendance.</v>
      </c>
      <c r="L12" s="68"/>
      <c r="M12" s="87"/>
      <c r="N12" s="87"/>
      <c r="O12" s="68"/>
      <c r="P12" s="109"/>
    </row>
    <row r="13" spans="1:16" ht="130.05000000000001" customHeight="1" x14ac:dyDescent="0.3">
      <c r="A13" s="109"/>
      <c r="B13" s="68"/>
      <c r="C13" s="68" t="str">
        <f t="shared" si="0"/>
        <v>11</v>
      </c>
      <c r="D13" s="68">
        <f t="shared" si="1"/>
        <v>1</v>
      </c>
      <c r="E13" s="84" t="str">
        <f t="shared" ref="E13:E82" si="2">C13&amp;D13&amp;RIGHT(F13,1)</f>
        <v>1112</v>
      </c>
      <c r="F13" s="249" t="s">
        <v>28</v>
      </c>
      <c r="G13" s="96" t="str">
        <f>IFERROR(IF(VLOOKUP($E13,BDD!$A$1:$S$567,MATCH(G$10,BDD!$A$1:$P$1,0),FALSE)=0,"",VLOOKUP($E13,BDD!$A$1:$S$567,MATCH(G$10,BDD!$A$1:$P$1,0),FALSE)),"")</f>
        <v>Un dispositif de gestion des services externalisés a été mis en place (organisation, processus). Il inclut en particulier un volet de management des risques.</v>
      </c>
      <c r="H13" s="210" t="str">
        <f>IF(VLOOKUP(E13,BDD!$A$1:$S$567,15,FALSE)=0,"Critère non évalué","")</f>
        <v>Critère non évalué</v>
      </c>
      <c r="I13" s="64" t="str">
        <f>IFERROR(IF(VLOOKUP($E13,BDD!$A$1:$S$567,MATCH(I$10,BDD!$A$1:$P$1,0),FALSE)=0,"",VLOOKUP($E13,BDD!$A$1:$S$567,MATCH(I$10,BDD!$A$1:$P$1,0),FALSE)),"")</f>
        <v>N3</v>
      </c>
      <c r="J13" s="206"/>
      <c r="K13" s="96" t="str">
        <f>IFERROR(IF(VLOOKUP($E13,BDD!$A$1:$S$567,MATCH(K$10,BDD!$A$1:$P$1,0),FALSE)=0,"",VLOOKUP($E13,BDD!$A$1:$S$567,MATCH(K$10,BDD!$A$1:$P$1,0),FALSE)),"")</f>
        <v>• L'exposition aux risques est connue des métiers.
• Les risques concernant la fiabilité/intégrité du prestataire, la protection des données personnelles, la cybersécurité, la conformité réglementaire, la RSE, la qualité et la sûreté, font l'objet d'une évaluation régulière (certifications, audits indépendants). Le cas échéant, ce suivi est outillé.</v>
      </c>
      <c r="L13" s="68"/>
      <c r="M13" s="90"/>
      <c r="N13" s="90"/>
      <c r="O13" s="68"/>
      <c r="P13" s="109"/>
    </row>
    <row r="14" spans="1:16" ht="130.05000000000001" hidden="1" customHeight="1" x14ac:dyDescent="0.3">
      <c r="A14" s="109"/>
      <c r="B14" s="68"/>
      <c r="C14" s="68" t="str">
        <f t="shared" si="0"/>
        <v>11</v>
      </c>
      <c r="D14" s="68">
        <f t="shared" si="1"/>
        <v>1</v>
      </c>
      <c r="E14" s="84" t="str">
        <f t="shared" si="2"/>
        <v>1113</v>
      </c>
      <c r="F14" s="66" t="s">
        <v>30</v>
      </c>
      <c r="G14" s="67" t="str">
        <f>IFERROR(IF(VLOOKUP($E14,BDD!$A$1:$S$567,MATCH(G$10,BDD!$A$1:$P$1,0),FALSE)=0,"",VLOOKUP($E14,BDD!$A$1:$S$567,MATCH(G$10,BDD!$A$1:$P$1,0),FALSE)),"")</f>
        <v/>
      </c>
      <c r="H14" s="85" t="str">
        <f>IF(VLOOKUP(E14,BDD!$A$1:$S$567,15,FALSE)=0,"Critère non évalué","")</f>
        <v>Critère non évalué</v>
      </c>
      <c r="I14" s="66" t="str">
        <f>IFERROR(IF(VLOOKUP($E14,BDD!$A$1:$S$567,MATCH(I$10,BDD!$A$1:$P$1,0),FALSE)=0,"",VLOOKUP($E14,BDD!$A$1:$S$567,MATCH(I$10,BDD!$A$1:$P$1,0),FALSE)),"")</f>
        <v xml:space="preserve"> </v>
      </c>
      <c r="J14" s="86"/>
      <c r="K14" s="67" t="str">
        <f>IFERROR(IF(VLOOKUP($E14,BDD!$A$1:$S$567,MATCH(K$10,BDD!$A$1:$P$1,0),FALSE)=0,"",VLOOKUP($E14,BDD!$A$1:$S$567,MATCH(K$10,BDD!$A$1:$P$1,0),FALSE)),"")</f>
        <v/>
      </c>
      <c r="L14" s="68"/>
      <c r="M14" s="87"/>
      <c r="N14" s="87"/>
      <c r="O14" s="68"/>
      <c r="P14" s="109"/>
    </row>
    <row r="15" spans="1:16" ht="130.05000000000001" hidden="1" customHeight="1" x14ac:dyDescent="0.3">
      <c r="A15" s="109"/>
      <c r="B15" s="68"/>
      <c r="C15" s="68" t="str">
        <f t="shared" si="0"/>
        <v>11</v>
      </c>
      <c r="D15" s="68">
        <f t="shared" si="1"/>
        <v>1</v>
      </c>
      <c r="E15" s="84" t="str">
        <f t="shared" si="2"/>
        <v>1114</v>
      </c>
      <c r="F15" s="64" t="s">
        <v>32</v>
      </c>
      <c r="G15" s="65" t="str">
        <f>IFERROR(IF(VLOOKUP($E15,BDD!$A$1:$S$567,MATCH(G$10,BDD!$A$1:$P$1,0),FALSE)=0,"",VLOOKUP($E15,BDD!$A$1:$S$567,MATCH(G$10,BDD!$A$1:$P$1,0),FALSE)),"")</f>
        <v/>
      </c>
      <c r="H15" s="88" t="str">
        <f>IF(VLOOKUP(E15,BDD!$A$1:$S$567,15,FALSE)=0,"Critère non évalué","")</f>
        <v>Critère non évalué</v>
      </c>
      <c r="I15" s="64" t="str">
        <f>IFERROR(IF(VLOOKUP($E15,BDD!$A$1:$S$567,MATCH(I$10,BDD!$A$1:$P$1,0),FALSE)=0,"",VLOOKUP($E15,BDD!$A$1:$S$567,MATCH(I$10,BDD!$A$1:$P$1,0),FALSE)),"")</f>
        <v xml:space="preserve"> </v>
      </c>
      <c r="J15" s="91"/>
      <c r="K15" s="65" t="str">
        <f>IFERROR(IF(VLOOKUP($E15,BDD!$A$1:$S$567,MATCH(K$10,BDD!$A$1:$P$1,0),FALSE)=0,"",VLOOKUP($E15,BDD!$A$1:$S$567,MATCH(K$10,BDD!$A$1:$P$1,0),FALSE)),"")</f>
        <v/>
      </c>
      <c r="L15" s="68"/>
      <c r="M15" s="90"/>
      <c r="N15" s="90"/>
      <c r="O15" s="68"/>
      <c r="P15" s="109"/>
    </row>
    <row r="16" spans="1:16" ht="130.05000000000001" hidden="1" customHeight="1" x14ac:dyDescent="0.3">
      <c r="A16" s="109"/>
      <c r="B16" s="68"/>
      <c r="C16" s="68" t="str">
        <f t="shared" si="0"/>
        <v>11</v>
      </c>
      <c r="D16" s="68">
        <f t="shared" si="1"/>
        <v>1</v>
      </c>
      <c r="E16" s="84" t="str">
        <f t="shared" si="2"/>
        <v>1115</v>
      </c>
      <c r="F16" s="66" t="s">
        <v>33</v>
      </c>
      <c r="G16" s="67" t="str">
        <f>IFERROR(IF(VLOOKUP($E16,BDD!$A$1:$S$567,MATCH(G$10,BDD!$A$1:$P$1,0),FALSE)=0,"",VLOOKUP($E16,BDD!$A$1:$S$567,MATCH(G$10,BDD!$A$1:$P$1,0),FALSE)),"")</f>
        <v/>
      </c>
      <c r="H16" s="85" t="str">
        <f>IF(VLOOKUP(E16,BDD!$A$1:$S$567,15,FALSE)=0,"Critère non évalué","")</f>
        <v>Critère non évalué</v>
      </c>
      <c r="I16" s="66" t="str">
        <f>IFERROR(IF(VLOOKUP($E16,BDD!$A$1:$S$567,MATCH(I$10,BDD!$A$1:$P$1,0),FALSE)=0,"",VLOOKUP($E16,BDD!$A$1:$S$567,MATCH(I$10,BDD!$A$1:$P$1,0),FALSE)),"")</f>
        <v xml:space="preserve"> </v>
      </c>
      <c r="J16" s="86"/>
      <c r="K16" s="67" t="str">
        <f>IFERROR(IF(VLOOKUP($E16,BDD!$A$1:$S$567,MATCH(K$10,BDD!$A$1:$P$1,0),FALSE)=0,"",VLOOKUP($E16,BDD!$A$1:$S$567,MATCH(K$10,BDD!$A$1:$P$1,0),FALSE)),"")</f>
        <v/>
      </c>
      <c r="L16" s="68"/>
      <c r="M16" s="82"/>
      <c r="N16" s="82"/>
      <c r="O16" s="68"/>
      <c r="P16" s="109"/>
    </row>
    <row r="17" spans="1:16" ht="130.05000000000001" hidden="1" customHeight="1" x14ac:dyDescent="0.3">
      <c r="A17" s="109"/>
      <c r="B17" s="68"/>
      <c r="C17" s="68" t="str">
        <f t="shared" si="0"/>
        <v>11</v>
      </c>
      <c r="D17" s="68">
        <f t="shared" si="1"/>
        <v>1</v>
      </c>
      <c r="E17" s="84" t="str">
        <f t="shared" si="2"/>
        <v>1116</v>
      </c>
      <c r="F17" s="64" t="s">
        <v>34</v>
      </c>
      <c r="G17" s="65" t="str">
        <f>IFERROR(IF(VLOOKUP($E17,BDD!$A$1:$S$567,MATCH(G$10,BDD!$A$1:$P$1,0),FALSE)=0,"",VLOOKUP($E17,BDD!$A$1:$S$567,MATCH(G$10,BDD!$A$1:$P$1,0),FALSE)),"")</f>
        <v/>
      </c>
      <c r="H17" s="92" t="str">
        <f>IF(VLOOKUP(E17,BDD!$A$1:$S$567,15,FALSE)=0,"Critère non évalué","")</f>
        <v>Critère non évalué</v>
      </c>
      <c r="I17" s="64" t="str">
        <f>IFERROR(IF(VLOOKUP($E17,BDD!$A$1:$S$567,MATCH(I$10,BDD!$A$1:$P$1,0),FALSE)=0,"",VLOOKUP($E17,BDD!$A$1:$S$567,MATCH(I$10,BDD!$A$1:$P$1,0),FALSE)),"")</f>
        <v xml:space="preserve"> </v>
      </c>
      <c r="J17" s="89"/>
      <c r="K17" s="65" t="str">
        <f>IFERROR(IF(VLOOKUP($E17,BDD!$A$1:$S$567,MATCH(K$10,BDD!$A$1:$P$1,0),FALSE)=0,"",VLOOKUP($E17,BDD!$A$1:$S$567,MATCH(K$10,BDD!$A$1:$P$1,0),FALSE)),"")</f>
        <v/>
      </c>
      <c r="L17" s="68"/>
      <c r="M17" s="90"/>
      <c r="N17" s="90"/>
      <c r="O17" s="68"/>
      <c r="P17" s="109"/>
    </row>
    <row r="18" spans="1:16" ht="130.05000000000001" hidden="1" customHeight="1" x14ac:dyDescent="0.3">
      <c r="A18" s="109"/>
      <c r="B18" s="68"/>
      <c r="C18" s="68" t="str">
        <f t="shared" si="0"/>
        <v>11</v>
      </c>
      <c r="D18" s="68">
        <f t="shared" si="1"/>
        <v>1</v>
      </c>
      <c r="E18" s="84" t="str">
        <f t="shared" si="2"/>
        <v>1117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xml:space="preserve"> </v>
      </c>
      <c r="J18" s="86"/>
      <c r="K18" s="67" t="str">
        <f>IFERROR(IF(VLOOKUP($E18,BDD!$A$1:$S$567,MATCH(K$10,BDD!$A$1:$P$1,0),FALSE)=0,"",VLOOKUP($E18,BDD!$A$1:$S$567,MATCH(K$10,BDD!$A$1:$P$1,0),FALSE)),"")</f>
        <v/>
      </c>
      <c r="L18" s="68"/>
      <c r="M18" s="82"/>
      <c r="N18" s="82"/>
      <c r="O18" s="68"/>
      <c r="P18" s="109"/>
    </row>
    <row r="19" spans="1:16" ht="18" x14ac:dyDescent="0.35">
      <c r="A19" s="109"/>
      <c r="B19" s="68"/>
      <c r="C19" s="68" t="str">
        <f t="shared" si="0"/>
        <v>11</v>
      </c>
      <c r="D19" s="68">
        <f t="shared" si="1"/>
        <v>1</v>
      </c>
      <c r="E19" s="84" t="str">
        <f t="shared" si="2"/>
        <v>111</v>
      </c>
      <c r="F19" s="68"/>
      <c r="G19" s="69" t="str">
        <f>IF(Suppl!B80=2,"Le vecteur n'est pas utilisé","")</f>
        <v/>
      </c>
      <c r="H19" s="69"/>
      <c r="I19" s="69"/>
      <c r="J19" s="69"/>
      <c r="K19" s="69"/>
      <c r="L19" s="70"/>
      <c r="M19" s="68"/>
      <c r="N19" s="68"/>
      <c r="O19" s="68"/>
      <c r="P19" s="109"/>
    </row>
    <row r="20" spans="1:16" x14ac:dyDescent="0.3">
      <c r="A20" s="109"/>
      <c r="B20" s="68"/>
      <c r="C20" s="68" t="str">
        <f t="shared" si="0"/>
        <v>11</v>
      </c>
      <c r="D20" s="68">
        <f>IF(LEFT(F20,14)="Bonne pratique",D19+1,D19)</f>
        <v>1</v>
      </c>
      <c r="E20" s="84" t="str">
        <f t="shared" si="2"/>
        <v>111</v>
      </c>
      <c r="F20" s="68"/>
      <c r="G20" s="68"/>
      <c r="H20" s="68"/>
      <c r="I20" s="68"/>
      <c r="J20" s="68"/>
      <c r="K20" s="68"/>
      <c r="L20" s="68"/>
      <c r="M20" s="68"/>
      <c r="N20" s="68"/>
      <c r="O20" s="68"/>
      <c r="P20" s="109"/>
    </row>
    <row r="21" spans="1:16" ht="30" x14ac:dyDescent="0.5">
      <c r="A21" s="229"/>
      <c r="B21" s="74"/>
      <c r="C21" s="68" t="str">
        <f t="shared" si="0"/>
        <v>11</v>
      </c>
      <c r="D21" s="68">
        <f t="shared" si="1"/>
        <v>2</v>
      </c>
      <c r="E21" s="84" t="str">
        <f t="shared" si="2"/>
        <v>1122</v>
      </c>
      <c r="F21" s="208" t="s">
        <v>500</v>
      </c>
      <c r="G21" s="75"/>
      <c r="H21" s="205"/>
      <c r="I21" s="73"/>
      <c r="J21" s="73" t="str">
        <f>VLOOKUP(E28,BDD!$A$2:$N$567,6,FALSE)</f>
        <v>Etude d'opportunité</v>
      </c>
      <c r="K21" s="72"/>
      <c r="L21" s="75"/>
      <c r="M21" s="75"/>
      <c r="N21" s="75"/>
      <c r="O21" s="74"/>
      <c r="P21" s="229"/>
    </row>
    <row r="22" spans="1:16" x14ac:dyDescent="0.3">
      <c r="A22" s="109"/>
      <c r="B22" s="68"/>
      <c r="C22" s="68" t="str">
        <f t="shared" si="0"/>
        <v>11</v>
      </c>
      <c r="D22" s="68">
        <f t="shared" si="1"/>
        <v>2</v>
      </c>
      <c r="E22" s="84" t="str">
        <f t="shared" si="2"/>
        <v>112</v>
      </c>
      <c r="F22" s="68"/>
      <c r="G22" s="68"/>
      <c r="H22" s="68"/>
      <c r="I22" s="68"/>
      <c r="J22" s="68"/>
      <c r="K22" s="68"/>
      <c r="L22" s="68"/>
      <c r="M22" s="68"/>
      <c r="N22" s="68"/>
      <c r="O22" s="68"/>
      <c r="P22" s="109"/>
    </row>
    <row r="23" spans="1:16" ht="18" x14ac:dyDescent="0.35">
      <c r="A23" s="230"/>
      <c r="B23" s="76"/>
      <c r="C23" s="68" t="str">
        <f t="shared" si="0"/>
        <v>11</v>
      </c>
      <c r="D23" s="68">
        <f t="shared" si="1"/>
        <v>2</v>
      </c>
      <c r="E23" s="84" t="str">
        <f t="shared" si="2"/>
        <v>112</v>
      </c>
      <c r="F23" s="76"/>
      <c r="G23" s="76"/>
      <c r="H23" s="76"/>
      <c r="I23" s="77"/>
      <c r="J23" s="207" t="str">
        <f>IFERROR(_xlfn.TEXTBEFORE(VLOOKUP(E28,BDD!$A$2:$N$567,7,FALSE)," ",30),VLOOKUP(E28,BDD!$A$2:$N$567,7,FALSE))</f>
        <v>Pour chacune des activités candidates à l'externalisation, une étude d'opportunité et de faisabilité est réalisée.</v>
      </c>
      <c r="K23" s="77"/>
      <c r="L23" s="76"/>
      <c r="M23" s="76"/>
      <c r="N23" s="76"/>
      <c r="O23" s="76"/>
      <c r="P23" s="230"/>
    </row>
    <row r="24" spans="1:16" ht="18" x14ac:dyDescent="0.35">
      <c r="A24" s="109"/>
      <c r="B24" s="68"/>
      <c r="C24" s="68" t="str">
        <f t="shared" si="0"/>
        <v>11</v>
      </c>
      <c r="D24" s="68">
        <f t="shared" si="1"/>
        <v>2</v>
      </c>
      <c r="E24" s="84" t="str">
        <f t="shared" si="2"/>
        <v>112</v>
      </c>
      <c r="F24" s="68"/>
      <c r="G24" s="68"/>
      <c r="H24" s="68"/>
      <c r="I24" s="68"/>
      <c r="J24" s="207" t="str">
        <f>IFERROR(_xlfn.TEXTAFTER(VLOOKUP(E28,BDD!$A$2:$N$567,7,FALSE)," ",30),"")</f>
        <v/>
      </c>
      <c r="K24" s="68"/>
      <c r="L24" s="68"/>
      <c r="M24" s="68"/>
      <c r="N24" s="68"/>
      <c r="O24" s="68"/>
      <c r="P24" s="109"/>
    </row>
    <row r="25" spans="1:16" x14ac:dyDescent="0.3">
      <c r="A25" s="109"/>
      <c r="B25" s="68"/>
      <c r="C25" s="68" t="str">
        <f t="shared" si="0"/>
        <v>11</v>
      </c>
      <c r="D25" s="68">
        <f t="shared" si="1"/>
        <v>2</v>
      </c>
      <c r="E25" s="84" t="str">
        <f t="shared" si="2"/>
        <v>112</v>
      </c>
      <c r="F25" s="68"/>
      <c r="G25" s="68"/>
      <c r="H25" s="68"/>
      <c r="I25" s="68"/>
      <c r="J25" s="78"/>
      <c r="K25" s="68"/>
      <c r="L25" s="68"/>
      <c r="M25" s="619" t="s">
        <v>92</v>
      </c>
      <c r="N25" s="619"/>
      <c r="O25" s="68"/>
      <c r="P25" s="109"/>
    </row>
    <row r="26" spans="1:16" ht="33" x14ac:dyDescent="0.3">
      <c r="A26" s="109"/>
      <c r="B26" s="68"/>
      <c r="C26" s="68" t="str">
        <f t="shared" si="0"/>
        <v>11</v>
      </c>
      <c r="D26" s="68">
        <f t="shared" si="1"/>
        <v>2</v>
      </c>
      <c r="E26" s="84" t="str">
        <f t="shared" si="2"/>
        <v>112</v>
      </c>
      <c r="F26" s="93"/>
      <c r="G26" s="80" t="s">
        <v>561</v>
      </c>
      <c r="H26" s="80" t="s">
        <v>82</v>
      </c>
      <c r="I26" s="80" t="s">
        <v>83</v>
      </c>
      <c r="J26" s="80" t="s">
        <v>84</v>
      </c>
      <c r="K26" s="80" t="s">
        <v>85</v>
      </c>
      <c r="L26" s="78"/>
      <c r="M26" s="81" t="s">
        <v>86</v>
      </c>
      <c r="N26" s="82" t="s">
        <v>87</v>
      </c>
      <c r="O26" s="68"/>
      <c r="P26" s="109"/>
    </row>
    <row r="27" spans="1:16" x14ac:dyDescent="0.3">
      <c r="A27" s="109"/>
      <c r="B27" s="68"/>
      <c r="C27" s="68" t="str">
        <f t="shared" si="0"/>
        <v>11</v>
      </c>
      <c r="D27" s="68">
        <f t="shared" si="1"/>
        <v>2</v>
      </c>
      <c r="E27" s="84" t="str">
        <f t="shared" si="2"/>
        <v>112</v>
      </c>
      <c r="F27" s="68"/>
      <c r="G27" s="83"/>
      <c r="H27" s="83"/>
      <c r="I27" s="83"/>
      <c r="J27" s="68"/>
      <c r="K27" s="83"/>
      <c r="L27" s="68"/>
      <c r="M27" s="68"/>
      <c r="N27" s="68"/>
      <c r="O27" s="68"/>
      <c r="P27" s="109"/>
    </row>
    <row r="28" spans="1:16" ht="130.05000000000001" customHeight="1" x14ac:dyDescent="0.3">
      <c r="A28" s="109"/>
      <c r="B28" s="68"/>
      <c r="C28" s="68" t="str">
        <f t="shared" si="0"/>
        <v>11</v>
      </c>
      <c r="D28" s="68">
        <f t="shared" si="1"/>
        <v>2</v>
      </c>
      <c r="E28" s="84" t="str">
        <f t="shared" si="2"/>
        <v>1121</v>
      </c>
      <c r="F28" s="66" t="s">
        <v>27</v>
      </c>
      <c r="G28" s="67" t="str">
        <f>IFERROR(IF(VLOOKUP($E28,BDD!$A$1:$S$567,MATCH(G$10,BDD!$A$1:$P$1,0),FALSE)=0,"",VLOOKUP($E28,BDD!$A$1:$S$567,MATCH(G$10,BDD!$A$1:$P$1,0),FALSE)),"")</f>
        <v>Il existe une analyse des forces/faiblesses de l'existant concernant l’activité à externaliser.</v>
      </c>
      <c r="H28" s="85" t="str">
        <f>IF(VLOOKUP(E28,BDD!$A$1:$S$567,15,FALSE)=0,"Critère non évalué","")</f>
        <v>Critère non évalué</v>
      </c>
      <c r="I28" s="66" t="str">
        <f>IFERROR(IF(VLOOKUP($E28,BDD!$A$1:$S$567,MATCH(I$10,BDD!$A$1:$P$1,0),FALSE)=0,"",VLOOKUP($E28,BDD!$A$1:$S$567,MATCH(I$10,BDD!$A$1:$P$1,0),FALSE)),"")</f>
        <v>N2</v>
      </c>
      <c r="J28" s="86"/>
      <c r="K28" s="67" t="str">
        <f>IFERROR(IF(VLOOKUP($E28,BDD!$A$1:$S$567,MATCH(K$10,BDD!$A$1:$P$1,0),FALSE)=0,"",VLOOKUP($E28,BDD!$A$1:$S$567,MATCH(K$10,BDD!$A$1:$P$1,0),FALSE)),"")</f>
        <v>• Cette analyse prend en compte la documentation, le niveau de compétence, l'obsolescence du système, la dette technique, etc.</v>
      </c>
      <c r="L28" s="68"/>
      <c r="M28" s="87"/>
      <c r="N28" s="87"/>
      <c r="O28" s="68"/>
      <c r="P28" s="109"/>
    </row>
    <row r="29" spans="1:16" ht="130.05000000000001" customHeight="1" x14ac:dyDescent="0.3">
      <c r="A29" s="109"/>
      <c r="B29" s="68"/>
      <c r="C29" s="68" t="str">
        <f t="shared" si="0"/>
        <v>11</v>
      </c>
      <c r="D29" s="68">
        <f t="shared" si="1"/>
        <v>2</v>
      </c>
      <c r="E29" s="84" t="str">
        <f t="shared" si="2"/>
        <v>1122</v>
      </c>
      <c r="F29" s="94" t="s">
        <v>28</v>
      </c>
      <c r="G29" s="65" t="str">
        <f>IFERROR(IF(VLOOKUP($E29,BDD!$A$1:$S$567,MATCH(G$10,BDD!$A$1:$P$1,0),FALSE)=0,"",VLOOKUP($E29,BDD!$A$1:$S$567,MATCH(G$10,BDD!$A$1:$P$1,0),FALSE)),"")</f>
        <v>Il existe, pour l’activité à externaliser, des études de marché et d'identification des prestataires potentiels.</v>
      </c>
      <c r="H29" s="88" t="str">
        <f>IF(VLOOKUP(E29,BDD!$A$1:$S$567,15,FALSE)=0,"Critère non évalué","")</f>
        <v>Critère non évalué</v>
      </c>
      <c r="I29" s="64" t="str">
        <f>IFERROR(IF(VLOOKUP($E29,BDD!$A$1:$S$567,MATCH(I$10,BDD!$A$1:$P$1,0),FALSE)=0,"",VLOOKUP($E29,BDD!$A$1:$S$567,MATCH(I$10,BDD!$A$1:$P$1,0),FALSE)),"")</f>
        <v>N1</v>
      </c>
      <c r="J29" s="89"/>
      <c r="K29" s="65" t="str">
        <f>IFERROR(IF(VLOOKUP($E29,BDD!$A$1:$S$567,MATCH(K$10,BDD!$A$1:$P$1,0),FALSE)=0,"",VLOOKUP($E29,BDD!$A$1:$S$567,MATCH(K$10,BDD!$A$1:$P$1,0),FALSE)),"")</f>
        <v>• Ces études comprennent des benchmarks.</v>
      </c>
      <c r="L29" s="68"/>
      <c r="M29" s="90"/>
      <c r="N29" s="90"/>
      <c r="O29" s="68"/>
      <c r="P29" s="109"/>
    </row>
    <row r="30" spans="1:16" ht="130.05000000000001" customHeight="1" x14ac:dyDescent="0.3">
      <c r="A30" s="109"/>
      <c r="B30" s="68"/>
      <c r="C30" s="68" t="str">
        <f t="shared" si="0"/>
        <v>11</v>
      </c>
      <c r="D30" s="68">
        <f t="shared" si="1"/>
        <v>2</v>
      </c>
      <c r="E30" s="84" t="str">
        <f t="shared" si="2"/>
        <v>1123</v>
      </c>
      <c r="F30" s="66" t="s">
        <v>30</v>
      </c>
      <c r="G30" s="67" t="str">
        <f>IFERROR(IF(VLOOKUP($E30,BDD!$A$1:$S$567,MATCH(G$10,BDD!$A$1:$P$1,0),FALSE)=0,"",VLOOKUP($E30,BDD!$A$1:$S$567,MATCH(G$10,BDD!$A$1:$P$1,0),FALSE)),"")</f>
        <v>L’impact de l’externalisation sur les ressources humaines du périmètre concerné est pris en compte.</v>
      </c>
      <c r="H30" s="85" t="str">
        <f>IF(VLOOKUP(E30,BDD!$A$1:$S$567,15,FALSE)=0,"Critère non évalué","")</f>
        <v>Critère non évalué</v>
      </c>
      <c r="I30" s="66" t="str">
        <f>IFERROR(IF(VLOOKUP($E30,BDD!$A$1:$S$567,MATCH(I$10,BDD!$A$1:$P$1,0),FALSE)=0,"",VLOOKUP($E30,BDD!$A$1:$S$567,MATCH(I$10,BDD!$A$1:$P$1,0),FALSE)),"")</f>
        <v>N1</v>
      </c>
      <c r="J30" s="86"/>
      <c r="K30" s="67" t="str">
        <f>IFERROR(IF(VLOOKUP($E30,BDD!$A$1:$S$567,MATCH(K$10,BDD!$A$1:$P$1,0),FALSE)=0,"",VLOOKUP($E30,BDD!$A$1:$S$567,MATCH(K$10,BDD!$A$1:$P$1,0),FALSE)),"")</f>
        <v>• Les ressources clés (y compris les nouvelles compétences) à maintenir au sein de l'organisation sont identifiées (par exemple : contract manager, chef de projet expert dans le pilotage de la sous-traitance, architecte capable d’évaluer les propositions des sous-traitants, …) 
• Les rôles et responsabilités associés aux acteurs en charge du pilotage des services externalisés ont été attribués.
• La gestion des emplois et compétences est bien en place.</v>
      </c>
      <c r="L30" s="68"/>
      <c r="M30" s="87"/>
      <c r="N30" s="87"/>
      <c r="O30" s="68"/>
      <c r="P30" s="109"/>
    </row>
    <row r="31" spans="1:16" ht="130.05000000000001" customHeight="1" x14ac:dyDescent="0.3">
      <c r="A31" s="109"/>
      <c r="B31" s="68"/>
      <c r="C31" s="68" t="str">
        <f t="shared" si="0"/>
        <v>11</v>
      </c>
      <c r="D31" s="68">
        <f t="shared" si="1"/>
        <v>2</v>
      </c>
      <c r="E31" s="84" t="str">
        <f t="shared" si="2"/>
        <v>1124</v>
      </c>
      <c r="F31" s="64" t="s">
        <v>32</v>
      </c>
      <c r="G31" s="65" t="str">
        <f>IFERROR(IF(VLOOKUP($E31,BDD!$A$1:$S$567,MATCH(G$10,BDD!$A$1:$P$1,0),FALSE)=0,"",VLOOKUP($E31,BDD!$A$1:$S$567,MATCH(G$10,BDD!$A$1:$P$1,0),FALSE)),"")</f>
        <v>Il existe une analyse de risques concernant l'activité à externaliser.</v>
      </c>
      <c r="H31" s="88" t="str">
        <f>IF(VLOOKUP(E31,BDD!$A$1:$S$567,15,FALSE)=0,"Critère non évalué","")</f>
        <v>Critère non évalué</v>
      </c>
      <c r="I31" s="64" t="str">
        <f>IFERROR(IF(VLOOKUP($E31,BDD!$A$1:$S$567,MATCH(I$10,BDD!$A$1:$P$1,0),FALSE)=0,"",VLOOKUP($E31,BDD!$A$1:$S$567,MATCH(I$10,BDD!$A$1:$P$1,0),FALSE)),"")</f>
        <v>N3</v>
      </c>
      <c r="J31" s="91"/>
      <c r="K31" s="65" t="str">
        <f>IFERROR(IF(VLOOKUP($E31,BDD!$A$1:$S$567,MATCH(K$10,BDD!$A$1:$P$1,0),FALSE)=0,"",VLOOKUP($E31,BDD!$A$1:$S$567,MATCH(K$10,BDD!$A$1:$P$1,0),FALSE)),"")</f>
        <v>• Il convient d'évaluer les principaux critères tels que la criticité des données, les impacts financiers et le modèle de coûts, la continuité d'activité/de service, les impacts sur un éventuel avantage concurrentiel, la maîtrise du savoir, les impacts sociaux, etc.
• Pour les offres cloud, les risques sont à différencier selon le degré de sensibilité des données concernées et selon qu'il s'agit de cloud public, de cloud privé externe, ou de cloud hybride.
• L'analyse des risques inclut les risques de non conformité, notamment aux engagements RSE et aux exigences d’indépendance de sa chaîne de valeur.</v>
      </c>
      <c r="L31" s="68"/>
      <c r="M31" s="90"/>
      <c r="N31" s="90"/>
      <c r="O31" s="68"/>
      <c r="P31" s="109"/>
    </row>
    <row r="32" spans="1:16" ht="130.05000000000001" customHeight="1" x14ac:dyDescent="0.3">
      <c r="A32" s="109"/>
      <c r="B32" s="68"/>
      <c r="C32" s="68" t="str">
        <f t="shared" si="0"/>
        <v>11</v>
      </c>
      <c r="D32" s="68">
        <f t="shared" si="1"/>
        <v>2</v>
      </c>
      <c r="E32" s="84" t="str">
        <f t="shared" si="2"/>
        <v>1125</v>
      </c>
      <c r="F32" s="66" t="s">
        <v>33</v>
      </c>
      <c r="G32" s="67" t="str">
        <f>IFERROR(IF(VLOOKUP($E32,BDD!$A$1:$S$567,MATCH(G$10,BDD!$A$1:$P$1,0),FALSE)=0,"",VLOOKUP($E32,BDD!$A$1:$S$567,MATCH(G$10,BDD!$A$1:$P$1,0),FALSE)),"")</f>
        <v>Il existe un business case relatif à l'externalisation de l’activité.</v>
      </c>
      <c r="H32" s="85" t="str">
        <f>IF(VLOOKUP(E32,BDD!$A$1:$S$567,15,FALSE)=0,"Critère non évalué","")</f>
        <v>Critère non évalué</v>
      </c>
      <c r="I32" s="66" t="str">
        <f>IFERROR(IF(VLOOKUP($E32,BDD!$A$1:$S$567,MATCH(I$10,BDD!$A$1:$P$1,0),FALSE)=0,"",VLOOKUP($E32,BDD!$A$1:$S$567,MATCH(I$10,BDD!$A$1:$P$1,0),FALSE)),"")</f>
        <v>N3</v>
      </c>
      <c r="J32" s="86"/>
      <c r="K32" s="67" t="str">
        <f>IFERROR(IF(VLOOKUP($E32,BDD!$A$1:$S$567,MATCH(K$10,BDD!$A$1:$P$1,0),FALSE)=0,"",VLOOKUP($E32,BDD!$A$1:$S$567,MATCH(K$10,BDD!$A$1:$P$1,0),FALSE)),"")</f>
        <v>• Il présente l’objet et les gains/coûts tangibles et intangibles : les incidences quantifiables et non quantifiables financièrement pour l'intégration, l'interopérabilité et la réversibilité des offres, ainsi que les coûts supplémentaires liés au niveau de sécurisation à atteindre, doivent être pris en compte.
• Le business case doit également faire apparaître les gains générés au sein des métiers : éléments de comparaison pertinents (interne/externe) et estimation du ROI.</v>
      </c>
      <c r="L32" s="68"/>
      <c r="M32" s="82"/>
      <c r="N32" s="82"/>
      <c r="O32" s="68"/>
      <c r="P32" s="109"/>
    </row>
    <row r="33" spans="1:16" ht="130.05000000000001" customHeight="1" x14ac:dyDescent="0.3">
      <c r="A33" s="109"/>
      <c r="B33" s="68"/>
      <c r="C33" s="68" t="str">
        <f t="shared" si="0"/>
        <v>11</v>
      </c>
      <c r="D33" s="68">
        <f t="shared" si="1"/>
        <v>2</v>
      </c>
      <c r="E33" s="84" t="str">
        <f t="shared" si="2"/>
        <v>1126</v>
      </c>
      <c r="F33" s="64" t="s">
        <v>34</v>
      </c>
      <c r="G33" s="96" t="str">
        <f>IFERROR(IF(VLOOKUP($E33,BDD!$A$1:$S$567,MATCH(G$10,BDD!$A$1:$P$1,0),FALSE)=0,"",VLOOKUP($E33,BDD!$A$1:$S$567,MATCH(G$10,BDD!$A$1:$P$1,0),FALSE)),"")</f>
        <v>La décision d'externaliser une activité propre à la DSI est prise par les instances de gouvernance du numérique de l'entreprise.</v>
      </c>
      <c r="H33" s="92" t="str">
        <f>IF(VLOOKUP(E33,BDD!$A$1:$S$567,15,FALSE)=0,"Critère non évalué","")</f>
        <v>Critère non évalué</v>
      </c>
      <c r="I33" s="64" t="str">
        <f>IFERROR(IF(VLOOKUP($E33,BDD!$A$1:$S$567,MATCH(I$10,BDD!$A$1:$P$1,0),FALSE)=0,"",VLOOKUP($E33,BDD!$A$1:$S$567,MATCH(I$10,BDD!$A$1:$P$1,0),FALSE)),"")</f>
        <v>N1</v>
      </c>
      <c r="J33" s="206"/>
      <c r="K33" s="96" t="str">
        <f>IFERROR(IF(VLOOKUP($E33,BDD!$A$1:$S$567,MATCH(K$10,BDD!$A$1:$P$1,0),FALSE)=0,"",VLOOKUP($E33,BDD!$A$1:$S$567,MATCH(K$10,BDD!$A$1:$P$1,0),FALSE)),"")</f>
        <v/>
      </c>
      <c r="L33" s="68"/>
      <c r="M33" s="90"/>
      <c r="N33" s="90"/>
      <c r="O33" s="68"/>
      <c r="P33" s="109"/>
    </row>
    <row r="34" spans="1:16" ht="130.05000000000001" hidden="1" customHeight="1" x14ac:dyDescent="0.3">
      <c r="A34" s="109"/>
      <c r="B34" s="68"/>
      <c r="C34" s="68" t="str">
        <f t="shared" si="0"/>
        <v>11</v>
      </c>
      <c r="D34" s="68">
        <f t="shared" si="1"/>
        <v>2</v>
      </c>
      <c r="E34" s="84" t="str">
        <f t="shared" si="2"/>
        <v>1127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c>
      <c r="J34" s="86"/>
      <c r="K34" s="67" t="str">
        <f>IFERROR(IF(VLOOKUP($E34,BDD!$A$1:$S$567,MATCH(K$10,BDD!$A$1:$P$1,0),FALSE)=0,"",VLOOKUP($E34,BDD!$A$1:$S$567,MATCH(K$10,BDD!$A$1:$P$1,0),FALSE)),"")</f>
        <v/>
      </c>
      <c r="L34" s="68"/>
      <c r="M34" s="82"/>
      <c r="N34" s="82"/>
      <c r="O34" s="68"/>
      <c r="P34" s="109"/>
    </row>
    <row r="35" spans="1:16" ht="18" x14ac:dyDescent="0.35">
      <c r="A35" s="109"/>
      <c r="B35" s="68"/>
      <c r="C35" s="68" t="str">
        <f t="shared" si="0"/>
        <v>11</v>
      </c>
      <c r="D35" s="68">
        <f t="shared" si="1"/>
        <v>2</v>
      </c>
      <c r="E35" s="84" t="str">
        <f t="shared" si="2"/>
        <v>112</v>
      </c>
      <c r="F35" s="68"/>
      <c r="G35" s="69" t="str">
        <f>IF(Suppl!B96=2,"Le vecteur n'est pas utilisé","")</f>
        <v/>
      </c>
      <c r="H35" s="69"/>
      <c r="I35" s="68"/>
      <c r="J35" s="69"/>
      <c r="K35" s="69"/>
      <c r="L35" s="70"/>
      <c r="M35" s="68"/>
      <c r="N35" s="68"/>
      <c r="O35" s="68"/>
      <c r="P35" s="109"/>
    </row>
    <row r="36" spans="1:16" x14ac:dyDescent="0.3">
      <c r="A36" s="109"/>
      <c r="B36" s="68"/>
      <c r="C36" s="68" t="str">
        <f t="shared" si="0"/>
        <v>11</v>
      </c>
      <c r="D36" s="68">
        <f>IF(LEFT(F36,14)="Bonne pratique",D35+1,D35)</f>
        <v>2</v>
      </c>
      <c r="E36" s="84" t="str">
        <f t="shared" si="2"/>
        <v>112</v>
      </c>
      <c r="F36" s="68"/>
      <c r="G36" s="68"/>
      <c r="H36" s="68"/>
      <c r="I36" s="68"/>
      <c r="J36" s="68"/>
      <c r="K36" s="68"/>
      <c r="L36" s="68"/>
      <c r="M36" s="68"/>
      <c r="N36" s="68"/>
      <c r="O36" s="68"/>
      <c r="P36" s="109"/>
    </row>
    <row r="37" spans="1:16" ht="30" x14ac:dyDescent="0.5">
      <c r="A37" s="229"/>
      <c r="B37" s="74"/>
      <c r="C37" s="68" t="str">
        <f t="shared" si="0"/>
        <v>11</v>
      </c>
      <c r="D37" s="68">
        <f t="shared" si="1"/>
        <v>3</v>
      </c>
      <c r="E37" s="84" t="str">
        <f t="shared" si="2"/>
        <v>1133</v>
      </c>
      <c r="F37" s="208" t="s">
        <v>501</v>
      </c>
      <c r="G37" s="75"/>
      <c r="H37" s="205"/>
      <c r="I37" s="73"/>
      <c r="J37" s="73" t="str">
        <f>VLOOKUP(E44,BDD!$A$2:$N$567,6,FALSE)</f>
        <v>Sélection et contractualisation</v>
      </c>
      <c r="K37" s="72"/>
      <c r="L37" s="75"/>
      <c r="M37" s="75"/>
      <c r="N37" s="75"/>
      <c r="O37" s="74"/>
      <c r="P37" s="229"/>
    </row>
    <row r="38" spans="1:16" x14ac:dyDescent="0.3">
      <c r="A38" s="109"/>
      <c r="B38" s="68"/>
      <c r="C38" s="68" t="str">
        <f t="shared" si="0"/>
        <v>11</v>
      </c>
      <c r="D38" s="68">
        <f t="shared" si="1"/>
        <v>3</v>
      </c>
      <c r="E38" s="84" t="str">
        <f t="shared" si="2"/>
        <v>113</v>
      </c>
      <c r="F38" s="68"/>
      <c r="G38" s="68"/>
      <c r="H38" s="68"/>
      <c r="I38" s="68"/>
      <c r="J38" s="68"/>
      <c r="K38" s="68"/>
      <c r="L38" s="68"/>
      <c r="M38" s="68"/>
      <c r="N38" s="68"/>
      <c r="O38" s="68"/>
      <c r="P38" s="109"/>
    </row>
    <row r="39" spans="1:16" ht="18" x14ac:dyDescent="0.35">
      <c r="A39" s="230"/>
      <c r="B39" s="76"/>
      <c r="C39" s="68" t="str">
        <f t="shared" si="0"/>
        <v>11</v>
      </c>
      <c r="D39" s="68">
        <f t="shared" si="1"/>
        <v>3</v>
      </c>
      <c r="E39" s="84" t="str">
        <f t="shared" si="2"/>
        <v>113</v>
      </c>
      <c r="F39" s="76"/>
      <c r="G39" s="76"/>
      <c r="H39" s="76"/>
      <c r="I39" s="77"/>
      <c r="J39" s="207" t="str">
        <f>IFERROR(_xlfn.TEXTBEFORE(VLOOKUP(E44,BDD!$A$2:$N$567,7,FALSE)," ",30),VLOOKUP(E44,BDD!$A$2:$N$567,7,FALSE))</f>
        <v>Pour tous les achats numériques (services externalisés, prestation de services, achats de logiciels ou de matériels), un processus de sélection et de contractualisation des prestataires est mis en place.</v>
      </c>
      <c r="K39" s="77"/>
      <c r="L39" s="76"/>
      <c r="M39" s="76"/>
      <c r="N39" s="76"/>
      <c r="O39" s="76"/>
      <c r="P39" s="230"/>
    </row>
    <row r="40" spans="1:16" ht="18" x14ac:dyDescent="0.35">
      <c r="A40" s="109"/>
      <c r="B40" s="68"/>
      <c r="C40" s="68" t="str">
        <f t="shared" si="0"/>
        <v>11</v>
      </c>
      <c r="D40" s="68">
        <f t="shared" si="1"/>
        <v>3</v>
      </c>
      <c r="E40" s="84" t="str">
        <f t="shared" si="2"/>
        <v>113</v>
      </c>
      <c r="F40" s="68"/>
      <c r="G40" s="68"/>
      <c r="H40" s="68"/>
      <c r="I40" s="68"/>
      <c r="J40" s="207" t="str">
        <f>IFERROR(_xlfn.TEXTAFTER(VLOOKUP(E44,BDD!$A$2:$N$567,7,FALSE)," ",30),"")</f>
        <v/>
      </c>
      <c r="K40" s="68"/>
      <c r="L40" s="68"/>
      <c r="M40" s="68"/>
      <c r="N40" s="68"/>
      <c r="O40" s="68"/>
      <c r="P40" s="109"/>
    </row>
    <row r="41" spans="1:16" x14ac:dyDescent="0.3">
      <c r="A41" s="109"/>
      <c r="B41" s="68"/>
      <c r="C41" s="68" t="str">
        <f t="shared" si="0"/>
        <v>11</v>
      </c>
      <c r="D41" s="68">
        <f t="shared" si="1"/>
        <v>3</v>
      </c>
      <c r="E41" s="84" t="str">
        <f t="shared" si="2"/>
        <v>113</v>
      </c>
      <c r="F41" s="68"/>
      <c r="G41" s="68"/>
      <c r="H41" s="68"/>
      <c r="I41" s="68"/>
      <c r="J41" s="78"/>
      <c r="K41" s="68"/>
      <c r="L41" s="68"/>
      <c r="M41" s="619" t="s">
        <v>92</v>
      </c>
      <c r="N41" s="619"/>
      <c r="O41" s="68"/>
      <c r="P41" s="109"/>
    </row>
    <row r="42" spans="1:16" ht="33" x14ac:dyDescent="0.3">
      <c r="A42" s="109"/>
      <c r="B42" s="68"/>
      <c r="C42" s="68" t="str">
        <f t="shared" si="0"/>
        <v>11</v>
      </c>
      <c r="D42" s="68">
        <f t="shared" si="1"/>
        <v>3</v>
      </c>
      <c r="E42" s="84" t="str">
        <f t="shared" si="2"/>
        <v>113</v>
      </c>
      <c r="F42" s="79"/>
      <c r="G42" s="80" t="s">
        <v>561</v>
      </c>
      <c r="H42" s="80" t="s">
        <v>82</v>
      </c>
      <c r="I42" s="80" t="s">
        <v>83</v>
      </c>
      <c r="J42" s="80" t="s">
        <v>84</v>
      </c>
      <c r="K42" s="80" t="s">
        <v>85</v>
      </c>
      <c r="L42" s="78"/>
      <c r="M42" s="81" t="s">
        <v>86</v>
      </c>
      <c r="N42" s="82" t="s">
        <v>87</v>
      </c>
      <c r="O42" s="68"/>
      <c r="P42" s="109"/>
    </row>
    <row r="43" spans="1:16" x14ac:dyDescent="0.3">
      <c r="A43" s="109"/>
      <c r="B43" s="68"/>
      <c r="C43" s="68" t="str">
        <f t="shared" si="0"/>
        <v>11</v>
      </c>
      <c r="D43" s="68">
        <f t="shared" si="1"/>
        <v>3</v>
      </c>
      <c r="E43" s="84" t="str">
        <f t="shared" si="2"/>
        <v>113</v>
      </c>
      <c r="F43" s="68"/>
      <c r="G43" s="83"/>
      <c r="H43" s="83"/>
      <c r="I43" s="83"/>
      <c r="J43" s="68"/>
      <c r="K43" s="83"/>
      <c r="L43" s="68"/>
      <c r="M43" s="68"/>
      <c r="N43" s="68"/>
      <c r="O43" s="68"/>
      <c r="P43" s="109"/>
    </row>
    <row r="44" spans="1:16" ht="130.05000000000001" customHeight="1" x14ac:dyDescent="0.3">
      <c r="A44" s="109"/>
      <c r="B44" s="68"/>
      <c r="C44" s="68" t="str">
        <f t="shared" si="0"/>
        <v>11</v>
      </c>
      <c r="D44" s="68">
        <f t="shared" si="1"/>
        <v>3</v>
      </c>
      <c r="E44" s="84" t="str">
        <f t="shared" si="2"/>
        <v>1131</v>
      </c>
      <c r="F44" s="66" t="s">
        <v>27</v>
      </c>
      <c r="G44" s="67" t="str">
        <f>IFERROR(IF(VLOOKUP($E44,BDD!$A$1:$S$567,MATCH(G$10,BDD!$A$1:$P$1,0),FALSE)=0,"",VLOOKUP($E44,BDD!$A$1:$S$567,MATCH(G$10,BDD!$A$1:$P$1,0),FALSE)),"")</f>
        <v>Pour les achats à effectuer, les biens et services concernés ont été clairement définis dans un cahier des charges (expression de besoin et exigences de résultat).</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La DSI et les directions métiers concernées, ainsi que les autres parties prenantes (achats, juridique, RSSI, etc.), contribuent au cahier des charges et le valident formellement avant émission.
• Le cahier des charges et la recherche d'offres sont adaptés en fonction du type de bien ou service (achats de matériels, de logiciels, ou de services y compris cloud, prestations ponctuelles, externalisation d'une activité métier ou SI).</v>
      </c>
      <c r="L44" s="68"/>
      <c r="M44" s="87"/>
      <c r="N44" s="87"/>
      <c r="O44" s="68"/>
      <c r="P44" s="109"/>
    </row>
    <row r="45" spans="1:16" ht="130.05000000000001" customHeight="1" x14ac:dyDescent="0.3">
      <c r="A45" s="109"/>
      <c r="B45" s="68"/>
      <c r="C45" s="68" t="str">
        <f t="shared" si="0"/>
        <v>11</v>
      </c>
      <c r="D45" s="68">
        <f t="shared" si="1"/>
        <v>3</v>
      </c>
      <c r="E45" s="84" t="str">
        <f t="shared" si="2"/>
        <v>1132</v>
      </c>
      <c r="F45" s="94" t="s">
        <v>28</v>
      </c>
      <c r="G45" s="65" t="str">
        <f>IFERROR(IF(VLOOKUP($E45,BDD!$A$1:$S$567,MATCH(G$10,BDD!$A$1:$P$1,0),FALSE)=0,"",VLOOKUP($E45,BDD!$A$1:$S$567,MATCH(G$10,BDD!$A$1:$P$1,0),FALSE)),"")</f>
        <v>Des critères objectifs d'évaluation des offres et des fournisseurs sont définis parallèlement à l'élaboration du cahier des charges.</v>
      </c>
      <c r="H45" s="88" t="str">
        <f>IF(VLOOKUP(E45,BDD!$A$1:$S$567,15,FALSE)=0,"Critère non évalué","")</f>
        <v>Critère non évalué</v>
      </c>
      <c r="I45" s="64" t="str">
        <f>IFERROR(IF(VLOOKUP($E45,BDD!$A$1:$S$567,MATCH(I$10,BDD!$A$1:$P$1,0),FALSE)=0,"",VLOOKUP($E45,BDD!$A$1:$S$567,MATCH(I$10,BDD!$A$1:$P$1,0),FALSE)),"")</f>
        <v>N1</v>
      </c>
      <c r="J45" s="89"/>
      <c r="K45" s="65" t="str">
        <f>IFERROR(IF(VLOOKUP($E45,BDD!$A$1:$S$567,MATCH(K$10,BDD!$A$1:$P$1,0),FALSE)=0,"",VLOOKUP($E45,BDD!$A$1:$S$567,MATCH(K$10,BDD!$A$1:$P$1,0),FALSE)),"")</f>
        <v>• Les critères d'évaluation doivent prendre en compte les différents risques identifiés lors de l'évaluation des risques de dépendance, de perte de contrôle, etc.
• Les critères d'évaluation sont éventuellement communiqués aux prestataires consultés.
• Les critères d'évaluation prennent également en compte les enjeux RSE en alignement avec la politique de l'organisation et les exigences de reporting (par exemple : suivi des consommations lors d'une démarche move to the cloud).</v>
      </c>
      <c r="L45" s="68"/>
      <c r="M45" s="90"/>
      <c r="N45" s="90"/>
      <c r="O45" s="68"/>
      <c r="P45" s="109"/>
    </row>
    <row r="46" spans="1:16" ht="130.05000000000001" customHeight="1" x14ac:dyDescent="0.3">
      <c r="A46" s="109"/>
      <c r="B46" s="68"/>
      <c r="C46" s="68" t="str">
        <f t="shared" si="0"/>
        <v>11</v>
      </c>
      <c r="D46" s="68">
        <f t="shared" si="1"/>
        <v>3</v>
      </c>
      <c r="E46" s="84" t="str">
        <f t="shared" si="2"/>
        <v>1133</v>
      </c>
      <c r="F46" s="66" t="s">
        <v>30</v>
      </c>
      <c r="G46" s="67" t="str">
        <f>IFERROR(IF(VLOOKUP($E46,BDD!$A$1:$S$567,MATCH(G$10,BDD!$A$1:$P$1,0),FALSE)=0,"",VLOOKUP($E46,BDD!$A$1:$S$567,MATCH(G$10,BDD!$A$1:$P$1,0),FALSE)),"")</f>
        <v>Les engagements de sécurité, continuité, conformité, réversibilité et RSE sont inclus dans le contrat avec le fournisseur.</v>
      </c>
      <c r="H46" s="85" t="str">
        <f>IF(VLOOKUP(E46,BDD!$A$1:$S$567,15,FALSE)=0,"Critère non évalué","")</f>
        <v>Critère non évalué</v>
      </c>
      <c r="I46" s="66" t="str">
        <f>IFERROR(IF(VLOOKUP($E46,BDD!$A$1:$S$567,MATCH(I$10,BDD!$A$1:$P$1,0),FALSE)=0,"",VLOOKUP($E46,BDD!$A$1:$S$567,MATCH(I$10,BDD!$A$1:$P$1,0),FALSE)),"")</f>
        <v>N3</v>
      </c>
      <c r="J46" s="86"/>
      <c r="K46" s="67" t="str">
        <f>IFERROR(IF(VLOOKUP($E46,BDD!$A$1:$S$567,MATCH(K$10,BDD!$A$1:$P$1,0),FALSE)=0,"",VLOOKUP($E46,BDD!$A$1:$S$567,MATCH(K$10,BDD!$A$1:$P$1,0),FALSE)),"")</f>
        <v>• Les contrats avec les prestataires et fournisseurs incluent des engagements en matière de sécurité, conformité, confidentialité, RSE.
• Les exigences en matière de protection des données personnelles et du secret des affaires ou industriel font partie des critères objectifs de sélection de la prestation.
• Les éventuelles certifications mises en avant par les prestataires sont analysées et évaluées afin de confirmer leur bonne applicabilité aux services fournis à l'organisation (par exemple : certifications de type ISO 27001, voire Secnumcloud).
• Le plan d'assurance sécurité doit faire partie du corpus contractuel.</v>
      </c>
      <c r="L46" s="68"/>
      <c r="M46" s="87"/>
      <c r="N46" s="87"/>
      <c r="O46" s="68"/>
      <c r="P46" s="109"/>
    </row>
    <row r="47" spans="1:16" ht="150" customHeight="1" x14ac:dyDescent="0.3">
      <c r="A47" s="109"/>
      <c r="B47" s="68"/>
      <c r="C47" s="68" t="str">
        <f t="shared" si="0"/>
        <v>11</v>
      </c>
      <c r="D47" s="68">
        <f t="shared" si="1"/>
        <v>3</v>
      </c>
      <c r="E47" s="84" t="str">
        <f t="shared" si="2"/>
        <v>1134</v>
      </c>
      <c r="F47" s="64" t="s">
        <v>32</v>
      </c>
      <c r="G47" s="96" t="str">
        <f>IFERROR(IF(VLOOKUP($E47,BDD!$A$1:$S$567,MATCH(G$10,BDD!$A$1:$P$1,0),FALSE)=0,"",VLOOKUP($E47,BDD!$A$1:$S$567,MATCH(G$10,BDD!$A$1:$P$1,0),FALSE)),"")</f>
        <v>Le contrat comprend les éléments permettant de mesurer la qualité et la performance de l'achat réalisé.</v>
      </c>
      <c r="H47" s="210" t="str">
        <f>IF(VLOOKUP(E47,BDD!$A$1:$S$567,15,FALSE)=0,"Critère non évalué","")</f>
        <v>Critère non évalué</v>
      </c>
      <c r="I47" s="64" t="str">
        <f>IFERROR(IF(VLOOKUP($E47,BDD!$A$1:$S$567,MATCH(I$10,BDD!$A$1:$P$1,0),FALSE)=0,"",VLOOKUP($E47,BDD!$A$1:$S$567,MATCH(I$10,BDD!$A$1:$P$1,0),FALSE)),"")</f>
        <v>N2</v>
      </c>
      <c r="J47" s="95"/>
      <c r="K47" s="96" t="str">
        <f>IFERROR(IF(VLOOKUP($E47,BDD!$A$1:$S$567,MATCH(K$10,BDD!$A$1:$P$1,0),FALSE)=0,"",VLOOKUP($E47,BDD!$A$1:$S$567,MATCH(K$10,BDD!$A$1:$P$1,0),FALSE)),"")</f>
        <v>• Les éléments contractuels couvrent notamment des aspects tels que la définition d'un accord de niveau de service ou SLA (service level agreement), l’identification des obligations de moyens et de résultats, les modalités de reporting et de gouvernance de la prestation, les exigences de fourniture régulière d'attestations (rapports SOC, anciennement ISAE 3402) ainsi que les clauses d'audit.
• Les accords de niveau de service avec le prestataire ou OLA (Operating level agrement) reflètent les engagements de niveau de service de la DSI vis-à-vis des directions utilisatrices (SLA).
• Les modalités de mesure et de partage des indicateurs de niveau de service sont déterminées dans le contrat de services (fréquence, support, destinataires).</v>
      </c>
      <c r="L47" s="68"/>
      <c r="M47" s="90"/>
      <c r="N47" s="90"/>
      <c r="O47" s="68"/>
      <c r="P47" s="109"/>
    </row>
    <row r="48" spans="1:16" ht="130.05000000000001" customHeight="1" x14ac:dyDescent="0.3">
      <c r="A48" s="109"/>
      <c r="B48" s="68"/>
      <c r="C48" s="68" t="str">
        <f t="shared" si="0"/>
        <v>11</v>
      </c>
      <c r="D48" s="68">
        <f t="shared" si="1"/>
        <v>3</v>
      </c>
      <c r="E48" s="84" t="str">
        <f t="shared" si="2"/>
        <v>1135</v>
      </c>
      <c r="F48" s="66" t="s">
        <v>33</v>
      </c>
      <c r="G48" s="67" t="str">
        <f>IFERROR(IF(VLOOKUP($E48,BDD!$A$1:$S$567,MATCH(G$10,BDD!$A$1:$P$1,0),FALSE)=0,"",VLOOKUP($E48,BDD!$A$1:$S$567,MATCH(G$10,BDD!$A$1:$P$1,0),FALSE)),"")</f>
        <v>L'élaboration du contrat et la capacité de le faire évoluer durant son exécution sont le fruit de la collaboration entre toutes les parties prenantes (directions métiers, DSI, fonction achats et fonction juridique).</v>
      </c>
      <c r="H48" s="85" t="str">
        <f>IF(VLOOKUP(E48,BDD!$A$1:$S$567,15,FALSE)=0,"Critère non évalué","")</f>
        <v>Critère non évalué</v>
      </c>
      <c r="I48" s="66" t="str">
        <f>IFERROR(IF(VLOOKUP($E48,BDD!$A$1:$S$567,MATCH(I$10,BDD!$A$1:$P$1,0),FALSE)=0,"",VLOOKUP($E48,BDD!$A$1:$S$567,MATCH(I$10,BDD!$A$1:$P$1,0),FALSE)),"")</f>
        <v>N2</v>
      </c>
      <c r="J48" s="86"/>
      <c r="K48" s="67" t="str">
        <f>IFERROR(IF(VLOOKUP($E48,BDD!$A$1:$S$567,MATCH(K$10,BDD!$A$1:$P$1,0),FALSE)=0,"",VLOOKUP($E48,BDD!$A$1:$S$567,MATCH(K$10,BDD!$A$1:$P$1,0),FALSE)),"")</f>
        <v>• Un contrôle est effectué pour s'assurer que toutes les parties prenantes ont été associées à l'élaboration du contrat.
• Le contrat doit rendre possible l'évolution de la prestation après accord des parties (clause de revoyure).</v>
      </c>
      <c r="L48" s="68"/>
      <c r="M48" s="87"/>
      <c r="N48" s="87"/>
      <c r="O48" s="68"/>
      <c r="P48" s="109"/>
    </row>
    <row r="49" spans="1:16" ht="120" hidden="1" customHeight="1" x14ac:dyDescent="0.3">
      <c r="A49" s="109"/>
      <c r="B49" s="68"/>
      <c r="C49" s="68" t="str">
        <f t="shared" si="0"/>
        <v>11</v>
      </c>
      <c r="D49" s="68">
        <f t="shared" si="1"/>
        <v>3</v>
      </c>
      <c r="E49" s="84" t="str">
        <f t="shared" si="2"/>
        <v>1136</v>
      </c>
      <c r="F49" s="64" t="s">
        <v>34</v>
      </c>
      <c r="G49" s="96" t="str">
        <f>IFERROR(IF(VLOOKUP($E49,BDD!$A$1:$S$567,MATCH(G$10,BDD!$A$1:$P$1,0),FALSE)=0,"",VLOOKUP($E49,BDD!$A$1:$S$567,MATCH(G$10,BDD!$A$1:$P$1,0),FALSE)),"")</f>
        <v/>
      </c>
      <c r="H49" s="210" t="str">
        <f>IF(VLOOKUP(E49,BDD!$A$1:$S$567,15,FALSE)=0,"Critère non évalué","")</f>
        <v>Critère non évalué</v>
      </c>
      <c r="I49" s="64" t="str">
        <f>IFERROR(IF(VLOOKUP($E49,BDD!$A$1:$S$567,MATCH(I$10,BDD!$A$1:$P$1,0),FALSE)=0,"",VLOOKUP($E49,BDD!$A$1:$S$567,MATCH(I$10,BDD!$A$1:$P$1,0),FALSE)),"")</f>
        <v xml:space="preserve"> </v>
      </c>
      <c r="J49" s="95"/>
      <c r="K49" s="96" t="str">
        <f>IFERROR(IF(VLOOKUP($E49,BDD!$A$1:$S$567,MATCH(K$10,BDD!$A$1:$P$1,0),FALSE)=0,"",VLOOKUP($E49,BDD!$A$1:$S$567,MATCH(K$10,BDD!$A$1:$P$1,0),FALSE)),"")</f>
        <v/>
      </c>
      <c r="L49" s="68"/>
      <c r="M49" s="90"/>
      <c r="N49" s="90"/>
      <c r="O49" s="68"/>
      <c r="P49" s="109"/>
    </row>
    <row r="50" spans="1:16" ht="130.05000000000001" hidden="1" customHeight="1" x14ac:dyDescent="0.3">
      <c r="A50" s="109"/>
      <c r="B50" s="68"/>
      <c r="C50" s="68" t="str">
        <f t="shared" si="0"/>
        <v>11</v>
      </c>
      <c r="D50" s="68">
        <f t="shared" si="1"/>
        <v>3</v>
      </c>
      <c r="E50" s="84" t="str">
        <f t="shared" si="2"/>
        <v>1137</v>
      </c>
      <c r="F50" s="66" t="s">
        <v>36</v>
      </c>
      <c r="G50" s="67" t="str">
        <f>IFERROR(IF(VLOOKUP($E50,BDD!$A$1:$S$567,MATCH(G$10,BDD!$A$1:$P$1,0),FALSE)=0,"",VLOOKUP($E50,BDD!$A$1:$S$567,MATCH(G$10,BDD!$A$1:$P$1,0),FALSE)),"")</f>
        <v/>
      </c>
      <c r="H50" s="85" t="str">
        <f>IF(VLOOKUP(E50,BDD!$A$1:$S$567,15,FALSE)=0,"Critère non évalué","")</f>
        <v>Critère non évalué</v>
      </c>
      <c r="I50" s="66" t="str">
        <f>IFERROR(IF(VLOOKUP($E50,BDD!$A$1:$S$567,MATCH(I$10,BDD!$A$1:$P$1,0),FALSE)=0,"",VLOOKUP($E50,BDD!$A$1:$S$567,MATCH(I$10,BDD!$A$1:$P$1,0),FALSE)),"")</f>
        <v xml:space="preserve"> </v>
      </c>
      <c r="J50" s="86"/>
      <c r="K50" s="67" t="str">
        <f>IFERROR(IF(VLOOKUP($E50,BDD!$A$1:$S$567,MATCH(K$10,BDD!$A$1:$P$1,0),FALSE)=0,"",VLOOKUP($E50,BDD!$A$1:$S$567,MATCH(K$10,BDD!$A$1:$P$1,0),FALSE)),"")</f>
        <v/>
      </c>
      <c r="L50" s="68"/>
      <c r="M50" s="87"/>
      <c r="N50" s="87"/>
      <c r="O50" s="68"/>
      <c r="P50" s="109"/>
    </row>
    <row r="51" spans="1:16" ht="18" x14ac:dyDescent="0.35">
      <c r="A51" s="109"/>
      <c r="B51" s="68"/>
      <c r="C51" s="68" t="str">
        <f t="shared" si="0"/>
        <v>11</v>
      </c>
      <c r="D51" s="68"/>
      <c r="E51" s="84"/>
      <c r="F51" s="68"/>
      <c r="G51" s="69"/>
      <c r="H51" s="69"/>
      <c r="I51" s="69"/>
      <c r="J51" s="69"/>
      <c r="K51" s="69"/>
      <c r="L51" s="70"/>
      <c r="M51" s="68"/>
      <c r="N51" s="68"/>
      <c r="O51" s="68"/>
      <c r="P51" s="109"/>
    </row>
    <row r="52" spans="1:16" x14ac:dyDescent="0.3">
      <c r="A52" s="109"/>
      <c r="B52" s="68"/>
      <c r="C52" s="68" t="str">
        <f t="shared" si="0"/>
        <v>11</v>
      </c>
      <c r="D52" s="68">
        <f>IF(LEFT(F52,14)="Bonne pratique",D48+1,D48)</f>
        <v>3</v>
      </c>
      <c r="E52" s="84" t="str">
        <f t="shared" si="2"/>
        <v>113</v>
      </c>
      <c r="F52" s="68"/>
      <c r="G52" s="68"/>
      <c r="H52" s="68"/>
      <c r="I52" s="68"/>
      <c r="J52" s="68"/>
      <c r="K52" s="68"/>
      <c r="L52" s="68"/>
      <c r="M52" s="68"/>
      <c r="N52" s="68"/>
      <c r="O52" s="68"/>
      <c r="P52" s="109"/>
    </row>
    <row r="53" spans="1:16" ht="30" x14ac:dyDescent="0.5">
      <c r="A53" s="229"/>
      <c r="B53" s="74"/>
      <c r="C53" s="68" t="str">
        <f t="shared" si="0"/>
        <v>11</v>
      </c>
      <c r="D53" s="68">
        <f t="shared" si="1"/>
        <v>4</v>
      </c>
      <c r="E53" s="84" t="str">
        <f t="shared" si="2"/>
        <v>1144</v>
      </c>
      <c r="F53" s="208" t="s">
        <v>502</v>
      </c>
      <c r="G53" s="75"/>
      <c r="H53" s="205"/>
      <c r="I53" s="73"/>
      <c r="J53" s="73" t="str">
        <f>VLOOKUP(E60,BDD!$A$2:$N$567,6,FALSE)</f>
        <v xml:space="preserve">Conduite du changement </v>
      </c>
      <c r="K53" s="72"/>
      <c r="L53" s="75"/>
      <c r="M53" s="75"/>
      <c r="N53" s="75"/>
      <c r="O53" s="74"/>
      <c r="P53" s="229"/>
    </row>
    <row r="54" spans="1:16" x14ac:dyDescent="0.3">
      <c r="A54" s="109"/>
      <c r="B54" s="68"/>
      <c r="C54" s="68" t="str">
        <f t="shared" si="0"/>
        <v>11</v>
      </c>
      <c r="D54" s="68">
        <f t="shared" si="1"/>
        <v>4</v>
      </c>
      <c r="E54" s="84" t="str">
        <f t="shared" si="2"/>
        <v>114</v>
      </c>
      <c r="F54" s="68"/>
      <c r="G54" s="68"/>
      <c r="H54" s="68"/>
      <c r="I54" s="68"/>
      <c r="J54" s="68"/>
      <c r="K54" s="68"/>
      <c r="L54" s="68"/>
      <c r="M54" s="68"/>
      <c r="N54" s="68"/>
      <c r="O54" s="68"/>
      <c r="P54" s="109"/>
    </row>
    <row r="55" spans="1:16" ht="18" x14ac:dyDescent="0.35">
      <c r="A55" s="230"/>
      <c r="B55" s="76"/>
      <c r="C55" s="68" t="str">
        <f t="shared" si="0"/>
        <v>11</v>
      </c>
      <c r="D55" s="68">
        <f t="shared" si="1"/>
        <v>4</v>
      </c>
      <c r="E55" s="84" t="str">
        <f t="shared" si="2"/>
        <v>114</v>
      </c>
      <c r="F55" s="76"/>
      <c r="G55" s="76"/>
      <c r="H55" s="76"/>
      <c r="I55" s="77"/>
      <c r="J55" s="207" t="str">
        <f>IFERROR(_xlfn.TEXTBEFORE(VLOOKUP(E60,BDD!$A$2:$N$567,7,FALSE)," ",30),VLOOKUP(E60,BDD!$A$2:$N$567,7,FALSE))</f>
        <v>Pour chacune des activités SI à externaliser, il existe une démarche de transition et de conduite du changement.</v>
      </c>
      <c r="K55" s="77"/>
      <c r="L55" s="76"/>
      <c r="M55" s="76"/>
      <c r="N55" s="76"/>
      <c r="O55" s="76"/>
      <c r="P55" s="230"/>
    </row>
    <row r="56" spans="1:16" ht="18" x14ac:dyDescent="0.35">
      <c r="A56" s="109"/>
      <c r="B56" s="68"/>
      <c r="C56" s="68" t="str">
        <f t="shared" si="0"/>
        <v>11</v>
      </c>
      <c r="D56" s="68">
        <f t="shared" si="1"/>
        <v>4</v>
      </c>
      <c r="E56" s="84" t="str">
        <f t="shared" si="2"/>
        <v>114</v>
      </c>
      <c r="F56" s="68"/>
      <c r="G56" s="68"/>
      <c r="H56" s="68"/>
      <c r="I56" s="68"/>
      <c r="J56" s="207" t="str">
        <f>IFERROR(_xlfn.TEXTAFTER(VLOOKUP(E60,BDD!$A$2:$N$567,7,FALSE)," ",30),"")</f>
        <v/>
      </c>
      <c r="K56" s="68"/>
      <c r="L56" s="68"/>
      <c r="M56" s="68"/>
      <c r="N56" s="68"/>
      <c r="O56" s="68"/>
      <c r="P56" s="109"/>
    </row>
    <row r="57" spans="1:16" x14ac:dyDescent="0.3">
      <c r="A57" s="109"/>
      <c r="B57" s="68"/>
      <c r="C57" s="68" t="str">
        <f t="shared" si="0"/>
        <v>11</v>
      </c>
      <c r="D57" s="68">
        <f t="shared" si="1"/>
        <v>4</v>
      </c>
      <c r="E57" s="84" t="str">
        <f t="shared" si="2"/>
        <v>114</v>
      </c>
      <c r="F57" s="68"/>
      <c r="G57" s="68"/>
      <c r="H57" s="68"/>
      <c r="I57" s="68"/>
      <c r="J57" s="78"/>
      <c r="K57" s="68"/>
      <c r="L57" s="68"/>
      <c r="M57" s="619" t="s">
        <v>92</v>
      </c>
      <c r="N57" s="619"/>
      <c r="O57" s="68"/>
      <c r="P57" s="109"/>
    </row>
    <row r="58" spans="1:16" ht="33" x14ac:dyDescent="0.3">
      <c r="A58" s="109"/>
      <c r="B58" s="68"/>
      <c r="C58" s="68" t="str">
        <f t="shared" si="0"/>
        <v>11</v>
      </c>
      <c r="D58" s="68">
        <f t="shared" si="1"/>
        <v>4</v>
      </c>
      <c r="E58" s="84" t="str">
        <f t="shared" si="2"/>
        <v>114</v>
      </c>
      <c r="F58" s="79"/>
      <c r="G58" s="80" t="s">
        <v>561</v>
      </c>
      <c r="H58" s="80" t="s">
        <v>82</v>
      </c>
      <c r="I58" s="80" t="s">
        <v>83</v>
      </c>
      <c r="J58" s="80" t="s">
        <v>84</v>
      </c>
      <c r="K58" s="80" t="s">
        <v>85</v>
      </c>
      <c r="L58" s="78"/>
      <c r="M58" s="81" t="s">
        <v>86</v>
      </c>
      <c r="N58" s="82" t="s">
        <v>87</v>
      </c>
      <c r="O58" s="68"/>
      <c r="P58" s="109"/>
    </row>
    <row r="59" spans="1:16" x14ac:dyDescent="0.3">
      <c r="A59" s="109"/>
      <c r="B59" s="68"/>
      <c r="C59" s="68" t="str">
        <f t="shared" si="0"/>
        <v>11</v>
      </c>
      <c r="D59" s="68">
        <f t="shared" si="1"/>
        <v>4</v>
      </c>
      <c r="E59" s="84" t="str">
        <f t="shared" si="2"/>
        <v>114</v>
      </c>
      <c r="F59" s="68"/>
      <c r="G59" s="83"/>
      <c r="H59" s="83"/>
      <c r="I59" s="83"/>
      <c r="J59" s="68"/>
      <c r="K59" s="83"/>
      <c r="L59" s="68"/>
      <c r="M59" s="68"/>
      <c r="N59" s="68"/>
      <c r="O59" s="68"/>
      <c r="P59" s="109"/>
    </row>
    <row r="60" spans="1:16" ht="130.05000000000001" customHeight="1" x14ac:dyDescent="0.3">
      <c r="A60" s="109"/>
      <c r="B60" s="68"/>
      <c r="C60" s="68" t="str">
        <f t="shared" si="0"/>
        <v>11</v>
      </c>
      <c r="D60" s="68">
        <f t="shared" si="1"/>
        <v>4</v>
      </c>
      <c r="E60" s="84" t="str">
        <f t="shared" si="2"/>
        <v>1141</v>
      </c>
      <c r="F60" s="66" t="s">
        <v>27</v>
      </c>
      <c r="G60" s="67" t="str">
        <f>IFERROR(IF(VLOOKUP($E60,BDD!$A$1:$S$567,MATCH(G$10,BDD!$A$1:$P$1,0),FALSE)=0,"",VLOOKUP($E60,BDD!$A$1:$S$567,MATCH(G$10,BDD!$A$1:$P$1,0),FALSE)),"")</f>
        <v>Un planning de transition et de conduite du changement est défini comprenant les principales étapes à suivre.</v>
      </c>
      <c r="H60" s="85" t="str">
        <f>IF(VLOOKUP(E60,BDD!$A$1:$S$567,15,FALSE)=0,"Critère non évalué","")</f>
        <v>Critère non évalué</v>
      </c>
      <c r="I60" s="66" t="str">
        <f>IFERROR(IF(VLOOKUP($E60,BDD!$A$1:$S$567,MATCH(I$10,BDD!$A$1:$P$1,0),FALSE)=0,"",VLOOKUP($E60,BDD!$A$1:$S$567,MATCH(I$10,BDD!$A$1:$P$1,0),FALSE)),"")</f>
        <v>N1</v>
      </c>
      <c r="J60" s="86"/>
      <c r="K60" s="67" t="str">
        <f>IFERROR(IF(VLOOKUP($E60,BDD!$A$1:$S$567,MATCH(K$10,BDD!$A$1:$P$1,0),FALSE)=0,"",VLOOKUP($E60,BDD!$A$1:$S$567,MATCH(K$10,BDD!$A$1:$P$1,0),FALSE)),"")</f>
        <v>• Les étapes incluent notamment :
- Une étape de préparation.
- Une étape d'exécution.
- Une étape de vérification.
- Une étape de stabilisation.</v>
      </c>
      <c r="L60" s="68"/>
      <c r="M60" s="87"/>
      <c r="N60" s="87"/>
      <c r="O60" s="68"/>
      <c r="P60" s="109"/>
    </row>
    <row r="61" spans="1:16" ht="130.05000000000001" customHeight="1" x14ac:dyDescent="0.3">
      <c r="A61" s="109"/>
      <c r="B61" s="68"/>
      <c r="C61" s="68" t="str">
        <f t="shared" si="0"/>
        <v>11</v>
      </c>
      <c r="D61" s="68">
        <f t="shared" si="1"/>
        <v>4</v>
      </c>
      <c r="E61" s="84" t="str">
        <f t="shared" si="2"/>
        <v>1142</v>
      </c>
      <c r="F61" s="94" t="s">
        <v>28</v>
      </c>
      <c r="G61" s="65" t="str">
        <f>IFERROR(IF(VLOOKUP($E61,BDD!$A$1:$S$567,MATCH(G$10,BDD!$A$1:$P$1,0),FALSE)=0,"",VLOOKUP($E61,BDD!$A$1:$S$567,MATCH(G$10,BDD!$A$1:$P$1,0),FALSE)),"")</f>
        <v>Un dispositif de gouvernance est en place pour piloter l'exécution du processus de transition.</v>
      </c>
      <c r="H61" s="88" t="str">
        <f>IF(VLOOKUP(E61,BDD!$A$1:$S$567,15,FALSE)=0,"Critère non évalué","")</f>
        <v>Critère non évalué</v>
      </c>
      <c r="I61" s="64" t="str">
        <f>IFERROR(IF(VLOOKUP($E61,BDD!$A$1:$S$567,MATCH(I$10,BDD!$A$1:$P$1,0),FALSE)=0,"",VLOOKUP($E61,BDD!$A$1:$S$567,MATCH(I$10,BDD!$A$1:$P$1,0),FALSE)),"")</f>
        <v>N2</v>
      </c>
      <c r="J61" s="89"/>
      <c r="K61" s="65" t="str">
        <f>IFERROR(IF(VLOOKUP($E61,BDD!$A$1:$S$567,MATCH(K$10,BDD!$A$1:$P$1,0),FALSE)=0,"",VLOOKUP($E61,BDD!$A$1:$S$567,MATCH(K$10,BDD!$A$1:$P$1,0),FALSE)),"")</f>
        <v>• Un calendrier opérationnel définitif est élaboré avec l'ensemble des parties prenantes.
• Les rôles et responsabilités sont clairement établis.
• La comitologie est définie.
• Cette phase de transition est monitorée avec des KPI et jalons prédéfinis.
• Les risques identifiés font l'objet d'un suivi.</v>
      </c>
      <c r="L61" s="68"/>
      <c r="M61" s="90"/>
      <c r="N61" s="90"/>
      <c r="O61" s="68"/>
      <c r="P61" s="109"/>
    </row>
    <row r="62" spans="1:16" ht="130.05000000000001" customHeight="1" x14ac:dyDescent="0.3">
      <c r="A62" s="109"/>
      <c r="B62" s="68"/>
      <c r="C62" s="68" t="str">
        <f t="shared" si="0"/>
        <v>11</v>
      </c>
      <c r="D62" s="68">
        <f>IF(LEFT(F62,14)="Bonne pratique",D61+1,D61)</f>
        <v>4</v>
      </c>
      <c r="E62" s="84" t="str">
        <f t="shared" si="2"/>
        <v>1143</v>
      </c>
      <c r="F62" s="66" t="s">
        <v>30</v>
      </c>
      <c r="G62" s="67" t="str">
        <f>IFERROR(IF(VLOOKUP($E62,BDD!$A$1:$S$567,MATCH(G$10,BDD!$A$1:$P$1,0),FALSE)=0,"",VLOOKUP($E62,BDD!$A$1:$S$567,MATCH(G$10,BDD!$A$1:$P$1,0),FALSE)),"")</f>
        <v>Le plan de transfert de l'activité à un prestataire a été défini et inclut les éventuels impacts RH qui auront été anticipés avant l'émission de l'appel d'offres.</v>
      </c>
      <c r="H62" s="85" t="str">
        <f>IF(VLOOKUP(E62,BDD!$A$1:$S$567,15,FALSE)=0,"Critère non évalué","")</f>
        <v>Critère non évalué</v>
      </c>
      <c r="I62" s="66" t="str">
        <f>IFERROR(IF(VLOOKUP($E62,BDD!$A$1:$S$567,MATCH(I$10,BDD!$A$1:$P$1,0),FALSE)=0,"",VLOOKUP($E62,BDD!$A$1:$S$567,MATCH(I$10,BDD!$A$1:$P$1,0),FALSE)),"")</f>
        <v>N2</v>
      </c>
      <c r="J62" s="86"/>
      <c r="K62" s="67" t="str">
        <f>IFERROR(IF(VLOOKUP($E62,BDD!$A$1:$S$567,MATCH(K$10,BDD!$A$1:$P$1,0),FALSE)=0,"",VLOOKUP($E62,BDD!$A$1:$S$567,MATCH(K$10,BDD!$A$1:$P$1,0),FALSE)),"")</f>
        <v>• La méthode de transfert est définie, soit « big bang », soit « en sifflet » (montée en compétence progressive), soit par lots.
• Les impacts du transfert sont suivis par la DRH.</v>
      </c>
      <c r="L62" s="68"/>
      <c r="M62" s="87"/>
      <c r="N62" s="87"/>
      <c r="O62" s="68"/>
      <c r="P62" s="109"/>
    </row>
    <row r="63" spans="1:16" ht="130.05000000000001" customHeight="1" x14ac:dyDescent="0.3">
      <c r="A63" s="109"/>
      <c r="B63" s="68"/>
      <c r="C63" s="68" t="str">
        <f t="shared" si="0"/>
        <v>11</v>
      </c>
      <c r="D63" s="68">
        <f t="shared" si="1"/>
        <v>4</v>
      </c>
      <c r="E63" s="84" t="str">
        <f t="shared" si="2"/>
        <v>1144</v>
      </c>
      <c r="F63" s="64" t="s">
        <v>32</v>
      </c>
      <c r="G63" s="65" t="str">
        <f>IFERROR(IF(VLOOKUP($E63,BDD!$A$1:$S$567,MATCH(G$10,BDD!$A$1:$P$1,0),FALSE)=0,"",VLOOKUP($E63,BDD!$A$1:$S$567,MATCH(G$10,BDD!$A$1:$P$1,0),FALSE)),"")</f>
        <v>Les modalités de transfert de données au prestataire sont définies dans un PV de transfert qui matérialise la transaction.</v>
      </c>
      <c r="H63" s="88" t="str">
        <f>IF(VLOOKUP(E63,BDD!$A$1:$S$567,15,FALSE)=0,"Critère non évalué","")</f>
        <v>Critère non évalué</v>
      </c>
      <c r="I63" s="64" t="str">
        <f>IFERROR(IF(VLOOKUP($E63,BDD!$A$1:$S$567,MATCH(I$10,BDD!$A$1:$P$1,0),FALSE)=0,"",VLOOKUP($E63,BDD!$A$1:$S$567,MATCH(I$10,BDD!$A$1:$P$1,0),FALSE)),"")</f>
        <v>N2</v>
      </c>
      <c r="J63" s="91"/>
      <c r="K63" s="65" t="str">
        <f>IFERROR(IF(VLOOKUP($E63,BDD!$A$1:$S$567,MATCH(K$10,BDD!$A$1:$P$1,0),FALSE)=0,"",VLOOKUP($E63,BDD!$A$1:$S$567,MATCH(K$10,BDD!$A$1:$P$1,0),FALSE)),"")</f>
        <v>• Il est notamment indiqué dans le contrat que le fournisseur ne pourra utiliser les données de l'entreprise que dans le cadre de l'exécution du contrat.
• Le PV de transfert inclut les aspects suivants : protection des données personnelles, protection du secret des affaires ou industriel.
• Le PV de transfert prévoit précisément les modalités d'échanges de données, de droit de copie, de sauvegarde, de destruction.</v>
      </c>
      <c r="L63" s="68"/>
      <c r="M63" s="90"/>
      <c r="N63" s="90"/>
      <c r="O63" s="68"/>
      <c r="P63" s="109"/>
    </row>
    <row r="64" spans="1:16" ht="139.80000000000001" customHeight="1" x14ac:dyDescent="0.3">
      <c r="A64" s="109"/>
      <c r="B64" s="68"/>
      <c r="C64" s="68" t="str">
        <f t="shared" si="0"/>
        <v>11</v>
      </c>
      <c r="D64" s="68">
        <f t="shared" si="1"/>
        <v>4</v>
      </c>
      <c r="E64" s="84" t="str">
        <f t="shared" si="2"/>
        <v>1145</v>
      </c>
      <c r="F64" s="66" t="s">
        <v>33</v>
      </c>
      <c r="G64" s="67" t="str">
        <f>IFERROR(IF(VLOOKUP($E64,BDD!$A$1:$S$567,MATCH(G$10,BDD!$A$1:$P$1,0),FALSE)=0,"",VLOOKUP($E64,BDD!$A$1:$S$567,MATCH(G$10,BDD!$A$1:$P$1,0),FALSE)),"")</f>
        <v>Les modalités de transfert de connaissances et compétences sont définies et leur mise en œuvre est pilotée.</v>
      </c>
      <c r="H64" s="85" t="str">
        <f>IF(VLOOKUP(E64,BDD!$A$1:$S$567,15,FALSE)=0,"Critère non évalué","")</f>
        <v>Critère non évalué</v>
      </c>
      <c r="I64" s="66" t="str">
        <f>IFERROR(IF(VLOOKUP($E64,BDD!$A$1:$S$567,MATCH(I$10,BDD!$A$1:$P$1,0),FALSE)=0,"",VLOOKUP($E64,BDD!$A$1:$S$567,MATCH(I$10,BDD!$A$1:$P$1,0),FALSE)),"")</f>
        <v>N2</v>
      </c>
      <c r="J64" s="86"/>
      <c r="K64" s="67" t="str">
        <f>IFERROR(IF(VLOOKUP($E64,BDD!$A$1:$S$567,MATCH(K$10,BDD!$A$1:$P$1,0),FALSE)=0,"",VLOOKUP($E64,BDD!$A$1:$S$567,MATCH(K$10,BDD!$A$1:$P$1,0),FALSE)),"")</f>
        <v>• Le plan de transfert de connaissance inclut :
- Le transfert de la base documentaire (FAQ, bonnes pratiques, documentations techniques, procédures opérationnelles, documentations utilisateur).
- Des sessions de formation.
- Des exercices sur un environnement hors production.
• Il prévoit l'organisation de formations pour que le personnel du prestataire soit sensibilisé aux contraintes réglementaires et de sécurité de l'entreprise.
• Lors des phases de transfert des compétences, les cartographies de l'entreprise sont mises à jour si nécessaire.</v>
      </c>
      <c r="L64" s="68"/>
      <c r="M64" s="82"/>
      <c r="N64" s="82"/>
      <c r="O64" s="68"/>
      <c r="P64" s="109"/>
    </row>
    <row r="65" spans="1:16" ht="130.05000000000001" hidden="1" customHeight="1" x14ac:dyDescent="0.3">
      <c r="A65" s="109"/>
      <c r="B65" s="68"/>
      <c r="C65" s="68" t="str">
        <f t="shared" si="0"/>
        <v>11</v>
      </c>
      <c r="D65" s="68">
        <f t="shared" si="1"/>
        <v>4</v>
      </c>
      <c r="E65" s="84" t="str">
        <f t="shared" si="2"/>
        <v>1146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xml:space="preserve"> </v>
      </c>
      <c r="J65" s="206"/>
      <c r="K65" s="96" t="str">
        <f>IFERROR(IF(VLOOKUP($E65,BDD!$A$1:$S$567,MATCH(K$10,BDD!$A$1:$P$1,0),FALSE)=0,"",VLOOKUP($E65,BDD!$A$1:$S$567,MATCH(K$10,BDD!$A$1:$P$1,0),FALSE)),"")</f>
        <v/>
      </c>
      <c r="L65" s="68"/>
      <c r="M65" s="90"/>
      <c r="N65" s="90"/>
      <c r="O65" s="68"/>
      <c r="P65" s="109"/>
    </row>
    <row r="66" spans="1:16" ht="130.05000000000001" hidden="1" customHeight="1" x14ac:dyDescent="0.3">
      <c r="A66" s="109"/>
      <c r="B66" s="68"/>
      <c r="C66" s="68" t="str">
        <f t="shared" si="0"/>
        <v>11</v>
      </c>
      <c r="D66" s="68">
        <f t="shared" si="1"/>
        <v>4</v>
      </c>
      <c r="E66" s="84" t="str">
        <f t="shared" si="2"/>
        <v>1147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xml:space="preserve"> </v>
      </c>
      <c r="J66" s="86"/>
      <c r="K66" s="67" t="str">
        <f>IFERROR(IF(VLOOKUP($E66,BDD!$A$1:$S$567,MATCH(K$10,BDD!$A$1:$P$1,0),FALSE)=0,"",VLOOKUP($E66,BDD!$A$1:$S$567,MATCH(K$10,BDD!$A$1:$P$1,0),FALSE)),"")</f>
        <v/>
      </c>
      <c r="L66" s="68"/>
      <c r="M66" s="82"/>
      <c r="N66" s="82"/>
      <c r="O66" s="68"/>
      <c r="P66" s="109"/>
    </row>
    <row r="67" spans="1:16" x14ac:dyDescent="0.3">
      <c r="A67" s="109"/>
      <c r="B67" s="68"/>
      <c r="C67" s="68" t="str">
        <f t="shared" si="0"/>
        <v>11</v>
      </c>
      <c r="D67" s="68">
        <f t="shared" si="1"/>
        <v>4</v>
      </c>
      <c r="E67" s="84" t="str">
        <f t="shared" si="2"/>
        <v>114</v>
      </c>
      <c r="F67" s="68"/>
      <c r="G67" s="68"/>
      <c r="H67" s="68"/>
      <c r="I67" s="68"/>
      <c r="J67" s="68"/>
      <c r="K67" s="68"/>
      <c r="L67" s="68"/>
      <c r="M67" s="68"/>
      <c r="N67" s="68"/>
      <c r="O67" s="68"/>
      <c r="P67" s="109"/>
    </row>
    <row r="68" spans="1:16" x14ac:dyDescent="0.3">
      <c r="A68" s="109"/>
      <c r="B68" s="68"/>
      <c r="C68" s="68" t="str">
        <f t="shared" si="0"/>
        <v>11</v>
      </c>
      <c r="D68" s="68"/>
      <c r="E68" s="84"/>
      <c r="F68" s="68"/>
      <c r="G68" s="68"/>
      <c r="H68" s="68"/>
      <c r="I68" s="68"/>
      <c r="J68" s="68"/>
      <c r="K68" s="68"/>
      <c r="L68" s="68"/>
      <c r="M68" s="68"/>
      <c r="N68" s="68"/>
      <c r="O68" s="68"/>
      <c r="P68" s="109"/>
    </row>
    <row r="69" spans="1:16" x14ac:dyDescent="0.3">
      <c r="A69" s="109"/>
      <c r="B69" s="68"/>
      <c r="C69" s="68" t="str">
        <f t="shared" si="0"/>
        <v>11</v>
      </c>
      <c r="D69" s="68"/>
      <c r="E69" s="84"/>
      <c r="F69" s="68"/>
      <c r="G69" s="68"/>
      <c r="H69" s="68"/>
      <c r="I69" s="68"/>
      <c r="J69" s="68"/>
      <c r="K69" s="68"/>
      <c r="L69" s="68"/>
      <c r="M69" s="68"/>
      <c r="N69" s="68"/>
      <c r="O69" s="68"/>
      <c r="P69" s="109"/>
    </row>
    <row r="70" spans="1:16" x14ac:dyDescent="0.3">
      <c r="A70" s="109"/>
      <c r="B70" s="68"/>
      <c r="C70" s="68" t="str">
        <f t="shared" ref="C70:C115" si="3">IF(LEFT(RIGHT($B$1,2),1)=" ",RIGHT($B$1,1),RIGHT($B$1,2))</f>
        <v>11</v>
      </c>
      <c r="D70" s="68"/>
      <c r="E70" s="84"/>
      <c r="F70" s="68"/>
      <c r="G70" s="68"/>
      <c r="H70" s="68"/>
      <c r="I70" s="68"/>
      <c r="J70" s="68"/>
      <c r="K70" s="68"/>
      <c r="L70" s="68"/>
      <c r="M70" s="68"/>
      <c r="N70" s="68"/>
      <c r="O70" s="68"/>
      <c r="P70" s="109"/>
    </row>
    <row r="71" spans="1:16" ht="30" x14ac:dyDescent="0.5">
      <c r="A71" s="229"/>
      <c r="B71" s="74"/>
      <c r="C71" s="68" t="str">
        <f t="shared" si="3"/>
        <v>11</v>
      </c>
      <c r="D71" s="68">
        <f>IF(LEFT(F71,14)="Bonne pratique",D67+1,D67)</f>
        <v>5</v>
      </c>
      <c r="E71" s="84" t="str">
        <f t="shared" si="2"/>
        <v>1155</v>
      </c>
      <c r="F71" s="208" t="s">
        <v>503</v>
      </c>
      <c r="G71" s="75"/>
      <c r="H71" s="205"/>
      <c r="I71" s="73"/>
      <c r="J71" s="73" t="str">
        <f>VLOOKUP(E78,BDD!$A$2:$N$567,6,FALSE)</f>
        <v>Pilotage des services externalisés et des prestations</v>
      </c>
      <c r="K71" s="72"/>
      <c r="L71" s="75"/>
      <c r="M71" s="75"/>
      <c r="N71" s="75"/>
      <c r="O71" s="74"/>
      <c r="P71" s="229"/>
    </row>
    <row r="72" spans="1:16" x14ac:dyDescent="0.3">
      <c r="A72" s="109"/>
      <c r="B72" s="68"/>
      <c r="C72" s="68" t="str">
        <f t="shared" si="3"/>
        <v>11</v>
      </c>
      <c r="D72" s="68">
        <f t="shared" ref="D72:D84" si="4">IF(LEFT(F72,14)="Bonne pratique",D71+1,D71)</f>
        <v>5</v>
      </c>
      <c r="E72" s="84" t="str">
        <f t="shared" si="2"/>
        <v>115</v>
      </c>
      <c r="F72" s="68"/>
      <c r="G72" s="68"/>
      <c r="H72" s="68"/>
      <c r="I72" s="68"/>
      <c r="J72" s="68"/>
      <c r="K72" s="68"/>
      <c r="L72" s="68"/>
      <c r="M72" s="68"/>
      <c r="N72" s="68"/>
      <c r="O72" s="68"/>
      <c r="P72" s="109"/>
    </row>
    <row r="73" spans="1:16" ht="18" x14ac:dyDescent="0.35">
      <c r="A73" s="230"/>
      <c r="B73" s="76"/>
      <c r="C73" s="68" t="str">
        <f t="shared" si="3"/>
        <v>11</v>
      </c>
      <c r="D73" s="68">
        <f t="shared" si="4"/>
        <v>5</v>
      </c>
      <c r="E73" s="84" t="str">
        <f t="shared" si="2"/>
        <v>115</v>
      </c>
      <c r="F73" s="76"/>
      <c r="G73" s="76"/>
      <c r="H73" s="76"/>
      <c r="I73" s="77"/>
      <c r="J73" s="207" t="str">
        <f>IFERROR(_xlfn.TEXTBEFORE(VLOOKUP(E78,BDD!$A$2:$N$567,7,FALSE)," ",30),VLOOKUP(E78,BDD!$A$2:$N$567,7,FALSE))</f>
        <v>Le pilotage opérationnel des services IT externalisés et des prestations est structuré pour garantir la performance et l'amélioration des services fournis.</v>
      </c>
      <c r="K73" s="77"/>
      <c r="L73" s="76"/>
      <c r="M73" s="76"/>
      <c r="N73" s="76"/>
      <c r="O73" s="76"/>
      <c r="P73" s="230"/>
    </row>
    <row r="74" spans="1:16" ht="18" x14ac:dyDescent="0.35">
      <c r="A74" s="109"/>
      <c r="B74" s="68"/>
      <c r="C74" s="68" t="str">
        <f t="shared" si="3"/>
        <v>11</v>
      </c>
      <c r="D74" s="68">
        <f t="shared" si="4"/>
        <v>5</v>
      </c>
      <c r="E74" s="84" t="str">
        <f t="shared" si="2"/>
        <v>115</v>
      </c>
      <c r="F74" s="68"/>
      <c r="G74" s="68"/>
      <c r="H74" s="68"/>
      <c r="I74" s="68"/>
      <c r="J74" s="207" t="str">
        <f>IFERROR(_xlfn.TEXTAFTER(VLOOKUP(E78,BDD!$A$2:$N$567,7,FALSE)," ",30),"")</f>
        <v/>
      </c>
      <c r="K74" s="68"/>
      <c r="L74" s="68"/>
      <c r="M74" s="68"/>
      <c r="N74" s="68"/>
      <c r="O74" s="68"/>
      <c r="P74" s="109"/>
    </row>
    <row r="75" spans="1:16" x14ac:dyDescent="0.3">
      <c r="A75" s="109"/>
      <c r="B75" s="68"/>
      <c r="C75" s="68" t="str">
        <f t="shared" si="3"/>
        <v>11</v>
      </c>
      <c r="D75" s="68">
        <f t="shared" si="4"/>
        <v>5</v>
      </c>
      <c r="E75" s="84" t="str">
        <f t="shared" si="2"/>
        <v>115</v>
      </c>
      <c r="F75" s="68"/>
      <c r="G75" s="68"/>
      <c r="H75" s="68"/>
      <c r="I75" s="68"/>
      <c r="J75" s="78"/>
      <c r="K75" s="68"/>
      <c r="L75" s="68"/>
      <c r="M75" s="619" t="s">
        <v>92</v>
      </c>
      <c r="N75" s="619"/>
      <c r="O75" s="68"/>
      <c r="P75" s="109"/>
    </row>
    <row r="76" spans="1:16" ht="33" x14ac:dyDescent="0.3">
      <c r="A76" s="109"/>
      <c r="B76" s="68"/>
      <c r="C76" s="68" t="str">
        <f t="shared" si="3"/>
        <v>11</v>
      </c>
      <c r="D76" s="68">
        <f t="shared" si="4"/>
        <v>5</v>
      </c>
      <c r="E76" s="84" t="str">
        <f t="shared" si="2"/>
        <v>115</v>
      </c>
      <c r="F76" s="93"/>
      <c r="G76" s="80" t="s">
        <v>561</v>
      </c>
      <c r="H76" s="80" t="s">
        <v>82</v>
      </c>
      <c r="I76" s="80" t="s">
        <v>83</v>
      </c>
      <c r="J76" s="80" t="s">
        <v>84</v>
      </c>
      <c r="K76" s="80" t="s">
        <v>85</v>
      </c>
      <c r="L76" s="78"/>
      <c r="M76" s="81" t="s">
        <v>86</v>
      </c>
      <c r="N76" s="82" t="s">
        <v>87</v>
      </c>
      <c r="O76" s="68"/>
      <c r="P76" s="109"/>
    </row>
    <row r="77" spans="1:16" x14ac:dyDescent="0.3">
      <c r="A77" s="109"/>
      <c r="B77" s="68"/>
      <c r="C77" s="68" t="str">
        <f t="shared" si="3"/>
        <v>11</v>
      </c>
      <c r="D77" s="68">
        <f t="shared" si="4"/>
        <v>5</v>
      </c>
      <c r="E77" s="84" t="str">
        <f t="shared" si="2"/>
        <v>115</v>
      </c>
      <c r="F77" s="68"/>
      <c r="G77" s="83"/>
      <c r="H77" s="83"/>
      <c r="I77" s="83"/>
      <c r="J77" s="68"/>
      <c r="K77" s="83"/>
      <c r="L77" s="68"/>
      <c r="M77" s="68"/>
      <c r="N77" s="68"/>
      <c r="O77" s="68"/>
      <c r="P77" s="109"/>
    </row>
    <row r="78" spans="1:16" ht="130.05000000000001" customHeight="1" x14ac:dyDescent="0.3">
      <c r="A78" s="109"/>
      <c r="B78" s="68"/>
      <c r="C78" s="68" t="str">
        <f t="shared" si="3"/>
        <v>11</v>
      </c>
      <c r="D78" s="68">
        <f t="shared" si="4"/>
        <v>5</v>
      </c>
      <c r="E78" s="84" t="str">
        <f t="shared" si="2"/>
        <v>1151</v>
      </c>
      <c r="F78" s="66" t="s">
        <v>27</v>
      </c>
      <c r="G78" s="67" t="str">
        <f>IFERROR(IF(VLOOKUP($E78,BDD!$A$1:$S$567,MATCH(G$10,BDD!$A$1:$P$1,0),FALSE)=0,"",VLOOKUP($E78,BDD!$A$1:$S$567,MATCH(G$10,BDD!$A$1:$P$1,0),FALSE)),"")</f>
        <v>Des indicateurs (KPI et SLA) ont été définis et mis en place pour mesurer la valeur apportée à l'organisation lors d'une externalisation de services.</v>
      </c>
      <c r="H78" s="85" t="str">
        <f>IF(VLOOKUP(E78,BDD!$A$1:$S$567,15,FALSE)=0,"Critère non évalué","")</f>
        <v>Critère non évalué</v>
      </c>
      <c r="I78" s="66" t="str">
        <f>IFERROR(IF(VLOOKUP($E78,BDD!$A$1:$S$567,MATCH(I$10,BDD!$A$1:$P$1,0),FALSE)=0,"",VLOOKUP($E78,BDD!$A$1:$S$567,MATCH(I$10,BDD!$A$1:$P$1,0),FALSE)),"")</f>
        <v>N1</v>
      </c>
      <c r="J78" s="86"/>
      <c r="K78" s="67" t="str">
        <f>IFERROR(IF(VLOOKUP($E78,BDD!$A$1:$S$567,MATCH(K$10,BDD!$A$1:$P$1,0),FALSE)=0,"",VLOOKUP($E78,BDD!$A$1:$S$567,MATCH(K$10,BDD!$A$1:$P$1,0),FALSE)),"")</f>
        <v>• Qualité de service (vélocité, agilité, etc.).
• Économie de moyens.
• Amélioration du bilan et du résultat financier.</v>
      </c>
      <c r="L78" s="68"/>
      <c r="M78" s="87"/>
      <c r="N78" s="87"/>
      <c r="O78" s="68"/>
      <c r="P78" s="109"/>
    </row>
    <row r="79" spans="1:16" ht="202.2" customHeight="1" x14ac:dyDescent="0.3">
      <c r="A79" s="109"/>
      <c r="B79" s="68"/>
      <c r="C79" s="68" t="str">
        <f t="shared" si="3"/>
        <v>11</v>
      </c>
      <c r="D79" s="68">
        <f t="shared" si="4"/>
        <v>5</v>
      </c>
      <c r="E79" s="84" t="str">
        <f t="shared" si="2"/>
        <v>1152</v>
      </c>
      <c r="F79" s="94" t="s">
        <v>28</v>
      </c>
      <c r="G79" s="65" t="str">
        <f>IFERROR(IF(VLOOKUP($E79,BDD!$A$1:$S$567,MATCH(G$10,BDD!$A$1:$P$1,0),FALSE)=0,"",VLOOKUP($E79,BDD!$A$1:$S$567,MATCH(G$10,BDD!$A$1:$P$1,0),FALSE)),"")</f>
        <v>Un suivi des services externalisés et des prestations est organisé et adapté à la nature du service.</v>
      </c>
      <c r="H79" s="88" t="str">
        <f>IF(VLOOKUP(E79,BDD!$A$1:$S$567,15,FALSE)=0,"Critère non évalué","")</f>
        <v>Critère non évalué</v>
      </c>
      <c r="I79" s="64" t="str">
        <f>IFERROR(IF(VLOOKUP($E79,BDD!$A$1:$S$567,MATCH(I$10,BDD!$A$1:$P$1,0),FALSE)=0,"",VLOOKUP($E79,BDD!$A$1:$S$567,MATCH(I$10,BDD!$A$1:$P$1,0),FALSE)),"")</f>
        <v>N1</v>
      </c>
      <c r="J79" s="89"/>
      <c r="K79" s="65" t="str">
        <f>IFERROR(IF(VLOOKUP($E79,BDD!$A$1:$S$567,MATCH(K$10,BDD!$A$1:$P$1,0),FALSE)=0,"",VLOOKUP($E79,BDD!$A$1:$S$567,MATCH(K$10,BDD!$A$1:$P$1,0),FALSE)),"")</f>
        <v>• Une réception des prestations et services externalisés est mise en place afin de s'assurer de la conformité des livrables/services au contrat. Cette réception peut inclure notamment la vérification de la bonne documentation, de la conformité des profils intervenants au contrat (niveau d'expérience, certification), l'atteinte des niveaux de performance attendus, le respect des délais.
• Les attestations de services (type SOC / ISAE 3402) font l'objet d'une revue, et les non conformités identifiées font l'objet d'une analyse d'impact et d'un suivi avec le prestataire.
• Au besoin, des audits ad-hoc sont réalisés.
• Les points périodiques incluent la surveillance des indicateurs via des tableaux de bord accessibles aux parties prenantes.
• Des comptes rendus systématiques sont effectués après chaque point de gestion des services.
• La périodicité et le niveau de suivi dépendent de la criticité des services fournis.</v>
      </c>
      <c r="L79" s="68"/>
      <c r="M79" s="90"/>
      <c r="N79" s="90"/>
      <c r="O79" s="68"/>
      <c r="P79" s="109"/>
    </row>
    <row r="80" spans="1:16" ht="196.2" customHeight="1" x14ac:dyDescent="0.3">
      <c r="A80" s="109"/>
      <c r="B80" s="68"/>
      <c r="C80" s="68" t="str">
        <f t="shared" si="3"/>
        <v>11</v>
      </c>
      <c r="D80" s="68">
        <f t="shared" si="4"/>
        <v>5</v>
      </c>
      <c r="E80" s="84" t="str">
        <f t="shared" si="2"/>
        <v>1153</v>
      </c>
      <c r="F80" s="66" t="s">
        <v>30</v>
      </c>
      <c r="G80" s="67" t="str">
        <f>IFERROR(IF(VLOOKUP($E80,BDD!$A$1:$S$567,MATCH(G$10,BDD!$A$1:$P$1,0),FALSE)=0,"",VLOOKUP($E80,BDD!$A$1:$S$567,MATCH(G$10,BDD!$A$1:$P$1,0),FALSE)),"")</f>
        <v>La gestion des incidents et des problèmes est structurée pour assurer une résolution efficace et pérenne.</v>
      </c>
      <c r="H80" s="85" t="str">
        <f>IF(VLOOKUP(E80,BDD!$A$1:$S$567,15,FALSE)=0,"Critère non évalué","")</f>
        <v>Critère non évalué</v>
      </c>
      <c r="I80" s="66" t="str">
        <f>IFERROR(IF(VLOOKUP($E80,BDD!$A$1:$S$567,MATCH(I$10,BDD!$A$1:$P$1,0),FALSE)=0,"",VLOOKUP($E80,BDD!$A$1:$S$567,MATCH(I$10,BDD!$A$1:$P$1,0),FALSE)),"")</f>
        <v>N2</v>
      </c>
      <c r="J80" s="86"/>
      <c r="K80" s="67" t="str">
        <f>IFERROR(IF(VLOOKUP($E80,BDD!$A$1:$S$567,MATCH(K$10,BDD!$A$1:$P$1,0),FALSE)=0,"",VLOOKUP($E80,BDD!$A$1:$S$567,MATCH(K$10,BDD!$A$1:$P$1,0),FALSE)),"")</f>
        <v>• Un processus est défini pour assurer la détection, la classification et la résolution des incidents.
• Ce processus intègre des jalons de communication adaptés à la criticité des incidents, assurant l’information des parties prenantes.
• Ce processus est conçu de manière à permettre le respect des exigences réglementaires associées (ex : fuite de données personnelles à déclarer dans les 72h dans le cadre du RGPD, incident majeur à notifier aux AES (Autorités Européennes de Surveillance, ACPR en France) dans les 4 heures qui suivent la classification de l'incident et sous 24 heures après sa détection dans le cadre de DORA, etc.).
• Un suivi des tendances des incidents est en place pour identifier et gérer les problèmes récurrents
• Tout événement ou écart pouvant avoir un impact sur le planning ou le montant du contrat doit faire l'objet d'une communication au niveau adapté pour permettre une prise de décision.</v>
      </c>
      <c r="L80" s="68"/>
      <c r="M80" s="87"/>
      <c r="N80" s="87"/>
      <c r="O80" s="68"/>
      <c r="P80" s="109"/>
    </row>
    <row r="81" spans="1:16" ht="130.05000000000001" customHeight="1" x14ac:dyDescent="0.3">
      <c r="A81" s="109"/>
      <c r="B81" s="68"/>
      <c r="C81" s="68" t="str">
        <f t="shared" si="3"/>
        <v>11</v>
      </c>
      <c r="D81" s="68">
        <f t="shared" si="4"/>
        <v>5</v>
      </c>
      <c r="E81" s="84" t="str">
        <f t="shared" si="2"/>
        <v>1154</v>
      </c>
      <c r="F81" s="64" t="s">
        <v>32</v>
      </c>
      <c r="G81" s="65" t="str">
        <f>IFERROR(IF(VLOOKUP($E81,BDD!$A$1:$S$567,MATCH(G$10,BDD!$A$1:$P$1,0),FALSE)=0,"",VLOOKUP($E81,BDD!$A$1:$S$567,MATCH(G$10,BDD!$A$1:$P$1,0),FALSE)),"")</f>
        <v>Une revue périodique (au moins annuelle) des contrats est effectuée avec toutes les parties prenantes (directions métiers, DSI, Direction des achats).</v>
      </c>
      <c r="H81" s="88" t="str">
        <f>IF(VLOOKUP(E81,BDD!$A$1:$S$567,15,FALSE)=0,"Critère non évalué","")</f>
        <v>Critère non évalué</v>
      </c>
      <c r="I81" s="64" t="str">
        <f>IFERROR(IF(VLOOKUP($E81,BDD!$A$1:$S$567,MATCH(I$10,BDD!$A$1:$P$1,0),FALSE)=0,"",VLOOKUP($E81,BDD!$A$1:$S$567,MATCH(I$10,BDD!$A$1:$P$1,0),FALSE)),"")</f>
        <v>N3</v>
      </c>
      <c r="J81" s="91"/>
      <c r="K81" s="65" t="str">
        <f>IFERROR(IF(VLOOKUP($E81,BDD!$A$1:$S$567,MATCH(K$10,BDD!$A$1:$P$1,0),FALSE)=0,"",VLOOKUP($E81,BDD!$A$1:$S$567,MATCH(K$10,BDD!$A$1:$P$1,0),FALSE)),"")</f>
        <v>• Le comité de pilotage de chaque contrat permet de s'assurer périodiquement de l'alignement stratégique et opérationnel des services fournis et il inclut notamment :
- Une évaluation de la qualité des prestations, partagée avec les parties prenantes.
- Une évaluation des risques associés à la prestation et au fournisseur.
- Une évaluation des besoins d'évolution du service.
- Une évaluation de la qualité des livrables.</v>
      </c>
      <c r="L81" s="68"/>
      <c r="M81" s="90"/>
      <c r="N81" s="90"/>
      <c r="O81" s="68"/>
      <c r="P81" s="109"/>
    </row>
    <row r="82" spans="1:16" ht="130.05000000000001" customHeight="1" x14ac:dyDescent="0.3">
      <c r="A82" s="109"/>
      <c r="B82" s="68"/>
      <c r="C82" s="68" t="str">
        <f t="shared" si="3"/>
        <v>11</v>
      </c>
      <c r="D82" s="68">
        <f t="shared" si="4"/>
        <v>5</v>
      </c>
      <c r="E82" s="84" t="str">
        <f t="shared" si="2"/>
        <v>1155</v>
      </c>
      <c r="F82" s="66" t="s">
        <v>33</v>
      </c>
      <c r="G82" s="67" t="str">
        <f>IFERROR(IF(VLOOKUP($E82,BDD!$A$1:$S$567,MATCH(G$10,BDD!$A$1:$P$1,0),FALSE)=0,"",VLOOKUP($E82,BDD!$A$1:$S$567,MATCH(G$10,BDD!$A$1:$P$1,0),FALSE)),"")</f>
        <v>Le dispositif prévoit un mode de prévention et de traitement des conflits potentiels.</v>
      </c>
      <c r="H82" s="85" t="str">
        <f>IF(VLOOKUP(E82,BDD!$A$1:$S$567,15,FALSE)=0,"Critère non évalué","")</f>
        <v>Critère non évalué</v>
      </c>
      <c r="I82" s="66" t="str">
        <f>IFERROR(IF(VLOOKUP($E82,BDD!$A$1:$S$567,MATCH(I$10,BDD!$A$1:$P$1,0),FALSE)=0,"",VLOOKUP($E82,BDD!$A$1:$S$567,MATCH(I$10,BDD!$A$1:$P$1,0),FALSE)),"")</f>
        <v>N4</v>
      </c>
      <c r="J82" s="86"/>
      <c r="K82" s="67" t="str">
        <f>IFERROR(IF(VLOOKUP($E82,BDD!$A$1:$S$567,MATCH(K$10,BDD!$A$1:$P$1,0),FALSE)=0,"",VLOOKUP($E82,BDD!$A$1:$S$567,MATCH(K$10,BDD!$A$1:$P$1,0),FALSE)),"")</f>
        <v>• Un processus pour le traitement des conflits est défini et connu par les parties (processus d'escalade, contacts, juridiction compétente).
• Des mesures de prévention des conflits ont été mises en place en fonction des risques identifiés. En cas d'offshoring notamment, on peut s’appuyer sur des mesures de prise en compte des différences culturelles et/ou sur un glossaire pour s'accorder sur le vocabulaire.</v>
      </c>
      <c r="L82" s="68"/>
      <c r="M82" s="82"/>
      <c r="N82" s="82"/>
      <c r="O82" s="68"/>
      <c r="P82" s="109"/>
    </row>
    <row r="83" spans="1:16" ht="130.05000000000001" customHeight="1" x14ac:dyDescent="0.3">
      <c r="A83" s="109"/>
      <c r="B83" s="68"/>
      <c r="C83" s="68" t="str">
        <f t="shared" si="3"/>
        <v>11</v>
      </c>
      <c r="D83" s="68">
        <f t="shared" si="4"/>
        <v>5</v>
      </c>
      <c r="E83" s="84" t="str">
        <f>C83&amp;D83&amp;RIGHT(F83,1)</f>
        <v>1156</v>
      </c>
      <c r="F83" s="64" t="s">
        <v>34</v>
      </c>
      <c r="G83" s="65" t="str">
        <f>IFERROR(IF(VLOOKUP($E83,BDD!$A$1:$S$567,MATCH(G$10,BDD!$A$1:$P$1,0),FALSE)=0,"",VLOOKUP($E83,BDD!$A$1:$S$567,MATCH(G$10,BDD!$A$1:$P$1,0),FALSE)),"")</f>
        <v>L’analyse de la valeur du service est effectuée (par rapport aux objectifs initiaux).</v>
      </c>
      <c r="H83" s="88" t="str">
        <f>IF(VLOOKUP(E83,BDD!$A$1:$S$567,15,FALSE)=0,"Critère non évalué","")</f>
        <v>Critère non évalué</v>
      </c>
      <c r="I83" s="64" t="str">
        <f>IFERROR(IF(VLOOKUP($E83,BDD!$A$1:$S$567,MATCH(I$10,BDD!$A$1:$P$1,0),FALSE)=0,"",VLOOKUP($E83,BDD!$A$1:$S$567,MATCH(I$10,BDD!$A$1:$P$1,0),FALSE)),"")</f>
        <v>N3</v>
      </c>
      <c r="J83" s="91"/>
      <c r="K83" s="65" t="str">
        <f>IFERROR(IF(VLOOKUP($E83,BDD!$A$1:$S$567,MATCH(K$10,BDD!$A$1:$P$1,0),FALSE)=0,"",VLOOKUP($E83,BDD!$A$1:$S$567,MATCH(K$10,BDD!$A$1:$P$1,0),FALSE)),"")</f>
        <v>• Un bilan des services externalisés est fait, l’atteinte des résultats évaluée.
• La réalisation des économies attendues est évaluée et la maîtrise des coûts analysée (comparaison avec le business case et le retour sur investissement initialement attendu).
• La décision d'étendre ou de reconduire les services externalisés est instruite et prise avec le métier.</v>
      </c>
      <c r="L83" s="68"/>
      <c r="M83" s="90"/>
      <c r="N83" s="90"/>
      <c r="O83" s="68"/>
      <c r="P83" s="109"/>
    </row>
    <row r="84" spans="1:16" ht="130.05000000000001" customHeight="1" x14ac:dyDescent="0.3">
      <c r="A84" s="109"/>
      <c r="B84" s="68"/>
      <c r="C84" s="68" t="str">
        <f t="shared" si="3"/>
        <v>11</v>
      </c>
      <c r="D84" s="68">
        <f t="shared" si="4"/>
        <v>5</v>
      </c>
      <c r="E84" s="84" t="str">
        <f>C84&amp;D84&amp;RIGHT(F84,1)</f>
        <v>1157</v>
      </c>
      <c r="F84" s="66" t="s">
        <v>36</v>
      </c>
      <c r="G84" s="67" t="str">
        <f>IFERROR(IF(VLOOKUP($E84,BDD!$A$1:$S$567,MATCH(G$10,BDD!$A$1:$P$1,0),FALSE)=0,"",VLOOKUP($E84,BDD!$A$1:$S$567,MATCH(G$10,BDD!$A$1:$P$1,0),FALSE)),"")</f>
        <v>Pour les contrats de type "as a service" où le paiement se fait à l'usage, un pilotage adapté est mis en place afin de s'assurer que l'évolution des consommations et des coûts reste maîtrisée.</v>
      </c>
      <c r="H84" s="85" t="str">
        <f>IF(VLOOKUP(E84,BDD!$A$1:$S$567,15,FALSE)=0,"Critère non évalué","")</f>
        <v>Critère non évalué</v>
      </c>
      <c r="I84" s="66" t="str">
        <f>IFERROR(IF(VLOOKUP($E84,BDD!$A$1:$S$567,MATCH(I$10,BDD!$A$1:$P$1,0),FALSE)=0,"",VLOOKUP($E84,BDD!$A$1:$S$567,MATCH(I$10,BDD!$A$1:$P$1,0),FALSE)),"")</f>
        <v>N2</v>
      </c>
      <c r="J84" s="86"/>
      <c r="K84" s="67" t="str">
        <f>IFERROR(IF(VLOOKUP($E84,BDD!$A$1:$S$567,MATCH(K$10,BDD!$A$1:$P$1,0),FALSE)=0,"",VLOOKUP($E84,BDD!$A$1:$S$567,MATCH(K$10,BDD!$A$1:$P$1,0),FALSE)),"")</f>
        <v>• Un processus d'autorisation est en place préalablement à l'activation d'un nouveau service.
• En cas d'écart significatif avec les coûts initialement prévus, une analyse causale est réalisée et des plans d'actions sont mis en place (usage du cloud plus important que prévu, hausse du coût des licences, etc.).</v>
      </c>
      <c r="L84" s="68"/>
      <c r="M84" s="82"/>
      <c r="N84" s="82"/>
      <c r="O84" s="68"/>
      <c r="P84" s="109"/>
    </row>
    <row r="85" spans="1:16" x14ac:dyDescent="0.3">
      <c r="A85" s="109"/>
      <c r="B85" s="68"/>
      <c r="C85" s="68" t="str">
        <f t="shared" si="3"/>
        <v>11</v>
      </c>
      <c r="D85" s="68"/>
      <c r="E85" s="68"/>
      <c r="F85" s="68"/>
      <c r="G85" s="68"/>
      <c r="H85" s="68"/>
      <c r="I85" s="68"/>
      <c r="J85" s="68"/>
      <c r="K85" s="68"/>
      <c r="L85" s="68"/>
      <c r="M85" s="68"/>
      <c r="N85" s="68"/>
      <c r="O85" s="68"/>
      <c r="P85" s="109"/>
    </row>
    <row r="86" spans="1:16" x14ac:dyDescent="0.3">
      <c r="A86" s="109"/>
      <c r="B86" s="68"/>
      <c r="C86" s="68" t="str">
        <f t="shared" si="3"/>
        <v>11</v>
      </c>
      <c r="D86" s="68"/>
      <c r="E86" s="68"/>
      <c r="F86" s="68"/>
      <c r="G86" s="68"/>
      <c r="H86" s="68"/>
      <c r="I86" s="68"/>
      <c r="J86" s="68"/>
      <c r="K86" s="68"/>
      <c r="L86" s="68"/>
      <c r="M86" s="68"/>
      <c r="N86" s="68"/>
      <c r="O86" s="68"/>
      <c r="P86" s="109"/>
    </row>
    <row r="87" spans="1:16" ht="30" x14ac:dyDescent="0.5">
      <c r="A87" s="229"/>
      <c r="B87" s="74"/>
      <c r="C87" s="68" t="str">
        <f t="shared" si="3"/>
        <v>11</v>
      </c>
      <c r="D87" s="68">
        <f>IF(LEFT(F87,14)="Bonne pratique",D83+1,D83)</f>
        <v>6</v>
      </c>
      <c r="E87" s="84" t="str">
        <f t="shared" ref="E87:E100" si="5">C87&amp;D87&amp;RIGHT(F87,1)</f>
        <v>1166</v>
      </c>
      <c r="F87" s="208" t="s">
        <v>556</v>
      </c>
      <c r="G87" s="75"/>
      <c r="H87" s="205"/>
      <c r="I87" s="73"/>
      <c r="J87" s="73" t="str">
        <f>VLOOKUP(E94,BDD!$A$2:$N$567,6,FALSE)</f>
        <v>Clôture et réversibilité</v>
      </c>
      <c r="K87" s="72"/>
      <c r="L87" s="75"/>
      <c r="M87" s="75"/>
      <c r="N87" s="75"/>
      <c r="O87" s="74"/>
      <c r="P87" s="229"/>
    </row>
    <row r="88" spans="1:16" x14ac:dyDescent="0.3">
      <c r="A88" s="109"/>
      <c r="B88" s="68"/>
      <c r="C88" s="68" t="str">
        <f t="shared" si="3"/>
        <v>11</v>
      </c>
      <c r="D88" s="68">
        <f t="shared" ref="D88:D100" si="6">IF(LEFT(F88,14)="Bonne pratique",D87+1,D87)</f>
        <v>6</v>
      </c>
      <c r="E88" s="84" t="str">
        <f t="shared" si="5"/>
        <v>116</v>
      </c>
      <c r="F88" s="68"/>
      <c r="G88" s="68"/>
      <c r="H88" s="68"/>
      <c r="I88" s="68"/>
      <c r="J88" s="68"/>
      <c r="K88" s="68"/>
      <c r="L88" s="68"/>
      <c r="M88" s="68"/>
      <c r="N88" s="68"/>
      <c r="O88" s="68"/>
      <c r="P88" s="109"/>
    </row>
    <row r="89" spans="1:16" ht="18" x14ac:dyDescent="0.35">
      <c r="A89" s="230"/>
      <c r="B89" s="76"/>
      <c r="C89" s="68" t="str">
        <f t="shared" si="3"/>
        <v>11</v>
      </c>
      <c r="D89" s="68">
        <f t="shared" si="6"/>
        <v>6</v>
      </c>
      <c r="E89" s="84" t="str">
        <f t="shared" si="5"/>
        <v>116</v>
      </c>
      <c r="F89" s="76"/>
      <c r="G89" s="76"/>
      <c r="H89" s="76"/>
      <c r="I89" s="77"/>
      <c r="J89" s="207" t="str">
        <f>IFERROR(_xlfn.TEXTBEFORE(VLOOKUP(E94,BDD!$A$2:$N$567,7,FALSE)," ",30),VLOOKUP(E94,BDD!$A$2:$N$567,7,FALSE))</f>
        <v>La clôture et la gestion de la réversibilité des services externalisés ont été définies en fonction des enjeux métiers.</v>
      </c>
      <c r="K89" s="77"/>
      <c r="L89" s="76"/>
      <c r="M89" s="76"/>
      <c r="N89" s="76"/>
      <c r="O89" s="76"/>
      <c r="P89" s="230"/>
    </row>
    <row r="90" spans="1:16" ht="18" x14ac:dyDescent="0.35">
      <c r="A90" s="109"/>
      <c r="B90" s="68"/>
      <c r="C90" s="68" t="str">
        <f t="shared" si="3"/>
        <v>11</v>
      </c>
      <c r="D90" s="68">
        <f t="shared" si="6"/>
        <v>6</v>
      </c>
      <c r="E90" s="84" t="str">
        <f t="shared" si="5"/>
        <v>116</v>
      </c>
      <c r="F90" s="68"/>
      <c r="G90" s="68"/>
      <c r="H90" s="68"/>
      <c r="I90" s="68"/>
      <c r="J90" s="207" t="str">
        <f>IFERROR(_xlfn.TEXTAFTER(VLOOKUP(E94,BDD!$A$2:$N$567,7,FALSE)," ",30),"")</f>
        <v/>
      </c>
      <c r="K90" s="68"/>
      <c r="L90" s="68"/>
      <c r="M90" s="68"/>
      <c r="N90" s="68"/>
      <c r="O90" s="68"/>
      <c r="P90" s="109"/>
    </row>
    <row r="91" spans="1:16" x14ac:dyDescent="0.3">
      <c r="A91" s="109"/>
      <c r="B91" s="68"/>
      <c r="C91" s="68" t="str">
        <f t="shared" si="3"/>
        <v>11</v>
      </c>
      <c r="D91" s="68">
        <f t="shared" si="6"/>
        <v>6</v>
      </c>
      <c r="E91" s="84" t="str">
        <f t="shared" si="5"/>
        <v>116</v>
      </c>
      <c r="F91" s="68"/>
      <c r="G91" s="68"/>
      <c r="H91" s="68"/>
      <c r="I91" s="68"/>
      <c r="J91" s="78"/>
      <c r="K91" s="68"/>
      <c r="L91" s="68"/>
      <c r="M91" s="619" t="s">
        <v>92</v>
      </c>
      <c r="N91" s="619"/>
      <c r="O91" s="68"/>
      <c r="P91" s="109"/>
    </row>
    <row r="92" spans="1:16" ht="33" x14ac:dyDescent="0.3">
      <c r="A92" s="109"/>
      <c r="B92" s="68"/>
      <c r="C92" s="68" t="str">
        <f t="shared" si="3"/>
        <v>11</v>
      </c>
      <c r="D92" s="68">
        <f t="shared" si="6"/>
        <v>6</v>
      </c>
      <c r="E92" s="84" t="str">
        <f t="shared" si="5"/>
        <v>116</v>
      </c>
      <c r="F92" s="93"/>
      <c r="G92" s="80" t="s">
        <v>561</v>
      </c>
      <c r="H92" s="80" t="s">
        <v>82</v>
      </c>
      <c r="I92" s="80" t="s">
        <v>83</v>
      </c>
      <c r="J92" s="80" t="s">
        <v>84</v>
      </c>
      <c r="K92" s="80" t="s">
        <v>85</v>
      </c>
      <c r="L92" s="78"/>
      <c r="M92" s="81" t="s">
        <v>86</v>
      </c>
      <c r="N92" s="82" t="s">
        <v>87</v>
      </c>
      <c r="O92" s="68"/>
      <c r="P92" s="109"/>
    </row>
    <row r="93" spans="1:16" x14ac:dyDescent="0.3">
      <c r="A93" s="109"/>
      <c r="B93" s="68"/>
      <c r="C93" s="68" t="str">
        <f t="shared" si="3"/>
        <v>11</v>
      </c>
      <c r="D93" s="68">
        <f t="shared" si="6"/>
        <v>6</v>
      </c>
      <c r="E93" s="84" t="str">
        <f t="shared" si="5"/>
        <v>116</v>
      </c>
      <c r="F93" s="68"/>
      <c r="G93" s="83"/>
      <c r="H93" s="83"/>
      <c r="I93" s="83"/>
      <c r="J93" s="68"/>
      <c r="K93" s="83"/>
      <c r="L93" s="68"/>
      <c r="M93" s="68"/>
      <c r="N93" s="68"/>
      <c r="O93" s="68"/>
      <c r="P93" s="109"/>
    </row>
    <row r="94" spans="1:16" ht="130.05000000000001" customHeight="1" x14ac:dyDescent="0.3">
      <c r="A94" s="109"/>
      <c r="B94" s="68"/>
      <c r="C94" s="68" t="str">
        <f t="shared" si="3"/>
        <v>11</v>
      </c>
      <c r="D94" s="68">
        <f t="shared" si="6"/>
        <v>6</v>
      </c>
      <c r="E94" s="84" t="str">
        <f t="shared" si="5"/>
        <v>1161</v>
      </c>
      <c r="F94" s="66" t="s">
        <v>27</v>
      </c>
      <c r="G94" s="67" t="str">
        <f>IFERROR(IF(VLOOKUP($E94,BDD!$A$1:$S$567,MATCH(G$10,BDD!$A$1:$P$1,0),FALSE)=0,"",VLOOKUP($E94,BDD!$A$1:$S$567,MATCH(G$10,BDD!$A$1:$P$1,0),FALSE)),"")</f>
        <v>La gestion de la connaissance a été organisée pour permettre l’exécution et la réversibilité.</v>
      </c>
      <c r="H94" s="85" t="str">
        <f>IF(VLOOKUP(E94,BDD!$A$1:$S$567,15,FALSE)=0,"Critère non évalué","")</f>
        <v>Critère non évalué</v>
      </c>
      <c r="I94" s="66" t="str">
        <f>IFERROR(IF(VLOOKUP($E94,BDD!$A$1:$S$567,MATCH(I$10,BDD!$A$1:$P$1,0),FALSE)=0,"",VLOOKUP($E94,BDD!$A$1:$S$567,MATCH(I$10,BDD!$A$1:$P$1,0),FALSE)),"")</f>
        <v>N2</v>
      </c>
      <c r="J94" s="86"/>
      <c r="K94" s="67" t="str">
        <f>IFERROR(IF(VLOOKUP($E94,BDD!$A$1:$S$567,MATCH(K$10,BDD!$A$1:$P$1,0),FALSE)=0,"",VLOOKUP($E94,BDD!$A$1:$S$567,MATCH(K$10,BDD!$A$1:$P$1,0),FALSE)),"")</f>
        <v xml:space="preserve">• Les connaissances relatives à la gestion des services externalisés sont capitalisées et développées pour :
- Piloter les contrats
- Auditer les prestations achetées
- Exercer la réversibilité des prestations   </v>
      </c>
      <c r="L94" s="68"/>
      <c r="M94" s="87"/>
      <c r="N94" s="87"/>
      <c r="O94" s="68"/>
      <c r="P94" s="109"/>
    </row>
    <row r="95" spans="1:16" ht="130.05000000000001" customHeight="1" x14ac:dyDescent="0.3">
      <c r="A95" s="109"/>
      <c r="B95" s="68"/>
      <c r="C95" s="68" t="str">
        <f t="shared" si="3"/>
        <v>11</v>
      </c>
      <c r="D95" s="68">
        <f t="shared" si="6"/>
        <v>6</v>
      </c>
      <c r="E95" s="84" t="str">
        <f t="shared" si="5"/>
        <v>1162</v>
      </c>
      <c r="F95" s="94" t="s">
        <v>28</v>
      </c>
      <c r="G95" s="65" t="str">
        <f>IFERROR(IF(VLOOKUP($E95,BDD!$A$1:$S$567,MATCH(G$10,BDD!$A$1:$P$1,0),FALSE)=0,"",VLOOKUP($E95,BDD!$A$1:$S$567,MATCH(G$10,BDD!$A$1:$P$1,0),FALSE)),"")</f>
        <v>Le contrat inclut une clause décrivant les modalités détaillées de clôture et de réversibilité du service.</v>
      </c>
      <c r="H95" s="88" t="str">
        <f>IF(VLOOKUP(E95,BDD!$A$1:$S$567,15,FALSE)=0,"Critère non évalué","")</f>
        <v>Critère non évalué</v>
      </c>
      <c r="I95" s="64" t="str">
        <f>IFERROR(IF(VLOOKUP($E95,BDD!$A$1:$S$567,MATCH(I$10,BDD!$A$1:$P$1,0),FALSE)=0,"",VLOOKUP($E95,BDD!$A$1:$S$567,MATCH(I$10,BDD!$A$1:$P$1,0),FALSE)),"")</f>
        <v>N1</v>
      </c>
      <c r="J95" s="89"/>
      <c r="K95" s="65" t="str">
        <f>IFERROR(IF(VLOOKUP($E95,BDD!$A$1:$S$567,MATCH(K$10,BDD!$A$1:$P$1,0),FALSE)=0,"",VLOOKUP($E95,BDD!$A$1:$S$567,MATCH(K$10,BDD!$A$1:$P$1,0),FALSE)),"")</f>
        <v>• La capacité à gérer la réversibilité des services d’un partenaire vers un autre fournisseur ou leur réinternalisation doit être vérifiée (si nécessaire par la réalisation de tests).
• La réversibilité doit être définie dans les clauses contractuelles.
• Les modalités de clôture et de réversibilité doivent intégrer :
- Les modalités de restitution des données appartenant à l'entreprise, ainsi que la garantie de leur effacement en fin de contrat.
- La description des formations nécessaires pour que l'entreprise ou le repreneur puissent exploiter les données restituées (y compris la documentation).</v>
      </c>
      <c r="L95" s="68"/>
      <c r="M95" s="90"/>
      <c r="N95" s="90"/>
      <c r="O95" s="68"/>
      <c r="P95" s="109"/>
    </row>
    <row r="96" spans="1:16" ht="130.05000000000001" customHeight="1" x14ac:dyDescent="0.3">
      <c r="A96" s="109"/>
      <c r="B96" s="68"/>
      <c r="C96" s="68" t="str">
        <f t="shared" si="3"/>
        <v>11</v>
      </c>
      <c r="D96" s="68">
        <f t="shared" si="6"/>
        <v>6</v>
      </c>
      <c r="E96" s="84" t="str">
        <f t="shared" si="5"/>
        <v>1163</v>
      </c>
      <c r="F96" s="66" t="s">
        <v>30</v>
      </c>
      <c r="G96" s="67" t="str">
        <f>IFERROR(IF(VLOOKUP($E96,BDD!$A$1:$S$567,MATCH(G$10,BDD!$A$1:$P$1,0),FALSE)=0,"",VLOOKUP($E96,BDD!$A$1:$S$567,MATCH(G$10,BDD!$A$1:$P$1,0),FALSE)),"")</f>
        <v>Lorsque les enjeux métiers le justifient, un plan de continuité d’activité (PCA) a été défini pour pallier les éventuelles défaillances lors de la phase de réversibilité.</v>
      </c>
      <c r="H96" s="85" t="str">
        <f>IF(VLOOKUP(E96,BDD!$A$1:$S$567,15,FALSE)=0,"Critère non évalué","")</f>
        <v>Critère non évalué</v>
      </c>
      <c r="I96" s="66" t="str">
        <f>IFERROR(IF(VLOOKUP($E96,BDD!$A$1:$S$567,MATCH(I$10,BDD!$A$1:$P$1,0),FALSE)=0,"",VLOOKUP($E96,BDD!$A$1:$S$567,MATCH(I$10,BDD!$A$1:$P$1,0),FALSE)),"")</f>
        <v>N3</v>
      </c>
      <c r="J96" s="86"/>
      <c r="K96" s="67" t="str">
        <f>IFERROR(IF(VLOOKUP($E96,BDD!$A$1:$S$567,MATCH(K$10,BDD!$A$1:$P$1,0),FALSE)=0,"",VLOOKUP($E96,BDD!$A$1:$S$567,MATCH(K$10,BDD!$A$1:$P$1,0),FALSE)),"")</f>
        <v>• Le PCA doit inclure les dépendances en termes de compétences, ainsi que les interdépendances de la prestation avec l'environnement SI de l'entreprise (interfaces, autres applications concernées, etc.).</v>
      </c>
      <c r="L96" s="68"/>
      <c r="M96" s="87"/>
      <c r="N96" s="87"/>
      <c r="O96" s="68"/>
      <c r="P96" s="109"/>
    </row>
    <row r="97" spans="1:16" ht="130.05000000000001" customHeight="1" x14ac:dyDescent="0.3">
      <c r="A97" s="109"/>
      <c r="B97" s="68"/>
      <c r="C97" s="68" t="str">
        <f t="shared" si="3"/>
        <v>11</v>
      </c>
      <c r="D97" s="68">
        <f t="shared" si="6"/>
        <v>6</v>
      </c>
      <c r="E97" s="84" t="str">
        <f t="shared" si="5"/>
        <v>1164</v>
      </c>
      <c r="F97" s="64" t="s">
        <v>32</v>
      </c>
      <c r="G97" s="96" t="str">
        <f>IFERROR(IF(VLOOKUP($E97,BDD!$A$1:$S$567,MATCH(G$10,BDD!$A$1:$P$1,0),FALSE)=0,"",VLOOKUP($E97,BDD!$A$1:$S$567,MATCH(G$10,BDD!$A$1:$P$1,0),FALSE)),"")</f>
        <v>Les modalités de clôture et de réversibilité sont revues régulièrement.</v>
      </c>
      <c r="H97" s="210" t="str">
        <f>IF(VLOOKUP(E97,BDD!$A$1:$S$567,15,FALSE)=0,"Critère non évalué","")</f>
        <v>Critère non évalué</v>
      </c>
      <c r="I97" s="64" t="str">
        <f>IFERROR(IF(VLOOKUP($E97,BDD!$A$1:$S$567,MATCH(I$10,BDD!$A$1:$P$1,0),FALSE)=0,"",VLOOKUP($E97,BDD!$A$1:$S$567,MATCH(I$10,BDD!$A$1:$P$1,0),FALSE)),"")</f>
        <v>N3</v>
      </c>
      <c r="J97" s="95"/>
      <c r="K97" s="96" t="str">
        <f>IFERROR(IF(VLOOKUP($E97,BDD!$A$1:$S$567,MATCH(K$10,BDD!$A$1:$P$1,0),FALSE)=0,"",VLOOKUP($E97,BDD!$A$1:$S$567,MATCH(K$10,BDD!$A$1:$P$1,0),FALSE)),"")</f>
        <v>• Les éléments permettant la réversibilité (mécanisme de récupération des données, documentation, procédures opérationnelles, etc.) doivent être mis à jour de manière régulière avec le prestataire.
• Une fois par an, la DSI vérifie que le plan de réversibilité est à jour.
• Des tests de réversibilité et des audits de réversibilité sont programmés et effectués périodiquement (périodicité définie dans le contrat).</v>
      </c>
      <c r="L97" s="68"/>
      <c r="M97" s="90"/>
      <c r="N97" s="90"/>
      <c r="O97" s="68"/>
      <c r="P97" s="109"/>
    </row>
    <row r="98" spans="1:16" ht="130.05000000000001" hidden="1" customHeight="1" x14ac:dyDescent="0.3">
      <c r="A98" s="109"/>
      <c r="B98" s="68"/>
      <c r="C98" s="68" t="str">
        <f t="shared" si="3"/>
        <v>11</v>
      </c>
      <c r="D98" s="68">
        <f t="shared" si="6"/>
        <v>6</v>
      </c>
      <c r="E98" s="84" t="str">
        <f t="shared" si="5"/>
        <v>1165</v>
      </c>
      <c r="F98" s="66" t="s">
        <v>33</v>
      </c>
      <c r="G98" s="67" t="str">
        <f>IFERROR(IF(VLOOKUP($E98,BDD!$A$1:$S$567,MATCH(G$10,BDD!$A$1:$P$1,0),FALSE)=0,"",VLOOKUP($E98,BDD!$A$1:$S$567,MATCH(G$10,BDD!$A$1:$P$1,0),FALSE)),"")</f>
        <v/>
      </c>
      <c r="H98" s="85" t="str">
        <f>IF(VLOOKUP(E98,BDD!$A$1:$S$567,15,FALSE)=0,"Critère non évalué","")</f>
        <v>Critère non évalué</v>
      </c>
      <c r="I98" s="66" t="str">
        <f>IFERROR(IF(VLOOKUP($E98,BDD!$A$1:$S$567,MATCH(I$10,BDD!$A$1:$P$1,0),FALSE)=0,"",VLOOKUP($E98,BDD!$A$1:$S$567,MATCH(I$10,BDD!$A$1:$P$1,0),FALSE)),"")</f>
        <v xml:space="preserve"> </v>
      </c>
      <c r="J98" s="86"/>
      <c r="K98" s="67" t="str">
        <f>IFERROR(IF(VLOOKUP($E98,BDD!$A$1:$S$567,MATCH(K$10,BDD!$A$1:$P$1,0),FALSE)=0,"",VLOOKUP($E98,BDD!$A$1:$S$567,MATCH(K$10,BDD!$A$1:$P$1,0),FALSE)),"")</f>
        <v/>
      </c>
      <c r="L98" s="68"/>
      <c r="M98" s="82"/>
      <c r="N98" s="82"/>
      <c r="O98" s="68"/>
      <c r="P98" s="109"/>
    </row>
    <row r="99" spans="1:16" ht="130.05000000000001" hidden="1" customHeight="1" x14ac:dyDescent="0.3">
      <c r="A99" s="109"/>
      <c r="B99" s="68"/>
      <c r="C99" s="68" t="str">
        <f t="shared" si="3"/>
        <v>11</v>
      </c>
      <c r="D99" s="68">
        <f t="shared" si="6"/>
        <v>6</v>
      </c>
      <c r="E99" s="84" t="str">
        <f t="shared" si="5"/>
        <v>1166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xml:space="preserve"> </v>
      </c>
      <c r="J99" s="91"/>
      <c r="K99" s="65" t="str">
        <f>IFERROR(IF(VLOOKUP($E99,BDD!$A$1:$S$567,MATCH(K$10,BDD!$A$1:$P$1,0),FALSE)=0,"",VLOOKUP($E99,BDD!$A$1:$S$567,MATCH(K$10,BDD!$A$1:$P$1,0),FALSE)),"")</f>
        <v/>
      </c>
      <c r="L99" s="68"/>
      <c r="M99" s="90"/>
      <c r="N99" s="90"/>
      <c r="O99" s="68"/>
      <c r="P99" s="109"/>
    </row>
    <row r="100" spans="1:16" ht="130.05000000000001" hidden="1" customHeight="1" x14ac:dyDescent="0.3">
      <c r="A100" s="109"/>
      <c r="B100" s="68"/>
      <c r="C100" s="68" t="str">
        <f t="shared" si="3"/>
        <v>11</v>
      </c>
      <c r="D100" s="68">
        <f t="shared" si="6"/>
        <v>6</v>
      </c>
      <c r="E100" s="84" t="str">
        <f t="shared" si="5"/>
        <v>1167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xml:space="preserve"> </v>
      </c>
      <c r="J100" s="86"/>
      <c r="K100" s="67" t="str">
        <f>IFERROR(IF(VLOOKUP($E100,BDD!$A$1:$S$567,MATCH(K$10,BDD!$A$1:$P$1,0),FALSE)=0,"",VLOOKUP($E100,BDD!$A$1:$S$567,MATCH(K$10,BDD!$A$1:$P$1,0),FALSE)),"")</f>
        <v/>
      </c>
      <c r="L100" s="68"/>
      <c r="M100" s="82"/>
      <c r="N100" s="82"/>
      <c r="O100" s="68"/>
      <c r="P100" s="109"/>
    </row>
    <row r="101" spans="1:16" x14ac:dyDescent="0.3">
      <c r="A101" s="109"/>
      <c r="B101" s="68"/>
      <c r="C101" s="68" t="str">
        <f t="shared" si="3"/>
        <v>11</v>
      </c>
      <c r="D101" s="68"/>
      <c r="E101" s="68"/>
      <c r="F101" s="68"/>
      <c r="G101" s="68"/>
      <c r="H101" s="68"/>
      <c r="I101" s="68"/>
      <c r="J101" s="68"/>
      <c r="K101" s="68"/>
      <c r="L101" s="68"/>
      <c r="M101" s="68"/>
      <c r="N101" s="68"/>
      <c r="O101" s="68"/>
      <c r="P101" s="109"/>
    </row>
    <row r="102" spans="1:16" x14ac:dyDescent="0.3">
      <c r="A102" s="109"/>
      <c r="B102" s="68"/>
      <c r="C102" s="68" t="str">
        <f t="shared" si="3"/>
        <v>11</v>
      </c>
      <c r="D102" s="68"/>
      <c r="E102" s="68"/>
      <c r="F102" s="68"/>
      <c r="G102" s="68"/>
      <c r="H102" s="68"/>
      <c r="I102" s="68"/>
      <c r="J102" s="68"/>
      <c r="K102" s="68"/>
      <c r="L102" s="68"/>
      <c r="M102" s="68"/>
      <c r="N102" s="68"/>
      <c r="O102" s="68"/>
      <c r="P102" s="109"/>
    </row>
    <row r="103" spans="1:16" ht="30" x14ac:dyDescent="0.5">
      <c r="A103" s="229"/>
      <c r="B103" s="74"/>
      <c r="C103" s="68" t="str">
        <f t="shared" si="3"/>
        <v>11</v>
      </c>
      <c r="D103" s="68">
        <f>IF(LEFT(F103,14)="Bonne pratique",D99+1,D99)</f>
        <v>7</v>
      </c>
      <c r="E103" s="84" t="str">
        <f t="shared" ref="E103:E116" si="7">C103&amp;D103&amp;RIGHT(F103,1)</f>
        <v>1177</v>
      </c>
      <c r="F103" s="208" t="s">
        <v>557</v>
      </c>
      <c r="G103" s="75"/>
      <c r="H103" s="205"/>
      <c r="I103" s="73"/>
      <c r="J103" s="73" t="str">
        <f>VLOOKUP(E110,BDD!$A$2:$N$567,6,FALSE)</f>
        <v>Gestion des fournisseurs de matériels et logiciels</v>
      </c>
      <c r="K103" s="72"/>
      <c r="L103" s="75"/>
      <c r="M103" s="75"/>
      <c r="N103" s="75"/>
      <c r="O103" s="74"/>
      <c r="P103" s="229"/>
    </row>
    <row r="104" spans="1:16" x14ac:dyDescent="0.3">
      <c r="A104" s="109"/>
      <c r="B104" s="68"/>
      <c r="C104" s="68" t="str">
        <f t="shared" si="3"/>
        <v>11</v>
      </c>
      <c r="D104" s="68">
        <f t="shared" ref="D104:D116" si="8">IF(LEFT(F104,14)="Bonne pratique",D103+1,D103)</f>
        <v>7</v>
      </c>
      <c r="E104" s="84" t="str">
        <f t="shared" si="7"/>
        <v>117</v>
      </c>
      <c r="F104" s="68"/>
      <c r="G104" s="68"/>
      <c r="H104" s="68"/>
      <c r="I104" s="68"/>
      <c r="J104" s="68"/>
      <c r="K104" s="68"/>
      <c r="L104" s="68"/>
      <c r="M104" s="68"/>
      <c r="N104" s="68"/>
      <c r="O104" s="68"/>
      <c r="P104" s="109"/>
    </row>
    <row r="105" spans="1:16" ht="18" x14ac:dyDescent="0.35">
      <c r="A105" s="230"/>
      <c r="B105" s="76"/>
      <c r="C105" s="68" t="str">
        <f t="shared" si="3"/>
        <v>11</v>
      </c>
      <c r="D105" s="68">
        <f t="shared" si="8"/>
        <v>7</v>
      </c>
      <c r="E105" s="84" t="str">
        <f t="shared" si="7"/>
        <v>117</v>
      </c>
      <c r="F105" s="76"/>
      <c r="G105" s="76"/>
      <c r="H105" s="76"/>
      <c r="I105" s="77"/>
      <c r="J105" s="207" t="str">
        <f>IFERROR(_xlfn.TEXTBEFORE(VLOOKUP(E110,BDD!$A$2:$N$567,7,FALSE)," ",30),VLOOKUP(E110,BDD!$A$2:$N$567,7,FALSE))</f>
        <v>La gestion des fournisseurs de matériels et de logiciels est organisée et suivie.</v>
      </c>
      <c r="K105" s="77"/>
      <c r="L105" s="76"/>
      <c r="M105" s="76"/>
      <c r="N105" s="76"/>
      <c r="O105" s="76"/>
      <c r="P105" s="230"/>
    </row>
    <row r="106" spans="1:16" ht="18" x14ac:dyDescent="0.35">
      <c r="A106" s="109"/>
      <c r="B106" s="68"/>
      <c r="C106" s="68" t="str">
        <f t="shared" si="3"/>
        <v>11</v>
      </c>
      <c r="D106" s="68">
        <f t="shared" si="8"/>
        <v>7</v>
      </c>
      <c r="E106" s="84" t="str">
        <f t="shared" si="7"/>
        <v>117</v>
      </c>
      <c r="F106" s="68"/>
      <c r="G106" s="68"/>
      <c r="H106" s="68"/>
      <c r="I106" s="68"/>
      <c r="J106" s="207" t="str">
        <f>IFERROR(_xlfn.TEXTAFTER(VLOOKUP(E110,BDD!$A$2:$N$567,7,FALSE)," ",30),"")</f>
        <v/>
      </c>
      <c r="K106" s="68"/>
      <c r="L106" s="68"/>
      <c r="M106" s="68"/>
      <c r="N106" s="68"/>
      <c r="O106" s="68"/>
      <c r="P106" s="109"/>
    </row>
    <row r="107" spans="1:16" x14ac:dyDescent="0.3">
      <c r="A107" s="109"/>
      <c r="B107" s="68"/>
      <c r="C107" s="68" t="str">
        <f t="shared" si="3"/>
        <v>11</v>
      </c>
      <c r="D107" s="68">
        <f t="shared" si="8"/>
        <v>7</v>
      </c>
      <c r="E107" s="84" t="str">
        <f t="shared" si="7"/>
        <v>117</v>
      </c>
      <c r="F107" s="68"/>
      <c r="G107" s="68"/>
      <c r="H107" s="68"/>
      <c r="I107" s="68"/>
      <c r="J107" s="78"/>
      <c r="K107" s="68"/>
      <c r="L107" s="68"/>
      <c r="M107" s="619" t="s">
        <v>92</v>
      </c>
      <c r="N107" s="619"/>
      <c r="O107" s="68"/>
      <c r="P107" s="109"/>
    </row>
    <row r="108" spans="1:16" ht="33" x14ac:dyDescent="0.3">
      <c r="A108" s="109"/>
      <c r="B108" s="68"/>
      <c r="C108" s="68" t="str">
        <f t="shared" si="3"/>
        <v>11</v>
      </c>
      <c r="D108" s="68">
        <f t="shared" si="8"/>
        <v>7</v>
      </c>
      <c r="E108" s="84" t="str">
        <f t="shared" si="7"/>
        <v>117</v>
      </c>
      <c r="F108" s="93"/>
      <c r="G108" s="80" t="s">
        <v>561</v>
      </c>
      <c r="H108" s="80" t="s">
        <v>82</v>
      </c>
      <c r="I108" s="80" t="s">
        <v>83</v>
      </c>
      <c r="J108" s="80" t="s">
        <v>84</v>
      </c>
      <c r="K108" s="80" t="s">
        <v>85</v>
      </c>
      <c r="L108" s="78"/>
      <c r="M108" s="81" t="s">
        <v>86</v>
      </c>
      <c r="N108" s="82" t="s">
        <v>87</v>
      </c>
      <c r="O108" s="68"/>
      <c r="P108" s="109"/>
    </row>
    <row r="109" spans="1:16" x14ac:dyDescent="0.3">
      <c r="A109" s="109"/>
      <c r="B109" s="68"/>
      <c r="C109" s="68" t="str">
        <f t="shared" si="3"/>
        <v>11</v>
      </c>
      <c r="D109" s="68">
        <f t="shared" si="8"/>
        <v>7</v>
      </c>
      <c r="E109" s="84" t="str">
        <f t="shared" si="7"/>
        <v>117</v>
      </c>
      <c r="F109" s="68"/>
      <c r="G109" s="83"/>
      <c r="H109" s="83"/>
      <c r="I109" s="83"/>
      <c r="J109" s="68"/>
      <c r="K109" s="83"/>
      <c r="L109" s="68"/>
      <c r="M109" s="68"/>
      <c r="N109" s="68"/>
      <c r="O109" s="68"/>
      <c r="P109" s="109"/>
    </row>
    <row r="110" spans="1:16" ht="130.05000000000001" customHeight="1" x14ac:dyDescent="0.3">
      <c r="A110" s="109"/>
      <c r="B110" s="68"/>
      <c r="C110" s="68" t="str">
        <f t="shared" si="3"/>
        <v>11</v>
      </c>
      <c r="D110" s="68">
        <f t="shared" si="8"/>
        <v>7</v>
      </c>
      <c r="E110" s="84" t="str">
        <f t="shared" si="7"/>
        <v>1171</v>
      </c>
      <c r="F110" s="66" t="s">
        <v>27</v>
      </c>
      <c r="G110" s="67" t="str">
        <f>IFERROR(IF(VLOOKUP($E110,BDD!$A$1:$S$567,MATCH(G$10,BDD!$A$1:$P$1,0),FALSE)=0,"",VLOOKUP($E110,BDD!$A$1:$S$567,MATCH(G$10,BDD!$A$1:$P$1,0),FALSE)),"")</f>
        <v>La direction des achats et la direction juridique sont associées aux moments clés de l’acquisition (achat ou location) de matériels et logiciels.</v>
      </c>
      <c r="H110" s="85" t="str">
        <f>IF(VLOOKUP(E110,BDD!$A$1:$S$567,15,FALSE)=0,"Critère non évalué","")</f>
        <v>Critère non évalué</v>
      </c>
      <c r="I110" s="66" t="str">
        <f>IFERROR(IF(VLOOKUP($E110,BDD!$A$1:$S$567,MATCH(I$10,BDD!$A$1:$P$1,0),FALSE)=0,"",VLOOKUP($E110,BDD!$A$1:$S$567,MATCH(I$10,BDD!$A$1:$P$1,0),FALSE)),"")</f>
        <v>N1</v>
      </c>
      <c r="J110" s="86"/>
      <c r="K110" s="67" t="str">
        <f>IFERROR(IF(VLOOKUP($E110,BDD!$A$1:$S$567,MATCH(K$10,BDD!$A$1:$P$1,0),FALSE)=0,"",VLOOKUP($E110,BDD!$A$1:$S$567,MATCH(K$10,BDD!$A$1:$P$1,0),FALSE)),"")</f>
        <v>• Elles sont associées lors des différentes étapes, notamment : choix d'un fournisseur, contractualisation, revue avec le fournisseur, clôture du contrat, etc.</v>
      </c>
      <c r="L110" s="68"/>
      <c r="M110" s="87"/>
      <c r="N110" s="87"/>
      <c r="O110" s="68"/>
      <c r="P110" s="109"/>
    </row>
    <row r="111" spans="1:16" ht="130.05000000000001" customHeight="1" x14ac:dyDescent="0.3">
      <c r="A111" s="109"/>
      <c r="B111" s="68"/>
      <c r="C111" s="68" t="str">
        <f t="shared" si="3"/>
        <v>11</v>
      </c>
      <c r="D111" s="68">
        <f t="shared" si="8"/>
        <v>7</v>
      </c>
      <c r="E111" s="84" t="str">
        <f t="shared" si="7"/>
        <v>1172</v>
      </c>
      <c r="F111" s="94" t="s">
        <v>28</v>
      </c>
      <c r="G111" s="65" t="str">
        <f>IFERROR(IF(VLOOKUP($E111,BDD!$A$1:$S$567,MATCH(G$10,BDD!$A$1:$P$1,0),FALSE)=0,"",VLOOKUP($E111,BDD!$A$1:$S$567,MATCH(G$10,BDD!$A$1:$P$1,0),FALSE)),"")</f>
        <v>Dans le cadre des projets, les choix des fournisseurs de matériels et logiciels suivent les recommandations en matière d'urbanisme, d'architecture technique de l'organisation et de RSE.</v>
      </c>
      <c r="H111" s="88" t="str">
        <f>IF(VLOOKUP(E111,BDD!$A$1:$S$567,15,FALSE)=0,"Critère non évalué","")</f>
        <v>Critère non évalué</v>
      </c>
      <c r="I111" s="64" t="str">
        <f>IFERROR(IF(VLOOKUP($E111,BDD!$A$1:$S$567,MATCH(I$10,BDD!$A$1:$P$1,0),FALSE)=0,"",VLOOKUP($E111,BDD!$A$1:$S$567,MATCH(I$10,BDD!$A$1:$P$1,0),FALSE)),"")</f>
        <v>N3</v>
      </c>
      <c r="J111" s="89"/>
      <c r="K111" s="65" t="str">
        <f>IFERROR(IF(VLOOKUP($E111,BDD!$A$1:$S$567,MATCH(K$10,BDD!$A$1:$P$1,0),FALSE)=0,"",VLOOKUP($E111,BDD!$A$1:$S$567,MATCH(K$10,BDD!$A$1:$P$1,0),FALSE)),"")</f>
        <v>• Dans le cadre d’achat de matériels et de logiciels, des points de validation technique doivent être mis en œuvre afin de s’assurer de leur cohérence avec l’existant.</v>
      </c>
      <c r="L111" s="68"/>
      <c r="M111" s="90"/>
      <c r="N111" s="90"/>
      <c r="O111" s="68"/>
      <c r="P111" s="109"/>
    </row>
    <row r="112" spans="1:16" ht="130.05000000000001" customHeight="1" x14ac:dyDescent="0.3">
      <c r="A112" s="109"/>
      <c r="B112" s="68"/>
      <c r="C112" s="68" t="str">
        <f t="shared" si="3"/>
        <v>11</v>
      </c>
      <c r="D112" s="68">
        <f t="shared" si="8"/>
        <v>7</v>
      </c>
      <c r="E112" s="84" t="str">
        <f t="shared" si="7"/>
        <v>1173</v>
      </c>
      <c r="F112" s="66" t="s">
        <v>30</v>
      </c>
      <c r="G112" s="67" t="str">
        <f>IFERROR(IF(VLOOKUP($E112,BDD!$A$1:$S$567,MATCH(G$10,BDD!$A$1:$P$1,0),FALSE)=0,"",VLOOKUP($E112,BDD!$A$1:$S$567,MATCH(G$10,BDD!$A$1:$P$1,0),FALSE)),"")</f>
        <v>Il existe une gestion du parc matériel.</v>
      </c>
      <c r="H112" s="85" t="str">
        <f>IF(VLOOKUP(E112,BDD!$A$1:$S$567,15,FALSE)=0,"Critère non évalué","")</f>
        <v>Critère non évalué</v>
      </c>
      <c r="I112" s="66" t="str">
        <f>IFERROR(IF(VLOOKUP($E112,BDD!$A$1:$S$567,MATCH(I$10,BDD!$A$1:$P$1,0),FALSE)=0,"",VLOOKUP($E112,BDD!$A$1:$S$567,MATCH(I$10,BDD!$A$1:$P$1,0),FALSE)),"")</f>
        <v>N1</v>
      </c>
      <c r="J112" s="86"/>
      <c r="K112" s="67" t="str">
        <f>IFERROR(IF(VLOOKUP($E112,BDD!$A$1:$S$567,MATCH(K$10,BDD!$A$1:$P$1,0),FALSE)=0,"",VLOOKUP($E112,BDD!$A$1:$S$567,MATCH(K$10,BDD!$A$1:$P$1,0),FALSE)),"")</f>
        <v>• A minima :
- Une gestion des configurations est régulièrement mise à jour.
- Un inventaire de parc est réalisé une fois par an minimum.
- La maintenance matérielle est optimisée.
- Les sorties du parc matériel sont tracées.</v>
      </c>
      <c r="L112" s="68"/>
      <c r="M112" s="87"/>
      <c r="N112" s="87"/>
      <c r="O112" s="68"/>
      <c r="P112" s="109"/>
    </row>
    <row r="113" spans="1:16" ht="145.19999999999999" customHeight="1" x14ac:dyDescent="0.3">
      <c r="A113" s="109"/>
      <c r="B113" s="68"/>
      <c r="C113" s="68" t="str">
        <f t="shared" si="3"/>
        <v>11</v>
      </c>
      <c r="D113" s="68">
        <f t="shared" si="8"/>
        <v>7</v>
      </c>
      <c r="E113" s="84" t="str">
        <f t="shared" si="7"/>
        <v>1174</v>
      </c>
      <c r="F113" s="64" t="s">
        <v>32</v>
      </c>
      <c r="G113" s="65" t="str">
        <f>IFERROR(IF(VLOOKUP($E113,BDD!$A$1:$S$567,MATCH(G$10,BDD!$A$1:$P$1,0),FALSE)=0,"",VLOOKUP($E113,BDD!$A$1:$S$567,MATCH(G$10,BDD!$A$1:$P$1,0),FALSE)),"")</f>
        <v>Il existe une gestion des actifs logiciels.</v>
      </c>
      <c r="H113" s="88" t="str">
        <f>IF(VLOOKUP(E113,BDD!$A$1:$S$567,15,FALSE)=0,"Critère non évalué","")</f>
        <v>Critère non évalué</v>
      </c>
      <c r="I113" s="64" t="str">
        <f>IFERROR(IF(VLOOKUP($E113,BDD!$A$1:$S$567,MATCH(I$10,BDD!$A$1:$P$1,0),FALSE)=0,"",VLOOKUP($E113,BDD!$A$1:$S$567,MATCH(I$10,BDD!$A$1:$P$1,0),FALSE)),"")</f>
        <v>N1</v>
      </c>
      <c r="J113" s="91"/>
      <c r="K113" s="65" t="str">
        <f>IFERROR(IF(VLOOKUP($E113,BDD!$A$1:$S$567,MATCH(K$10,BDD!$A$1:$P$1,0),FALSE)=0,"",VLOOKUP($E113,BDD!$A$1:$S$567,MATCH(K$10,BDD!$A$1:$P$1,0),FALSE)),"")</f>
        <v>• Des ressources sont allouées à cette fonction (Software Asset Management) et a minima : 
- Il existe un inventaire du parc logiciel à jour et optimisé afin de veiller à ce que le nombre de licences acquises corresponde à l'utilisation (les écarts sont régularisés et la maintenance logicielle est optimisée).
- Les licences sont gérées afin de limiter le risque juridique et financier en cas de contrôle par l'éditeur.
- Des exercices d'audit de licences sont au besoin réalisés afin de s'assurer de la conformité avec le contrat éditeur ou pour préparer un audit par un éditeur.
- Cf « Software Asset and Cloud Management », Cigref, 2018.</v>
      </c>
      <c r="L113" s="68"/>
      <c r="M113" s="90"/>
      <c r="N113" s="90"/>
      <c r="O113" s="68"/>
      <c r="P113" s="109"/>
    </row>
    <row r="114" spans="1:16" ht="130.05000000000001" customHeight="1" x14ac:dyDescent="0.3">
      <c r="A114" s="109"/>
      <c r="B114" s="68"/>
      <c r="C114" s="68" t="str">
        <f t="shared" si="3"/>
        <v>11</v>
      </c>
      <c r="D114" s="68">
        <f t="shared" si="8"/>
        <v>7</v>
      </c>
      <c r="E114" s="84" t="str">
        <f t="shared" si="7"/>
        <v>1175</v>
      </c>
      <c r="F114" s="66" t="s">
        <v>33</v>
      </c>
      <c r="G114" s="67" t="str">
        <f>IFERROR(IF(VLOOKUP($E114,BDD!$A$1:$S$567,MATCH(G$10,BDD!$A$1:$P$1,0),FALSE)=0,"",VLOOKUP($E114,BDD!$A$1:$S$567,MATCH(G$10,BDD!$A$1:$P$1,0),FALSE)),"")</f>
        <v>La gestion des versions (versioning) et l'anticipation de l’obsolescence des matériels et logiciels sont organisées.</v>
      </c>
      <c r="H114" s="85" t="str">
        <f>IF(VLOOKUP(E114,BDD!$A$1:$S$567,15,FALSE)=0,"Critère non évalué","")</f>
        <v>Critère non évalué</v>
      </c>
      <c r="I114" s="66" t="str">
        <f>IFERROR(IF(VLOOKUP($E114,BDD!$A$1:$S$567,MATCH(I$10,BDD!$A$1:$P$1,0),FALSE)=0,"",VLOOKUP($E114,BDD!$A$1:$S$567,MATCH(I$10,BDD!$A$1:$P$1,0),FALSE)),"")</f>
        <v>N2</v>
      </c>
      <c r="J114" s="86"/>
      <c r="K114" s="67" t="str">
        <f>IFERROR(IF(VLOOKUP($E114,BDD!$A$1:$S$567,MATCH(K$10,BDD!$A$1:$P$1,0),FALSE)=0,"",VLOOKUP($E114,BDD!$A$1:$S$567,MATCH(K$10,BDD!$A$1:$P$1,0),FALSE)),"")</f>
        <v>• Un processus de veille est en place afin d'identifier les actifs informatiques obsolètes et le plan d'action associé (montée de version / remplacement).
• Un processus de montée de version existe et les fournisseurs sont associés lorsque l'opération est jugée critique.</v>
      </c>
      <c r="L114" s="68"/>
      <c r="M114" s="82"/>
      <c r="N114" s="82"/>
      <c r="O114" s="68"/>
      <c r="P114" s="109"/>
    </row>
    <row r="115" spans="1:16" ht="130.05000000000001" hidden="1" customHeight="1" x14ac:dyDescent="0.3">
      <c r="A115" s="109"/>
      <c r="B115" s="68"/>
      <c r="C115" s="68" t="str">
        <f t="shared" si="3"/>
        <v>11</v>
      </c>
      <c r="D115" s="68">
        <f t="shared" si="8"/>
        <v>7</v>
      </c>
      <c r="E115" s="84" t="str">
        <f t="shared" si="7"/>
        <v>1176</v>
      </c>
      <c r="F115" s="64" t="s">
        <v>34</v>
      </c>
      <c r="G115" s="65" t="str">
        <f>IFERROR(IF(VLOOKUP($E115,BDD!$A$1:$S$567,MATCH(G$10,BDD!$A$1:$P$1,0),FALSE)=0,"",VLOOKUP($E115,BDD!$A$1:$S$567,MATCH(G$10,BDD!$A$1:$P$1,0),FALSE)),"")</f>
        <v/>
      </c>
      <c r="H115" s="88" t="str">
        <f>IF(VLOOKUP(E115,BDD!$A$1:$S$567,15,FALSE)=0,"Critère non évalué","")</f>
        <v>Critère non évalué</v>
      </c>
      <c r="I115" s="64" t="str">
        <f>IFERROR(IF(VLOOKUP($E115,BDD!$A$1:$S$567,MATCH(I$10,BDD!$A$1:$P$1,0),FALSE)=0,"",VLOOKUP($E115,BDD!$A$1:$S$567,MATCH(I$10,BDD!$A$1:$P$1,0),FALSE)),"")</f>
        <v xml:space="preserve"> </v>
      </c>
      <c r="J115" s="91"/>
      <c r="K115" s="65" t="str">
        <f>IFERROR(IF(VLOOKUP($E115,BDD!$A$1:$S$567,MATCH(K$10,BDD!$A$1:$P$1,0),FALSE)=0,"",VLOOKUP($E115,BDD!$A$1:$S$567,MATCH(K$10,BDD!$A$1:$P$1,0),FALSE)),"")</f>
        <v/>
      </c>
      <c r="L115" s="68"/>
      <c r="M115" s="90"/>
      <c r="N115" s="90"/>
      <c r="O115" s="68"/>
      <c r="P115" s="109"/>
    </row>
    <row r="116" spans="1:16" ht="130.05000000000001" hidden="1" customHeight="1" x14ac:dyDescent="0.3">
      <c r="A116" s="109"/>
      <c r="B116" s="68"/>
      <c r="C116" s="68" t="str">
        <f t="shared" ref="C116" si="9">RIGHT($B$1,1)</f>
        <v>1</v>
      </c>
      <c r="D116" s="68">
        <f t="shared" si="8"/>
        <v>7</v>
      </c>
      <c r="E116" s="84" t="str">
        <f t="shared" si="7"/>
        <v>177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109"/>
    </row>
    <row r="117" spans="1:16" x14ac:dyDescent="0.3">
      <c r="A117" s="109"/>
      <c r="B117" s="68"/>
      <c r="C117" s="68"/>
      <c r="D117" s="68"/>
      <c r="E117" s="68"/>
      <c r="F117" s="68"/>
      <c r="G117" s="68"/>
      <c r="H117" s="68"/>
      <c r="I117" s="68"/>
      <c r="J117" s="68"/>
      <c r="K117" s="68"/>
      <c r="L117" s="68"/>
      <c r="M117" s="68"/>
      <c r="N117" s="68"/>
      <c r="O117" s="68"/>
      <c r="P117" s="109"/>
    </row>
    <row r="118" spans="1:16" x14ac:dyDescent="0.3">
      <c r="A118" s="109" t="s">
        <v>164</v>
      </c>
      <c r="B118" s="109"/>
      <c r="C118" s="109"/>
      <c r="D118" s="109"/>
      <c r="E118" s="109"/>
      <c r="F118" s="109"/>
      <c r="G118" s="109"/>
      <c r="H118" s="109"/>
      <c r="I118" s="109"/>
      <c r="J118" s="109"/>
      <c r="K118" s="109"/>
      <c r="L118" s="109"/>
      <c r="M118" s="109"/>
      <c r="N118" s="109"/>
      <c r="O118" s="109"/>
      <c r="P118" s="109" t="s">
        <v>164</v>
      </c>
    </row>
  </sheetData>
  <sheetProtection algorithmName="SHA-512" hashValue="XYfVXYielGC3OBMRnW+n29PQDO92KLQViIRT3OXz1ndCW8PCmIQhex90/HhCiV0rx3Pw9xEgejfbOXmiVBRcQA==" saltValue="4TL0x6keokDWioIM9/lkiA=="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2F4AA255-28FB-4294-A69D-4F11CF5B091D}"/>
    <hyperlink ref="F29" location="V2Quest!A1" display="(Cf. Vecteur 2 - Innovation)" xr:uid="{048C3700-22CD-433B-8319-8967734775D7}"/>
    <hyperlink ref="F45" location="V2Quest!A1" display="(Cf. Vecteur 2 - Innovation)" xr:uid="{841DC3DE-7DB4-4375-A4F5-0F0F8B34FEC9}"/>
    <hyperlink ref="F61" location="V2Quest!A1" display="(Cf. Vecteur 2 - Innovation)" xr:uid="{690534EB-A35B-465B-9034-083702FF4E26}"/>
    <hyperlink ref="F79" location="V2Quest!A1" display="(Cf. Vecteur 2 - Innovation)" xr:uid="{FABD4443-AA4B-46BD-B002-DDE677807FBD}"/>
    <hyperlink ref="F95" location="V2Quest!A1" display="(Cf. Vecteur 2 - Innovation)" xr:uid="{9F15EB97-8182-40BA-8FA7-391A3937056F}"/>
    <hyperlink ref="F111" location="V2Quest!A1" display="(Cf. Vecteur 2 - Innovation)" xr:uid="{394CA69A-98B8-4F97-AD2F-11F7B0BFEBF8}"/>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9745"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159746"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159747" r:id="rId5" name="Option Button 3">
              <controlPr defaultSize="0" autoFill="0" autoLine="0" autoPict="0">
                <anchor moveWithCells="1">
                  <from>
                    <xdr:col>7</xdr:col>
                    <xdr:colOff>114300</xdr:colOff>
                    <xdr:row>12</xdr:row>
                    <xdr:rowOff>640080</xdr:rowOff>
                  </from>
                  <to>
                    <xdr:col>7</xdr:col>
                    <xdr:colOff>1950720</xdr:colOff>
                    <xdr:row>12</xdr:row>
                    <xdr:rowOff>830580</xdr:rowOff>
                  </to>
                </anchor>
              </controlPr>
            </control>
          </mc:Choice>
        </mc:AlternateContent>
        <mc:AlternateContent xmlns:mc="http://schemas.openxmlformats.org/markup-compatibility/2006">
          <mc:Choice Requires="x14">
            <control shapeId="159748"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159749"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9751" r:id="rId8"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9752" r:id="rId9"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159753" r:id="rId10" name="Option Button 9">
              <controlPr defaultSize="0" autoFill="0" autoLine="0" autoPict="0">
                <anchor moveWithCells="1">
                  <from>
                    <xdr:col>7</xdr:col>
                    <xdr:colOff>106680</xdr:colOff>
                    <xdr:row>11</xdr:row>
                    <xdr:rowOff>304800</xdr:rowOff>
                  </from>
                  <to>
                    <xdr:col>7</xdr:col>
                    <xdr:colOff>1958340</xdr:colOff>
                    <xdr:row>11</xdr:row>
                    <xdr:rowOff>502920</xdr:rowOff>
                  </to>
                </anchor>
              </controlPr>
            </control>
          </mc:Choice>
        </mc:AlternateContent>
        <mc:AlternateContent xmlns:mc="http://schemas.openxmlformats.org/markup-compatibility/2006">
          <mc:Choice Requires="x14">
            <control shapeId="159754" r:id="rId11"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159755" r:id="rId12"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159781" r:id="rId13"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59782" r:id="rId14"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59783" r:id="rId15"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59784" r:id="rId16"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59785" r:id="rId17"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9792" r:id="rId18"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159793" r:id="rId19"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159794" r:id="rId20"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159795" r:id="rId21"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159796" r:id="rId22"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59797" r:id="rId23" name="Option Button 53">
              <controlPr defaultSize="0" autoFill="0" autoLine="0" autoPict="0">
                <anchor moveWithCells="1">
                  <from>
                    <xdr:col>7</xdr:col>
                    <xdr:colOff>114300</xdr:colOff>
                    <xdr:row>31</xdr:row>
                    <xdr:rowOff>144780</xdr:rowOff>
                  </from>
                  <to>
                    <xdr:col>7</xdr:col>
                    <xdr:colOff>1950720</xdr:colOff>
                    <xdr:row>31</xdr:row>
                    <xdr:rowOff>320040</xdr:rowOff>
                  </to>
                </anchor>
              </controlPr>
            </control>
          </mc:Choice>
        </mc:AlternateContent>
        <mc:AlternateContent xmlns:mc="http://schemas.openxmlformats.org/markup-compatibility/2006">
          <mc:Choice Requires="x14">
            <control shapeId="159798" r:id="rId24" name="Option Button 54">
              <controlPr defaultSize="0" autoFill="0" autoLine="0" autoPict="0">
                <anchor moveWithCells="1">
                  <from>
                    <xdr:col>7</xdr:col>
                    <xdr:colOff>114300</xdr:colOff>
                    <xdr:row>31</xdr:row>
                    <xdr:rowOff>396240</xdr:rowOff>
                  </from>
                  <to>
                    <xdr:col>7</xdr:col>
                    <xdr:colOff>1950720</xdr:colOff>
                    <xdr:row>31</xdr:row>
                    <xdr:rowOff>586740</xdr:rowOff>
                  </to>
                </anchor>
              </controlPr>
            </control>
          </mc:Choice>
        </mc:AlternateContent>
        <mc:AlternateContent xmlns:mc="http://schemas.openxmlformats.org/markup-compatibility/2006">
          <mc:Choice Requires="x14">
            <control shapeId="159799" r:id="rId25" name="Option Button 55">
              <controlPr defaultSize="0" autoFill="0" autoLine="0" autoPict="0">
                <anchor moveWithCells="1">
                  <from>
                    <xdr:col>7</xdr:col>
                    <xdr:colOff>114300</xdr:colOff>
                    <xdr:row>31</xdr:row>
                    <xdr:rowOff>640080</xdr:rowOff>
                  </from>
                  <to>
                    <xdr:col>7</xdr:col>
                    <xdr:colOff>1950720</xdr:colOff>
                    <xdr:row>31</xdr:row>
                    <xdr:rowOff>830580</xdr:rowOff>
                  </to>
                </anchor>
              </controlPr>
            </control>
          </mc:Choice>
        </mc:AlternateContent>
        <mc:AlternateContent xmlns:mc="http://schemas.openxmlformats.org/markup-compatibility/2006">
          <mc:Choice Requires="x14">
            <control shapeId="159800" r:id="rId26" name="Option Button 56">
              <controlPr defaultSize="0" autoFill="0" autoLine="0" autoPict="0">
                <anchor moveWithCells="1">
                  <from>
                    <xdr:col>7</xdr:col>
                    <xdr:colOff>114300</xdr:colOff>
                    <xdr:row>31</xdr:row>
                    <xdr:rowOff>922020</xdr:rowOff>
                  </from>
                  <to>
                    <xdr:col>7</xdr:col>
                    <xdr:colOff>1950720</xdr:colOff>
                    <xdr:row>31</xdr:row>
                    <xdr:rowOff>1112520</xdr:rowOff>
                  </to>
                </anchor>
              </controlPr>
            </control>
          </mc:Choice>
        </mc:AlternateContent>
        <mc:AlternateContent xmlns:mc="http://schemas.openxmlformats.org/markup-compatibility/2006">
          <mc:Choice Requires="x14">
            <control shapeId="159801" r:id="rId27"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59802" r:id="rId28"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159803" r:id="rId29" name="Option Button 59">
              <controlPr defaultSize="0" autoFill="0" autoLine="0" autoPict="0">
                <anchor moveWithCells="1">
                  <from>
                    <xdr:col>7</xdr:col>
                    <xdr:colOff>106680</xdr:colOff>
                    <xdr:row>30</xdr:row>
                    <xdr:rowOff>304800</xdr:rowOff>
                  </from>
                  <to>
                    <xdr:col>8</xdr:col>
                    <xdr:colOff>0</xdr:colOff>
                    <xdr:row>30</xdr:row>
                    <xdr:rowOff>502920</xdr:rowOff>
                  </to>
                </anchor>
              </controlPr>
            </control>
          </mc:Choice>
        </mc:AlternateContent>
        <mc:AlternateContent xmlns:mc="http://schemas.openxmlformats.org/markup-compatibility/2006">
          <mc:Choice Requires="x14">
            <control shapeId="159804" r:id="rId30" name="Option Button 60">
              <controlPr defaultSize="0" autoFill="0" autoLine="0" autoPict="0">
                <anchor moveWithCells="1">
                  <from>
                    <xdr:col>7</xdr:col>
                    <xdr:colOff>106680</xdr:colOff>
                    <xdr:row>30</xdr:row>
                    <xdr:rowOff>579120</xdr:rowOff>
                  </from>
                  <to>
                    <xdr:col>8</xdr:col>
                    <xdr:colOff>0</xdr:colOff>
                    <xdr:row>30</xdr:row>
                    <xdr:rowOff>754380</xdr:rowOff>
                  </to>
                </anchor>
              </controlPr>
            </control>
          </mc:Choice>
        </mc:AlternateContent>
        <mc:AlternateContent xmlns:mc="http://schemas.openxmlformats.org/markup-compatibility/2006">
          <mc:Choice Requires="x14">
            <control shapeId="159805" r:id="rId31" name="Option Button 61">
              <controlPr defaultSize="0" autoFill="0" autoLine="0" autoPict="0">
                <anchor moveWithCells="1">
                  <from>
                    <xdr:col>7</xdr:col>
                    <xdr:colOff>106680</xdr:colOff>
                    <xdr:row>30</xdr:row>
                    <xdr:rowOff>822960</xdr:rowOff>
                  </from>
                  <to>
                    <xdr:col>7</xdr:col>
                    <xdr:colOff>937260</xdr:colOff>
                    <xdr:row>30</xdr:row>
                    <xdr:rowOff>1005840</xdr:rowOff>
                  </to>
                </anchor>
              </controlPr>
            </control>
          </mc:Choice>
        </mc:AlternateContent>
        <mc:AlternateContent xmlns:mc="http://schemas.openxmlformats.org/markup-compatibility/2006">
          <mc:Choice Requires="x14">
            <control shapeId="159806" r:id="rId32" name="Group Box 62">
              <controlPr defaultSize="0" autoFill="0" autoPict="0">
                <anchor moveWithCells="1">
                  <from>
                    <xdr:col>7</xdr:col>
                    <xdr:colOff>0</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59807" r:id="rId33"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59808" r:id="rId34"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59809" r:id="rId35"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59810" r:id="rId36"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59811" r:id="rId37"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9812" r:id="rId38"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159813" r:id="rId39"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59814" r:id="rId40"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159815" r:id="rId41"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59816" r:id="rId42"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59817" r:id="rId43" name="Option Button 73">
              <controlPr defaultSize="0" autoFill="0" autoLine="0" autoPict="0">
                <anchor moveWithCells="1">
                  <from>
                    <xdr:col>7</xdr:col>
                    <xdr:colOff>114300</xdr:colOff>
                    <xdr:row>44</xdr:row>
                    <xdr:rowOff>144780</xdr:rowOff>
                  </from>
                  <to>
                    <xdr:col>7</xdr:col>
                    <xdr:colOff>1950720</xdr:colOff>
                    <xdr:row>44</xdr:row>
                    <xdr:rowOff>320040</xdr:rowOff>
                  </to>
                </anchor>
              </controlPr>
            </control>
          </mc:Choice>
        </mc:AlternateContent>
        <mc:AlternateContent xmlns:mc="http://schemas.openxmlformats.org/markup-compatibility/2006">
          <mc:Choice Requires="x14">
            <control shapeId="159818" r:id="rId44" name="Option Button 74">
              <controlPr defaultSize="0" autoFill="0" autoLine="0" autoPict="0">
                <anchor moveWithCells="1">
                  <from>
                    <xdr:col>7</xdr:col>
                    <xdr:colOff>114300</xdr:colOff>
                    <xdr:row>44</xdr:row>
                    <xdr:rowOff>396240</xdr:rowOff>
                  </from>
                  <to>
                    <xdr:col>7</xdr:col>
                    <xdr:colOff>1950720</xdr:colOff>
                    <xdr:row>44</xdr:row>
                    <xdr:rowOff>586740</xdr:rowOff>
                  </to>
                </anchor>
              </controlPr>
            </control>
          </mc:Choice>
        </mc:AlternateContent>
        <mc:AlternateContent xmlns:mc="http://schemas.openxmlformats.org/markup-compatibility/2006">
          <mc:Choice Requires="x14">
            <control shapeId="159819" r:id="rId45" name="Option Button 75">
              <controlPr defaultSize="0" autoFill="0" autoLine="0" autoPict="0">
                <anchor moveWithCells="1">
                  <from>
                    <xdr:col>7</xdr:col>
                    <xdr:colOff>114300</xdr:colOff>
                    <xdr:row>44</xdr:row>
                    <xdr:rowOff>640080</xdr:rowOff>
                  </from>
                  <to>
                    <xdr:col>7</xdr:col>
                    <xdr:colOff>1950720</xdr:colOff>
                    <xdr:row>44</xdr:row>
                    <xdr:rowOff>830580</xdr:rowOff>
                  </to>
                </anchor>
              </controlPr>
            </control>
          </mc:Choice>
        </mc:AlternateContent>
        <mc:AlternateContent xmlns:mc="http://schemas.openxmlformats.org/markup-compatibility/2006">
          <mc:Choice Requires="x14">
            <control shapeId="159820" r:id="rId46" name="Option Button 76">
              <controlPr defaultSize="0" autoFill="0" autoLine="0" autoPict="0">
                <anchor moveWithCells="1">
                  <from>
                    <xdr:col>7</xdr:col>
                    <xdr:colOff>114300</xdr:colOff>
                    <xdr:row>44</xdr:row>
                    <xdr:rowOff>922020</xdr:rowOff>
                  </from>
                  <to>
                    <xdr:col>7</xdr:col>
                    <xdr:colOff>1950720</xdr:colOff>
                    <xdr:row>44</xdr:row>
                    <xdr:rowOff>1112520</xdr:rowOff>
                  </to>
                </anchor>
              </controlPr>
            </control>
          </mc:Choice>
        </mc:AlternateContent>
        <mc:AlternateContent xmlns:mc="http://schemas.openxmlformats.org/markup-compatibility/2006">
          <mc:Choice Requires="x14">
            <control shapeId="159821" r:id="rId47"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59822" r:id="rId48" name="Option Button 78">
              <controlPr defaultSize="0" autoFill="0" autoLine="0" autoPict="0" altText="Case d'option 47">
                <anchor moveWithCells="1">
                  <from>
                    <xdr:col>7</xdr:col>
                    <xdr:colOff>106680</xdr:colOff>
                    <xdr:row>46</xdr:row>
                    <xdr:rowOff>76200</xdr:rowOff>
                  </from>
                  <to>
                    <xdr:col>7</xdr:col>
                    <xdr:colOff>1501140</xdr:colOff>
                    <xdr:row>46</xdr:row>
                    <xdr:rowOff>304800</xdr:rowOff>
                  </to>
                </anchor>
              </controlPr>
            </control>
          </mc:Choice>
        </mc:AlternateContent>
        <mc:AlternateContent xmlns:mc="http://schemas.openxmlformats.org/markup-compatibility/2006">
          <mc:Choice Requires="x14">
            <control shapeId="159823" r:id="rId49" name="Option Button 79">
              <controlPr defaultSize="0" autoFill="0" autoLine="0" autoPict="0">
                <anchor moveWithCells="1">
                  <from>
                    <xdr:col>7</xdr:col>
                    <xdr:colOff>106680</xdr:colOff>
                    <xdr:row>46</xdr:row>
                    <xdr:rowOff>358140</xdr:rowOff>
                  </from>
                  <to>
                    <xdr:col>7</xdr:col>
                    <xdr:colOff>1950720</xdr:colOff>
                    <xdr:row>46</xdr:row>
                    <xdr:rowOff>586740</xdr:rowOff>
                  </to>
                </anchor>
              </controlPr>
            </control>
          </mc:Choice>
        </mc:AlternateContent>
        <mc:AlternateContent xmlns:mc="http://schemas.openxmlformats.org/markup-compatibility/2006">
          <mc:Choice Requires="x14">
            <control shapeId="159824" r:id="rId50" name="Option Button 80">
              <controlPr defaultSize="0" autoFill="0" autoLine="0" autoPict="0">
                <anchor moveWithCells="1">
                  <from>
                    <xdr:col>7</xdr:col>
                    <xdr:colOff>106680</xdr:colOff>
                    <xdr:row>46</xdr:row>
                    <xdr:rowOff>640080</xdr:rowOff>
                  </from>
                  <to>
                    <xdr:col>7</xdr:col>
                    <xdr:colOff>1958340</xdr:colOff>
                    <xdr:row>46</xdr:row>
                    <xdr:rowOff>845820</xdr:rowOff>
                  </to>
                </anchor>
              </controlPr>
            </control>
          </mc:Choice>
        </mc:AlternateContent>
        <mc:AlternateContent xmlns:mc="http://schemas.openxmlformats.org/markup-compatibility/2006">
          <mc:Choice Requires="x14">
            <control shapeId="159825" r:id="rId51" name="Option Button 81">
              <controlPr defaultSize="0" autoFill="0" autoLine="0" autoPict="0">
                <anchor moveWithCells="1">
                  <from>
                    <xdr:col>7</xdr:col>
                    <xdr:colOff>106680</xdr:colOff>
                    <xdr:row>46</xdr:row>
                    <xdr:rowOff>899160</xdr:rowOff>
                  </from>
                  <to>
                    <xdr:col>7</xdr:col>
                    <xdr:colOff>937260</xdr:colOff>
                    <xdr:row>46</xdr:row>
                    <xdr:rowOff>1112520</xdr:rowOff>
                  </to>
                </anchor>
              </controlPr>
            </control>
          </mc:Choice>
        </mc:AlternateContent>
        <mc:AlternateContent xmlns:mc="http://schemas.openxmlformats.org/markup-compatibility/2006">
          <mc:Choice Requires="x14">
            <control shapeId="159826" r:id="rId52" name="Group Box 82">
              <controlPr defaultSize="0" autoFill="0" autoPict="0">
                <anchor moveWithCells="1">
                  <from>
                    <xdr:col>7</xdr:col>
                    <xdr:colOff>0</xdr:colOff>
                    <xdr:row>46</xdr:row>
                    <xdr:rowOff>0</xdr:rowOff>
                  </from>
                  <to>
                    <xdr:col>8</xdr:col>
                    <xdr:colOff>0</xdr:colOff>
                    <xdr:row>47</xdr:row>
                    <xdr:rowOff>0</xdr:rowOff>
                  </to>
                </anchor>
              </controlPr>
            </control>
          </mc:Choice>
        </mc:AlternateContent>
        <mc:AlternateContent xmlns:mc="http://schemas.openxmlformats.org/markup-compatibility/2006">
          <mc:Choice Requires="x14">
            <control shapeId="159827" r:id="rId53"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159828" r:id="rId54"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59829" r:id="rId55"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159830" r:id="rId56"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59831" r:id="rId57"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9832" r:id="rId58"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59833" r:id="rId59"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59834" r:id="rId60"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59835" r:id="rId61"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59836" r:id="rId62"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59837" r:id="rId63"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59838" r:id="rId64"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59839" r:id="rId65"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59840" r:id="rId66"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59841" r:id="rId67"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59843" r:id="rId68" name="Option Button 99">
              <controlPr defaultSize="0" autoFill="0" autoLine="0" autoPict="0">
                <anchor moveWithCells="1">
                  <from>
                    <xdr:col>7</xdr:col>
                    <xdr:colOff>114300</xdr:colOff>
                    <xdr:row>63</xdr:row>
                    <xdr:rowOff>152400</xdr:rowOff>
                  </from>
                  <to>
                    <xdr:col>7</xdr:col>
                    <xdr:colOff>1950720</xdr:colOff>
                    <xdr:row>63</xdr:row>
                    <xdr:rowOff>342900</xdr:rowOff>
                  </to>
                </anchor>
              </controlPr>
            </control>
          </mc:Choice>
        </mc:AlternateContent>
        <mc:AlternateContent xmlns:mc="http://schemas.openxmlformats.org/markup-compatibility/2006">
          <mc:Choice Requires="x14">
            <control shapeId="159844" r:id="rId69" name="Option Button 100">
              <controlPr defaultSize="0" autoFill="0" autoLine="0" autoPict="0">
                <anchor moveWithCells="1">
                  <from>
                    <xdr:col>7</xdr:col>
                    <xdr:colOff>114300</xdr:colOff>
                    <xdr:row>63</xdr:row>
                    <xdr:rowOff>396240</xdr:rowOff>
                  </from>
                  <to>
                    <xdr:col>7</xdr:col>
                    <xdr:colOff>1950720</xdr:colOff>
                    <xdr:row>63</xdr:row>
                    <xdr:rowOff>601980</xdr:rowOff>
                  </to>
                </anchor>
              </controlPr>
            </control>
          </mc:Choice>
        </mc:AlternateContent>
        <mc:AlternateContent xmlns:mc="http://schemas.openxmlformats.org/markup-compatibility/2006">
          <mc:Choice Requires="x14">
            <control shapeId="159845" r:id="rId70" name="Option Button 101">
              <controlPr defaultSize="0" autoFill="0" autoLine="0" autoPict="0">
                <anchor moveWithCells="1">
                  <from>
                    <xdr:col>7</xdr:col>
                    <xdr:colOff>114300</xdr:colOff>
                    <xdr:row>63</xdr:row>
                    <xdr:rowOff>655320</xdr:rowOff>
                  </from>
                  <to>
                    <xdr:col>7</xdr:col>
                    <xdr:colOff>1950720</xdr:colOff>
                    <xdr:row>63</xdr:row>
                    <xdr:rowOff>861060</xdr:rowOff>
                  </to>
                </anchor>
              </controlPr>
            </control>
          </mc:Choice>
        </mc:AlternateContent>
        <mc:AlternateContent xmlns:mc="http://schemas.openxmlformats.org/markup-compatibility/2006">
          <mc:Choice Requires="x14">
            <control shapeId="159846" r:id="rId71" name="Option Button 102">
              <controlPr defaultSize="0" autoFill="0" autoLine="0" autoPict="0">
                <anchor moveWithCells="1">
                  <from>
                    <xdr:col>7</xdr:col>
                    <xdr:colOff>114300</xdr:colOff>
                    <xdr:row>63</xdr:row>
                    <xdr:rowOff>914400</xdr:rowOff>
                  </from>
                  <to>
                    <xdr:col>7</xdr:col>
                    <xdr:colOff>1950720</xdr:colOff>
                    <xdr:row>63</xdr:row>
                    <xdr:rowOff>1120140</xdr:rowOff>
                  </to>
                </anchor>
              </controlPr>
            </control>
          </mc:Choice>
        </mc:AlternateContent>
        <mc:AlternateContent xmlns:mc="http://schemas.openxmlformats.org/markup-compatibility/2006">
          <mc:Choice Requires="x14">
            <control shapeId="159847" r:id="rId72"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59848" r:id="rId73"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159849" r:id="rId74"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59850" r:id="rId75"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159851" r:id="rId76"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59852" r:id="rId77"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59853" r:id="rId78"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159854" r:id="rId79"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59855" r:id="rId80"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159856" r:id="rId81"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59857" r:id="rId82"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59863" r:id="rId83" name="Option Button 119">
              <controlPr defaultSize="0" autoFill="0" autoLine="0" autoPict="0">
                <anchor moveWithCells="1">
                  <from>
                    <xdr:col>7</xdr:col>
                    <xdr:colOff>114300</xdr:colOff>
                    <xdr:row>78</xdr:row>
                    <xdr:rowOff>228600</xdr:rowOff>
                  </from>
                  <to>
                    <xdr:col>7</xdr:col>
                    <xdr:colOff>1950720</xdr:colOff>
                    <xdr:row>78</xdr:row>
                    <xdr:rowOff>502920</xdr:rowOff>
                  </to>
                </anchor>
              </controlPr>
            </control>
          </mc:Choice>
        </mc:AlternateContent>
        <mc:AlternateContent xmlns:mc="http://schemas.openxmlformats.org/markup-compatibility/2006">
          <mc:Choice Requires="x14">
            <control shapeId="159864" r:id="rId84" name="Option Button 120">
              <controlPr defaultSize="0" autoFill="0" autoLine="0" autoPict="0">
                <anchor moveWithCells="1">
                  <from>
                    <xdr:col>7</xdr:col>
                    <xdr:colOff>114300</xdr:colOff>
                    <xdr:row>78</xdr:row>
                    <xdr:rowOff>487680</xdr:rowOff>
                  </from>
                  <to>
                    <xdr:col>7</xdr:col>
                    <xdr:colOff>1950720</xdr:colOff>
                    <xdr:row>78</xdr:row>
                    <xdr:rowOff>784860</xdr:rowOff>
                  </to>
                </anchor>
              </controlPr>
            </control>
          </mc:Choice>
        </mc:AlternateContent>
        <mc:AlternateContent xmlns:mc="http://schemas.openxmlformats.org/markup-compatibility/2006">
          <mc:Choice Requires="x14">
            <control shapeId="159865" r:id="rId85" name="Option Button 121">
              <controlPr defaultSize="0" autoFill="0" autoLine="0" autoPict="0">
                <anchor moveWithCells="1">
                  <from>
                    <xdr:col>7</xdr:col>
                    <xdr:colOff>114300</xdr:colOff>
                    <xdr:row>78</xdr:row>
                    <xdr:rowOff>777240</xdr:rowOff>
                  </from>
                  <to>
                    <xdr:col>7</xdr:col>
                    <xdr:colOff>1950720</xdr:colOff>
                    <xdr:row>78</xdr:row>
                    <xdr:rowOff>1074420</xdr:rowOff>
                  </to>
                </anchor>
              </controlPr>
            </control>
          </mc:Choice>
        </mc:AlternateContent>
        <mc:AlternateContent xmlns:mc="http://schemas.openxmlformats.org/markup-compatibility/2006">
          <mc:Choice Requires="x14">
            <control shapeId="159866" r:id="rId86" name="Option Button 122">
              <controlPr defaultSize="0" autoFill="0" autoLine="0" autoPict="0">
                <anchor moveWithCells="1">
                  <from>
                    <xdr:col>7</xdr:col>
                    <xdr:colOff>114300</xdr:colOff>
                    <xdr:row>78</xdr:row>
                    <xdr:rowOff>1059180</xdr:rowOff>
                  </from>
                  <to>
                    <xdr:col>7</xdr:col>
                    <xdr:colOff>1950720</xdr:colOff>
                    <xdr:row>78</xdr:row>
                    <xdr:rowOff>1356360</xdr:rowOff>
                  </to>
                </anchor>
              </controlPr>
            </control>
          </mc:Choice>
        </mc:AlternateContent>
        <mc:AlternateContent xmlns:mc="http://schemas.openxmlformats.org/markup-compatibility/2006">
          <mc:Choice Requires="x14">
            <control shapeId="159867" r:id="rId87"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59868" r:id="rId88"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159869" r:id="rId89"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159870" r:id="rId90"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159871" r:id="rId91"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159872" r:id="rId92"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59873" r:id="rId93" name="Option Button 129">
              <controlPr defaultSize="0" autoFill="0" autoLine="0" autoPict="0">
                <anchor moveWithCells="1">
                  <from>
                    <xdr:col>7</xdr:col>
                    <xdr:colOff>114300</xdr:colOff>
                    <xdr:row>81</xdr:row>
                    <xdr:rowOff>144780</xdr:rowOff>
                  </from>
                  <to>
                    <xdr:col>7</xdr:col>
                    <xdr:colOff>1950720</xdr:colOff>
                    <xdr:row>81</xdr:row>
                    <xdr:rowOff>320040</xdr:rowOff>
                  </to>
                </anchor>
              </controlPr>
            </control>
          </mc:Choice>
        </mc:AlternateContent>
        <mc:AlternateContent xmlns:mc="http://schemas.openxmlformats.org/markup-compatibility/2006">
          <mc:Choice Requires="x14">
            <control shapeId="159874" r:id="rId94" name="Option Button 130">
              <controlPr defaultSize="0" autoFill="0" autoLine="0" autoPict="0">
                <anchor moveWithCells="1">
                  <from>
                    <xdr:col>7</xdr:col>
                    <xdr:colOff>114300</xdr:colOff>
                    <xdr:row>81</xdr:row>
                    <xdr:rowOff>396240</xdr:rowOff>
                  </from>
                  <to>
                    <xdr:col>7</xdr:col>
                    <xdr:colOff>1950720</xdr:colOff>
                    <xdr:row>81</xdr:row>
                    <xdr:rowOff>586740</xdr:rowOff>
                  </to>
                </anchor>
              </controlPr>
            </control>
          </mc:Choice>
        </mc:AlternateContent>
        <mc:AlternateContent xmlns:mc="http://schemas.openxmlformats.org/markup-compatibility/2006">
          <mc:Choice Requires="x14">
            <control shapeId="159875" r:id="rId95" name="Option Button 131">
              <controlPr defaultSize="0" autoFill="0" autoLine="0" autoPict="0">
                <anchor moveWithCells="1">
                  <from>
                    <xdr:col>7</xdr:col>
                    <xdr:colOff>114300</xdr:colOff>
                    <xdr:row>81</xdr:row>
                    <xdr:rowOff>640080</xdr:rowOff>
                  </from>
                  <to>
                    <xdr:col>7</xdr:col>
                    <xdr:colOff>1950720</xdr:colOff>
                    <xdr:row>81</xdr:row>
                    <xdr:rowOff>830580</xdr:rowOff>
                  </to>
                </anchor>
              </controlPr>
            </control>
          </mc:Choice>
        </mc:AlternateContent>
        <mc:AlternateContent xmlns:mc="http://schemas.openxmlformats.org/markup-compatibility/2006">
          <mc:Choice Requires="x14">
            <control shapeId="159876" r:id="rId96" name="Option Button 132">
              <controlPr defaultSize="0" autoFill="0" autoLine="0" autoPict="0">
                <anchor moveWithCells="1">
                  <from>
                    <xdr:col>7</xdr:col>
                    <xdr:colOff>114300</xdr:colOff>
                    <xdr:row>81</xdr:row>
                    <xdr:rowOff>922020</xdr:rowOff>
                  </from>
                  <to>
                    <xdr:col>7</xdr:col>
                    <xdr:colOff>1950720</xdr:colOff>
                    <xdr:row>81</xdr:row>
                    <xdr:rowOff>1112520</xdr:rowOff>
                  </to>
                </anchor>
              </controlPr>
            </control>
          </mc:Choice>
        </mc:AlternateContent>
        <mc:AlternateContent xmlns:mc="http://schemas.openxmlformats.org/markup-compatibility/2006">
          <mc:Choice Requires="x14">
            <control shapeId="159877" r:id="rId97"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159878" r:id="rId98" name="Option Button 134">
              <controlPr defaultSize="0" autoFill="0" autoLine="0" autoPict="0" altText="Case d'option 47">
                <anchor moveWithCells="1">
                  <from>
                    <xdr:col>7</xdr:col>
                    <xdr:colOff>106680</xdr:colOff>
                    <xdr:row>80</xdr:row>
                    <xdr:rowOff>68580</xdr:rowOff>
                  </from>
                  <to>
                    <xdr:col>7</xdr:col>
                    <xdr:colOff>1493520</xdr:colOff>
                    <xdr:row>80</xdr:row>
                    <xdr:rowOff>259080</xdr:rowOff>
                  </to>
                </anchor>
              </controlPr>
            </control>
          </mc:Choice>
        </mc:AlternateContent>
        <mc:AlternateContent xmlns:mc="http://schemas.openxmlformats.org/markup-compatibility/2006">
          <mc:Choice Requires="x14">
            <control shapeId="159879" r:id="rId99"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159880" r:id="rId100" name="Option Button 136">
              <controlPr defaultSize="0" autoFill="0" autoLine="0" autoPict="0">
                <anchor moveWithCells="1">
                  <from>
                    <xdr:col>7</xdr:col>
                    <xdr:colOff>106680</xdr:colOff>
                    <xdr:row>80</xdr:row>
                    <xdr:rowOff>579120</xdr:rowOff>
                  </from>
                  <to>
                    <xdr:col>7</xdr:col>
                    <xdr:colOff>1950720</xdr:colOff>
                    <xdr:row>80</xdr:row>
                    <xdr:rowOff>754380</xdr:rowOff>
                  </to>
                </anchor>
              </controlPr>
            </control>
          </mc:Choice>
        </mc:AlternateContent>
        <mc:AlternateContent xmlns:mc="http://schemas.openxmlformats.org/markup-compatibility/2006">
          <mc:Choice Requires="x14">
            <control shapeId="159881" r:id="rId101"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159882" r:id="rId102"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159883" r:id="rId103" name="Option Button 139">
              <controlPr defaultSize="0" autoFill="0" autoLine="0" autoPict="0" altText="Case d'option 47">
                <anchor moveWithCells="1">
                  <from>
                    <xdr:col>7</xdr:col>
                    <xdr:colOff>106680</xdr:colOff>
                    <xdr:row>79</xdr:row>
                    <xdr:rowOff>106680</xdr:rowOff>
                  </from>
                  <to>
                    <xdr:col>7</xdr:col>
                    <xdr:colOff>1501140</xdr:colOff>
                    <xdr:row>79</xdr:row>
                    <xdr:rowOff>388620</xdr:rowOff>
                  </to>
                </anchor>
              </controlPr>
            </control>
          </mc:Choice>
        </mc:AlternateContent>
        <mc:AlternateContent xmlns:mc="http://schemas.openxmlformats.org/markup-compatibility/2006">
          <mc:Choice Requires="x14">
            <control shapeId="159884" r:id="rId104" name="Option Button 140">
              <controlPr defaultSize="0" autoFill="0" autoLine="0" autoPict="0">
                <anchor moveWithCells="1">
                  <from>
                    <xdr:col>7</xdr:col>
                    <xdr:colOff>106680</xdr:colOff>
                    <xdr:row>79</xdr:row>
                    <xdr:rowOff>388620</xdr:rowOff>
                  </from>
                  <to>
                    <xdr:col>7</xdr:col>
                    <xdr:colOff>1950720</xdr:colOff>
                    <xdr:row>79</xdr:row>
                    <xdr:rowOff>685800</xdr:rowOff>
                  </to>
                </anchor>
              </controlPr>
            </control>
          </mc:Choice>
        </mc:AlternateContent>
        <mc:AlternateContent xmlns:mc="http://schemas.openxmlformats.org/markup-compatibility/2006">
          <mc:Choice Requires="x14">
            <control shapeId="159885" r:id="rId105" name="Option Button 141">
              <controlPr defaultSize="0" autoFill="0" autoLine="0" autoPict="0">
                <anchor moveWithCells="1">
                  <from>
                    <xdr:col>7</xdr:col>
                    <xdr:colOff>106680</xdr:colOff>
                    <xdr:row>79</xdr:row>
                    <xdr:rowOff>693420</xdr:rowOff>
                  </from>
                  <to>
                    <xdr:col>7</xdr:col>
                    <xdr:colOff>1958340</xdr:colOff>
                    <xdr:row>79</xdr:row>
                    <xdr:rowOff>952500</xdr:rowOff>
                  </to>
                </anchor>
              </controlPr>
            </control>
          </mc:Choice>
        </mc:AlternateContent>
        <mc:AlternateContent xmlns:mc="http://schemas.openxmlformats.org/markup-compatibility/2006">
          <mc:Choice Requires="x14">
            <control shapeId="159886" r:id="rId106" name="Option Button 142">
              <controlPr defaultSize="0" autoFill="0" autoLine="0" autoPict="0">
                <anchor moveWithCells="1">
                  <from>
                    <xdr:col>7</xdr:col>
                    <xdr:colOff>106680</xdr:colOff>
                    <xdr:row>79</xdr:row>
                    <xdr:rowOff>975360</xdr:rowOff>
                  </from>
                  <to>
                    <xdr:col>7</xdr:col>
                    <xdr:colOff>937260</xdr:colOff>
                    <xdr:row>79</xdr:row>
                    <xdr:rowOff>1249680</xdr:rowOff>
                  </to>
                </anchor>
              </controlPr>
            </control>
          </mc:Choice>
        </mc:AlternateContent>
        <mc:AlternateContent xmlns:mc="http://schemas.openxmlformats.org/markup-compatibility/2006">
          <mc:Choice Requires="x14">
            <control shapeId="159887" r:id="rId107"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59888" r:id="rId108"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11" r:id="rId109"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159890" r:id="rId110"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59891" r:id="rId111"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59892" r:id="rId112"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59893" r:id="rId113"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9899" r:id="rId114"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159900" r:id="rId115" name="Option Button 156">
              <controlPr defaultSize="0" autoFill="0" autoLine="0" autoPict="0">
                <anchor moveWithCells="1">
                  <from>
                    <xdr:col>7</xdr:col>
                    <xdr:colOff>106680</xdr:colOff>
                    <xdr:row>47</xdr:row>
                    <xdr:rowOff>304800</xdr:rowOff>
                  </from>
                  <to>
                    <xdr:col>7</xdr:col>
                    <xdr:colOff>1950720</xdr:colOff>
                    <xdr:row>47</xdr:row>
                    <xdr:rowOff>502920</xdr:rowOff>
                  </to>
                </anchor>
              </controlPr>
            </control>
          </mc:Choice>
        </mc:AlternateContent>
        <mc:AlternateContent xmlns:mc="http://schemas.openxmlformats.org/markup-compatibility/2006">
          <mc:Choice Requires="x14">
            <control shapeId="159901" r:id="rId116" name="Option Button 157">
              <controlPr defaultSize="0" autoFill="0" autoLine="0" autoPict="0">
                <anchor moveWithCells="1">
                  <from>
                    <xdr:col>7</xdr:col>
                    <xdr:colOff>106680</xdr:colOff>
                    <xdr:row>47</xdr:row>
                    <xdr:rowOff>579120</xdr:rowOff>
                  </from>
                  <to>
                    <xdr:col>7</xdr:col>
                    <xdr:colOff>1958340</xdr:colOff>
                    <xdr:row>47</xdr:row>
                    <xdr:rowOff>754380</xdr:rowOff>
                  </to>
                </anchor>
              </controlPr>
            </control>
          </mc:Choice>
        </mc:AlternateContent>
        <mc:AlternateContent xmlns:mc="http://schemas.openxmlformats.org/markup-compatibility/2006">
          <mc:Choice Requires="x14">
            <control shapeId="159902" r:id="rId117"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12" r:id="rId118"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9909" r:id="rId119" name="Option Button 165">
              <controlPr defaultSize="0" autoFill="0" autoLine="0" autoPict="0">
                <anchor moveWithCells="1">
                  <from>
                    <xdr:col>7</xdr:col>
                    <xdr:colOff>114300</xdr:colOff>
                    <xdr:row>83</xdr:row>
                    <xdr:rowOff>144780</xdr:rowOff>
                  </from>
                  <to>
                    <xdr:col>7</xdr:col>
                    <xdr:colOff>1950720</xdr:colOff>
                    <xdr:row>83</xdr:row>
                    <xdr:rowOff>320040</xdr:rowOff>
                  </to>
                </anchor>
              </controlPr>
            </control>
          </mc:Choice>
        </mc:AlternateContent>
        <mc:AlternateContent xmlns:mc="http://schemas.openxmlformats.org/markup-compatibility/2006">
          <mc:Choice Requires="x14">
            <control shapeId="13" r:id="rId120" name="Option Button 166">
              <controlPr defaultSize="0" autoFill="0" autoLine="0" autoPict="0">
                <anchor moveWithCells="1">
                  <from>
                    <xdr:col>7</xdr:col>
                    <xdr:colOff>114300</xdr:colOff>
                    <xdr:row>83</xdr:row>
                    <xdr:rowOff>396240</xdr:rowOff>
                  </from>
                  <to>
                    <xdr:col>7</xdr:col>
                    <xdr:colOff>1950720</xdr:colOff>
                    <xdr:row>83</xdr:row>
                    <xdr:rowOff>586740</xdr:rowOff>
                  </to>
                </anchor>
              </controlPr>
            </control>
          </mc:Choice>
        </mc:AlternateContent>
        <mc:AlternateContent xmlns:mc="http://schemas.openxmlformats.org/markup-compatibility/2006">
          <mc:Choice Requires="x14">
            <control shapeId="14" r:id="rId121" name="Option Button 167">
              <controlPr defaultSize="0" autoFill="0" autoLine="0" autoPict="0">
                <anchor moveWithCells="1">
                  <from>
                    <xdr:col>7</xdr:col>
                    <xdr:colOff>114300</xdr:colOff>
                    <xdr:row>83</xdr:row>
                    <xdr:rowOff>640080</xdr:rowOff>
                  </from>
                  <to>
                    <xdr:col>7</xdr:col>
                    <xdr:colOff>1950720</xdr:colOff>
                    <xdr:row>83</xdr:row>
                    <xdr:rowOff>830580</xdr:rowOff>
                  </to>
                </anchor>
              </controlPr>
            </control>
          </mc:Choice>
        </mc:AlternateContent>
        <mc:AlternateContent xmlns:mc="http://schemas.openxmlformats.org/markup-compatibility/2006">
          <mc:Choice Requires="x14">
            <control shapeId="159912" r:id="rId122" name="Option Button 168">
              <controlPr defaultSize="0" autoFill="0" autoLine="0" autoPict="0">
                <anchor moveWithCells="1">
                  <from>
                    <xdr:col>7</xdr:col>
                    <xdr:colOff>114300</xdr:colOff>
                    <xdr:row>83</xdr:row>
                    <xdr:rowOff>922020</xdr:rowOff>
                  </from>
                  <to>
                    <xdr:col>7</xdr:col>
                    <xdr:colOff>1950720</xdr:colOff>
                    <xdr:row>83</xdr:row>
                    <xdr:rowOff>1112520</xdr:rowOff>
                  </to>
                </anchor>
              </controlPr>
            </control>
          </mc:Choice>
        </mc:AlternateContent>
        <mc:AlternateContent xmlns:mc="http://schemas.openxmlformats.org/markup-compatibility/2006">
          <mc:Choice Requires="x14">
            <control shapeId="159913" r:id="rId123" name="Group Box 169">
              <controlPr defaultSize="0" autoFill="0" autoPict="0">
                <anchor moveWithCells="1">
                  <from>
                    <xdr:col>7</xdr:col>
                    <xdr:colOff>0</xdr:colOff>
                    <xdr:row>83</xdr:row>
                    <xdr:rowOff>0</xdr:rowOff>
                  </from>
                  <to>
                    <xdr:col>8</xdr:col>
                    <xdr:colOff>0</xdr:colOff>
                    <xdr:row>84</xdr:row>
                    <xdr:rowOff>0</xdr:rowOff>
                  </to>
                </anchor>
              </controlPr>
            </control>
          </mc:Choice>
        </mc:AlternateContent>
        <mc:AlternateContent xmlns:mc="http://schemas.openxmlformats.org/markup-compatibility/2006">
          <mc:Choice Requires="x14">
            <control shapeId="159914" r:id="rId124" name="Option Button 170">
              <controlPr defaultSize="0" autoFill="0" autoLine="0" autoPict="0" altText="Case d'option 47">
                <anchor moveWithCells="1">
                  <from>
                    <xdr:col>7</xdr:col>
                    <xdr:colOff>106680</xdr:colOff>
                    <xdr:row>82</xdr:row>
                    <xdr:rowOff>68580</xdr:rowOff>
                  </from>
                  <to>
                    <xdr:col>7</xdr:col>
                    <xdr:colOff>1501140</xdr:colOff>
                    <xdr:row>82</xdr:row>
                    <xdr:rowOff>259080</xdr:rowOff>
                  </to>
                </anchor>
              </controlPr>
            </control>
          </mc:Choice>
        </mc:AlternateContent>
        <mc:AlternateContent xmlns:mc="http://schemas.openxmlformats.org/markup-compatibility/2006">
          <mc:Choice Requires="x14">
            <control shapeId="159915" r:id="rId125" name="Option Button 171">
              <controlPr defaultSize="0" autoFill="0" autoLine="0" autoPict="0">
                <anchor moveWithCells="1">
                  <from>
                    <xdr:col>7</xdr:col>
                    <xdr:colOff>106680</xdr:colOff>
                    <xdr:row>82</xdr:row>
                    <xdr:rowOff>304800</xdr:rowOff>
                  </from>
                  <to>
                    <xdr:col>7</xdr:col>
                    <xdr:colOff>1950720</xdr:colOff>
                    <xdr:row>82</xdr:row>
                    <xdr:rowOff>502920</xdr:rowOff>
                  </to>
                </anchor>
              </controlPr>
            </control>
          </mc:Choice>
        </mc:AlternateContent>
        <mc:AlternateContent xmlns:mc="http://schemas.openxmlformats.org/markup-compatibility/2006">
          <mc:Choice Requires="x14">
            <control shapeId="159916" r:id="rId126" name="Option Button 172">
              <controlPr defaultSize="0" autoFill="0" autoLine="0" autoPict="0">
                <anchor moveWithCells="1">
                  <from>
                    <xdr:col>7</xdr:col>
                    <xdr:colOff>106680</xdr:colOff>
                    <xdr:row>82</xdr:row>
                    <xdr:rowOff>579120</xdr:rowOff>
                  </from>
                  <to>
                    <xdr:col>7</xdr:col>
                    <xdr:colOff>1958340</xdr:colOff>
                    <xdr:row>82</xdr:row>
                    <xdr:rowOff>754380</xdr:rowOff>
                  </to>
                </anchor>
              </controlPr>
            </control>
          </mc:Choice>
        </mc:AlternateContent>
        <mc:AlternateContent xmlns:mc="http://schemas.openxmlformats.org/markup-compatibility/2006">
          <mc:Choice Requires="x14">
            <control shapeId="159917" r:id="rId127" name="Option Button 173">
              <controlPr defaultSize="0" autoFill="0" autoLine="0" autoPict="0">
                <anchor moveWithCells="1">
                  <from>
                    <xdr:col>7</xdr:col>
                    <xdr:colOff>106680</xdr:colOff>
                    <xdr:row>82</xdr:row>
                    <xdr:rowOff>822960</xdr:rowOff>
                  </from>
                  <to>
                    <xdr:col>7</xdr:col>
                    <xdr:colOff>937260</xdr:colOff>
                    <xdr:row>82</xdr:row>
                    <xdr:rowOff>1005840</xdr:rowOff>
                  </to>
                </anchor>
              </controlPr>
            </control>
          </mc:Choice>
        </mc:AlternateContent>
        <mc:AlternateContent xmlns:mc="http://schemas.openxmlformats.org/markup-compatibility/2006">
          <mc:Choice Requires="x14">
            <control shapeId="15" r:id="rId128" name="Group Box 174">
              <controlPr defaultSize="0" autoFill="0" autoPict="0">
                <anchor moveWithCells="1">
                  <from>
                    <xdr:col>7</xdr:col>
                    <xdr:colOff>0</xdr:colOff>
                    <xdr:row>82</xdr:row>
                    <xdr:rowOff>0</xdr:rowOff>
                  </from>
                  <to>
                    <xdr:col>8</xdr:col>
                    <xdr:colOff>0</xdr:colOff>
                    <xdr:row>83</xdr:row>
                    <xdr:rowOff>0</xdr:rowOff>
                  </to>
                </anchor>
              </controlPr>
            </control>
          </mc:Choice>
        </mc:AlternateContent>
        <mc:AlternateContent xmlns:mc="http://schemas.openxmlformats.org/markup-compatibility/2006">
          <mc:Choice Requires="x14">
            <control shapeId="24" r:id="rId129" name="Option Button 175">
              <controlPr defaultSize="0" autoFill="0" autoLine="0" autoPict="0">
                <anchor moveWithCells="1">
                  <from>
                    <xdr:col>7</xdr:col>
                    <xdr:colOff>114300</xdr:colOff>
                    <xdr:row>94</xdr:row>
                    <xdr:rowOff>144780</xdr:rowOff>
                  </from>
                  <to>
                    <xdr:col>7</xdr:col>
                    <xdr:colOff>1950720</xdr:colOff>
                    <xdr:row>94</xdr:row>
                    <xdr:rowOff>320040</xdr:rowOff>
                  </to>
                </anchor>
              </controlPr>
            </control>
          </mc:Choice>
        </mc:AlternateContent>
        <mc:AlternateContent xmlns:mc="http://schemas.openxmlformats.org/markup-compatibility/2006">
          <mc:Choice Requires="x14">
            <control shapeId="49" r:id="rId130" name="Option Button 176">
              <controlPr defaultSize="0" autoFill="0" autoLine="0" autoPict="0">
                <anchor moveWithCells="1">
                  <from>
                    <xdr:col>7</xdr:col>
                    <xdr:colOff>114300</xdr:colOff>
                    <xdr:row>94</xdr:row>
                    <xdr:rowOff>396240</xdr:rowOff>
                  </from>
                  <to>
                    <xdr:col>7</xdr:col>
                    <xdr:colOff>1950720</xdr:colOff>
                    <xdr:row>94</xdr:row>
                    <xdr:rowOff>586740</xdr:rowOff>
                  </to>
                </anchor>
              </controlPr>
            </control>
          </mc:Choice>
        </mc:AlternateContent>
        <mc:AlternateContent xmlns:mc="http://schemas.openxmlformats.org/markup-compatibility/2006">
          <mc:Choice Requires="x14">
            <control shapeId="159921" r:id="rId131" name="Option Button 177">
              <controlPr defaultSize="0" autoFill="0" autoLine="0" autoPict="0">
                <anchor moveWithCells="1">
                  <from>
                    <xdr:col>7</xdr:col>
                    <xdr:colOff>114300</xdr:colOff>
                    <xdr:row>94</xdr:row>
                    <xdr:rowOff>640080</xdr:rowOff>
                  </from>
                  <to>
                    <xdr:col>7</xdr:col>
                    <xdr:colOff>1950720</xdr:colOff>
                    <xdr:row>94</xdr:row>
                    <xdr:rowOff>830580</xdr:rowOff>
                  </to>
                </anchor>
              </controlPr>
            </control>
          </mc:Choice>
        </mc:AlternateContent>
        <mc:AlternateContent xmlns:mc="http://schemas.openxmlformats.org/markup-compatibility/2006">
          <mc:Choice Requires="x14">
            <control shapeId="159922" r:id="rId132" name="Option Button 178">
              <controlPr defaultSize="0" autoFill="0" autoLine="0" autoPict="0">
                <anchor moveWithCells="1">
                  <from>
                    <xdr:col>7</xdr:col>
                    <xdr:colOff>114300</xdr:colOff>
                    <xdr:row>94</xdr:row>
                    <xdr:rowOff>922020</xdr:rowOff>
                  </from>
                  <to>
                    <xdr:col>7</xdr:col>
                    <xdr:colOff>1950720</xdr:colOff>
                    <xdr:row>94</xdr:row>
                    <xdr:rowOff>1112520</xdr:rowOff>
                  </to>
                </anchor>
              </controlPr>
            </control>
          </mc:Choice>
        </mc:AlternateContent>
        <mc:AlternateContent xmlns:mc="http://schemas.openxmlformats.org/markup-compatibility/2006">
          <mc:Choice Requires="x14">
            <control shapeId="159923" r:id="rId133"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159924" r:id="rId134"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159925" r:id="rId135" name="Option Button 181">
              <controlPr defaultSize="0" autoFill="0" autoLine="0" autoPict="0">
                <anchor moveWithCells="1">
                  <from>
                    <xdr:col>7</xdr:col>
                    <xdr:colOff>106680</xdr:colOff>
                    <xdr:row>93</xdr:row>
                    <xdr:rowOff>304800</xdr:rowOff>
                  </from>
                  <to>
                    <xdr:col>7</xdr:col>
                    <xdr:colOff>1950720</xdr:colOff>
                    <xdr:row>93</xdr:row>
                    <xdr:rowOff>502920</xdr:rowOff>
                  </to>
                </anchor>
              </controlPr>
            </control>
          </mc:Choice>
        </mc:AlternateContent>
        <mc:AlternateContent xmlns:mc="http://schemas.openxmlformats.org/markup-compatibility/2006">
          <mc:Choice Requires="x14">
            <control shapeId="159944" r:id="rId136"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159927" r:id="rId137"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159928" r:id="rId138"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159945" r:id="rId139" name="Option Button 190">
              <controlPr defaultSize="0" autoFill="0" autoLine="0" autoPict="0" altText="Case d'option 47">
                <anchor moveWithCells="1">
                  <from>
                    <xdr:col>7</xdr:col>
                    <xdr:colOff>106680</xdr:colOff>
                    <xdr:row>96</xdr:row>
                    <xdr:rowOff>68580</xdr:rowOff>
                  </from>
                  <to>
                    <xdr:col>7</xdr:col>
                    <xdr:colOff>1493520</xdr:colOff>
                    <xdr:row>96</xdr:row>
                    <xdr:rowOff>259080</xdr:rowOff>
                  </to>
                </anchor>
              </controlPr>
            </control>
          </mc:Choice>
        </mc:AlternateContent>
        <mc:AlternateContent xmlns:mc="http://schemas.openxmlformats.org/markup-compatibility/2006">
          <mc:Choice Requires="x14">
            <control shapeId="159935" r:id="rId140" name="Option Button 191">
              <controlPr defaultSize="0" autoFill="0" autoLine="0" autoPict="0">
                <anchor moveWithCells="1">
                  <from>
                    <xdr:col>7</xdr:col>
                    <xdr:colOff>106680</xdr:colOff>
                    <xdr:row>96</xdr:row>
                    <xdr:rowOff>304800</xdr:rowOff>
                  </from>
                  <to>
                    <xdr:col>7</xdr:col>
                    <xdr:colOff>1950720</xdr:colOff>
                    <xdr:row>96</xdr:row>
                    <xdr:rowOff>502920</xdr:rowOff>
                  </to>
                </anchor>
              </controlPr>
            </control>
          </mc:Choice>
        </mc:AlternateContent>
        <mc:AlternateContent xmlns:mc="http://schemas.openxmlformats.org/markup-compatibility/2006">
          <mc:Choice Requires="x14">
            <control shapeId="159936" r:id="rId141" name="Option Button 192">
              <controlPr defaultSize="0" autoFill="0" autoLine="0" autoPict="0">
                <anchor moveWithCells="1">
                  <from>
                    <xdr:col>7</xdr:col>
                    <xdr:colOff>106680</xdr:colOff>
                    <xdr:row>96</xdr:row>
                    <xdr:rowOff>579120</xdr:rowOff>
                  </from>
                  <to>
                    <xdr:col>7</xdr:col>
                    <xdr:colOff>1950720</xdr:colOff>
                    <xdr:row>96</xdr:row>
                    <xdr:rowOff>754380</xdr:rowOff>
                  </to>
                </anchor>
              </controlPr>
            </control>
          </mc:Choice>
        </mc:AlternateContent>
        <mc:AlternateContent xmlns:mc="http://schemas.openxmlformats.org/markup-compatibility/2006">
          <mc:Choice Requires="x14">
            <control shapeId="159937" r:id="rId142" name="Option Button 193">
              <controlPr defaultSize="0" autoFill="0" autoLine="0" autoPict="0">
                <anchor moveWithCells="1">
                  <from>
                    <xdr:col>7</xdr:col>
                    <xdr:colOff>106680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159938" r:id="rId143"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159939" r:id="rId144"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159949" r:id="rId145" name="Option Button 196">
              <controlPr defaultSize="0" autoFill="0" autoLine="0" autoPict="0">
                <anchor moveWithCells="1">
                  <from>
                    <xdr:col>7</xdr:col>
                    <xdr:colOff>106680</xdr:colOff>
                    <xdr:row>95</xdr:row>
                    <xdr:rowOff>304800</xdr:rowOff>
                  </from>
                  <to>
                    <xdr:col>7</xdr:col>
                    <xdr:colOff>1950720</xdr:colOff>
                    <xdr:row>95</xdr:row>
                    <xdr:rowOff>502920</xdr:rowOff>
                  </to>
                </anchor>
              </controlPr>
            </control>
          </mc:Choice>
        </mc:AlternateContent>
        <mc:AlternateContent xmlns:mc="http://schemas.openxmlformats.org/markup-compatibility/2006">
          <mc:Choice Requires="x14">
            <control shapeId="159941" r:id="rId146"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159942" r:id="rId147"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159943" r:id="rId148"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159954" r:id="rId149" name="Option Button 210">
              <controlPr defaultSize="0" autoFill="0" autoLine="0" autoPict="0">
                <anchor moveWithCells="1">
                  <from>
                    <xdr:col>7</xdr:col>
                    <xdr:colOff>114300</xdr:colOff>
                    <xdr:row>110</xdr:row>
                    <xdr:rowOff>144780</xdr:rowOff>
                  </from>
                  <to>
                    <xdr:col>7</xdr:col>
                    <xdr:colOff>1950720</xdr:colOff>
                    <xdr:row>110</xdr:row>
                    <xdr:rowOff>320040</xdr:rowOff>
                  </to>
                </anchor>
              </controlPr>
            </control>
          </mc:Choice>
        </mc:AlternateContent>
        <mc:AlternateContent xmlns:mc="http://schemas.openxmlformats.org/markup-compatibility/2006">
          <mc:Choice Requires="x14">
            <control shapeId="159950" r:id="rId150" name="Option Button 211">
              <controlPr defaultSize="0" autoFill="0" autoLine="0" autoPict="0">
                <anchor moveWithCells="1">
                  <from>
                    <xdr:col>7</xdr:col>
                    <xdr:colOff>114300</xdr:colOff>
                    <xdr:row>110</xdr:row>
                    <xdr:rowOff>396240</xdr:rowOff>
                  </from>
                  <to>
                    <xdr:col>7</xdr:col>
                    <xdr:colOff>1950720</xdr:colOff>
                    <xdr:row>110</xdr:row>
                    <xdr:rowOff>586740</xdr:rowOff>
                  </to>
                </anchor>
              </controlPr>
            </control>
          </mc:Choice>
        </mc:AlternateContent>
        <mc:AlternateContent xmlns:mc="http://schemas.openxmlformats.org/markup-compatibility/2006">
          <mc:Choice Requires="x14">
            <control shapeId="159956" r:id="rId151" name="Option Button 212">
              <controlPr defaultSize="0" autoFill="0" autoLine="0" autoPict="0">
                <anchor moveWithCells="1">
                  <from>
                    <xdr:col>7</xdr:col>
                    <xdr:colOff>114300</xdr:colOff>
                    <xdr:row>110</xdr:row>
                    <xdr:rowOff>640080</xdr:rowOff>
                  </from>
                  <to>
                    <xdr:col>7</xdr:col>
                    <xdr:colOff>1950720</xdr:colOff>
                    <xdr:row>110</xdr:row>
                    <xdr:rowOff>830580</xdr:rowOff>
                  </to>
                </anchor>
              </controlPr>
            </control>
          </mc:Choice>
        </mc:AlternateContent>
        <mc:AlternateContent xmlns:mc="http://schemas.openxmlformats.org/markup-compatibility/2006">
          <mc:Choice Requires="x14">
            <control shapeId="159957" r:id="rId152" name="Option Button 213">
              <controlPr defaultSize="0" autoFill="0" autoLine="0" autoPict="0">
                <anchor moveWithCells="1">
                  <from>
                    <xdr:col>7</xdr:col>
                    <xdr:colOff>114300</xdr:colOff>
                    <xdr:row>110</xdr:row>
                    <xdr:rowOff>922020</xdr:rowOff>
                  </from>
                  <to>
                    <xdr:col>7</xdr:col>
                    <xdr:colOff>1950720</xdr:colOff>
                    <xdr:row>110</xdr:row>
                    <xdr:rowOff>1112520</xdr:rowOff>
                  </to>
                </anchor>
              </controlPr>
            </control>
          </mc:Choice>
        </mc:AlternateContent>
        <mc:AlternateContent xmlns:mc="http://schemas.openxmlformats.org/markup-compatibility/2006">
          <mc:Choice Requires="x14">
            <control shapeId="159958" r:id="rId153" name="Group Box 214">
              <controlPr defaultSize="0" autoFill="0" autoPict="0">
                <anchor moveWithCells="1">
                  <from>
                    <xdr:col>7</xdr:col>
                    <xdr:colOff>0</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159959" r:id="rId154" name="Option Button 215">
              <controlPr defaultSize="0" autoFill="0" autoLine="0" autoPict="0" altText="Case d'option 47">
                <anchor moveWithCells="1">
                  <from>
                    <xdr:col>7</xdr:col>
                    <xdr:colOff>106680</xdr:colOff>
                    <xdr:row>109</xdr:row>
                    <xdr:rowOff>68580</xdr:rowOff>
                  </from>
                  <to>
                    <xdr:col>7</xdr:col>
                    <xdr:colOff>1501140</xdr:colOff>
                    <xdr:row>109</xdr:row>
                    <xdr:rowOff>259080</xdr:rowOff>
                  </to>
                </anchor>
              </controlPr>
            </control>
          </mc:Choice>
        </mc:AlternateContent>
        <mc:AlternateContent xmlns:mc="http://schemas.openxmlformats.org/markup-compatibility/2006">
          <mc:Choice Requires="x14">
            <control shapeId="159960" r:id="rId155" name="Option Button 216">
              <controlPr defaultSize="0" autoFill="0" autoLine="0" autoPict="0">
                <anchor moveWithCells="1">
                  <from>
                    <xdr:col>7</xdr:col>
                    <xdr:colOff>106680</xdr:colOff>
                    <xdr:row>109</xdr:row>
                    <xdr:rowOff>304800</xdr:rowOff>
                  </from>
                  <to>
                    <xdr:col>7</xdr:col>
                    <xdr:colOff>1950720</xdr:colOff>
                    <xdr:row>109</xdr:row>
                    <xdr:rowOff>502920</xdr:rowOff>
                  </to>
                </anchor>
              </controlPr>
            </control>
          </mc:Choice>
        </mc:AlternateContent>
        <mc:AlternateContent xmlns:mc="http://schemas.openxmlformats.org/markup-compatibility/2006">
          <mc:Choice Requires="x14">
            <control shapeId="159951" r:id="rId156" name="Option Button 217">
              <controlPr defaultSize="0" autoFill="0" autoLine="0" autoPict="0">
                <anchor moveWithCells="1">
                  <from>
                    <xdr:col>7</xdr:col>
                    <xdr:colOff>106680</xdr:colOff>
                    <xdr:row>109</xdr:row>
                    <xdr:rowOff>579120</xdr:rowOff>
                  </from>
                  <to>
                    <xdr:col>7</xdr:col>
                    <xdr:colOff>1958340</xdr:colOff>
                    <xdr:row>109</xdr:row>
                    <xdr:rowOff>754380</xdr:rowOff>
                  </to>
                </anchor>
              </controlPr>
            </control>
          </mc:Choice>
        </mc:AlternateContent>
        <mc:AlternateContent xmlns:mc="http://schemas.openxmlformats.org/markup-compatibility/2006">
          <mc:Choice Requires="x14">
            <control shapeId="159962" r:id="rId157" name="Option Button 218">
              <controlPr defaultSize="0" autoFill="0" autoLine="0" autoPict="0">
                <anchor moveWithCells="1">
                  <from>
                    <xdr:col>7</xdr:col>
                    <xdr:colOff>106680</xdr:colOff>
                    <xdr:row>109</xdr:row>
                    <xdr:rowOff>822960</xdr:rowOff>
                  </from>
                  <to>
                    <xdr:col>7</xdr:col>
                    <xdr:colOff>937260</xdr:colOff>
                    <xdr:row>109</xdr:row>
                    <xdr:rowOff>1005840</xdr:rowOff>
                  </to>
                </anchor>
              </controlPr>
            </control>
          </mc:Choice>
        </mc:AlternateContent>
        <mc:AlternateContent xmlns:mc="http://schemas.openxmlformats.org/markup-compatibility/2006">
          <mc:Choice Requires="x14">
            <control shapeId="159963" r:id="rId158" name="Group Box 219">
              <controlPr defaultSize="0" autoFill="0" autoPict="0">
                <anchor moveWithCells="1">
                  <from>
                    <xdr:col>7</xdr:col>
                    <xdr:colOff>0</xdr:colOff>
                    <xdr:row>109</xdr:row>
                    <xdr:rowOff>0</xdr:rowOff>
                  </from>
                  <to>
                    <xdr:col>8</xdr:col>
                    <xdr:colOff>0</xdr:colOff>
                    <xdr:row>110</xdr:row>
                    <xdr:rowOff>0</xdr:rowOff>
                  </to>
                </anchor>
              </controlPr>
            </control>
          </mc:Choice>
        </mc:AlternateContent>
        <mc:AlternateContent xmlns:mc="http://schemas.openxmlformats.org/markup-compatibility/2006">
          <mc:Choice Requires="x14">
            <control shapeId="159964" r:id="rId159" name="Option Button 220">
              <controlPr defaultSize="0" autoFill="0" autoLine="0" autoPict="0">
                <anchor moveWithCells="1">
                  <from>
                    <xdr:col>7</xdr:col>
                    <xdr:colOff>114300</xdr:colOff>
                    <xdr:row>113</xdr:row>
                    <xdr:rowOff>144780</xdr:rowOff>
                  </from>
                  <to>
                    <xdr:col>7</xdr:col>
                    <xdr:colOff>1950720</xdr:colOff>
                    <xdr:row>113</xdr:row>
                    <xdr:rowOff>320040</xdr:rowOff>
                  </to>
                </anchor>
              </controlPr>
            </control>
          </mc:Choice>
        </mc:AlternateContent>
        <mc:AlternateContent xmlns:mc="http://schemas.openxmlformats.org/markup-compatibility/2006">
          <mc:Choice Requires="x14">
            <control shapeId="159965" r:id="rId160" name="Option Button 221">
              <controlPr defaultSize="0" autoFill="0" autoLine="0" autoPict="0">
                <anchor moveWithCells="1">
                  <from>
                    <xdr:col>7</xdr:col>
                    <xdr:colOff>114300</xdr:colOff>
                    <xdr:row>113</xdr:row>
                    <xdr:rowOff>396240</xdr:rowOff>
                  </from>
                  <to>
                    <xdr:col>7</xdr:col>
                    <xdr:colOff>1950720</xdr:colOff>
                    <xdr:row>113</xdr:row>
                    <xdr:rowOff>586740</xdr:rowOff>
                  </to>
                </anchor>
              </controlPr>
            </control>
          </mc:Choice>
        </mc:AlternateContent>
        <mc:AlternateContent xmlns:mc="http://schemas.openxmlformats.org/markup-compatibility/2006">
          <mc:Choice Requires="x14">
            <control shapeId="159966" r:id="rId161" name="Option Button 222">
              <controlPr defaultSize="0" autoFill="0" autoLine="0" autoPict="0">
                <anchor moveWithCells="1">
                  <from>
                    <xdr:col>7</xdr:col>
                    <xdr:colOff>114300</xdr:colOff>
                    <xdr:row>113</xdr:row>
                    <xdr:rowOff>640080</xdr:rowOff>
                  </from>
                  <to>
                    <xdr:col>7</xdr:col>
                    <xdr:colOff>1950720</xdr:colOff>
                    <xdr:row>113</xdr:row>
                    <xdr:rowOff>830580</xdr:rowOff>
                  </to>
                </anchor>
              </controlPr>
            </control>
          </mc:Choice>
        </mc:AlternateContent>
        <mc:AlternateContent xmlns:mc="http://schemas.openxmlformats.org/markup-compatibility/2006">
          <mc:Choice Requires="x14">
            <control shapeId="159952" r:id="rId162" name="Option Button 223">
              <controlPr defaultSize="0" autoFill="0" autoLine="0" autoPict="0">
                <anchor moveWithCells="1">
                  <from>
                    <xdr:col>7</xdr:col>
                    <xdr:colOff>114300</xdr:colOff>
                    <xdr:row>113</xdr:row>
                    <xdr:rowOff>922020</xdr:rowOff>
                  </from>
                  <to>
                    <xdr:col>7</xdr:col>
                    <xdr:colOff>1950720</xdr:colOff>
                    <xdr:row>113</xdr:row>
                    <xdr:rowOff>1112520</xdr:rowOff>
                  </to>
                </anchor>
              </controlPr>
            </control>
          </mc:Choice>
        </mc:AlternateContent>
        <mc:AlternateContent xmlns:mc="http://schemas.openxmlformats.org/markup-compatibility/2006">
          <mc:Choice Requires="x14">
            <control shapeId="159953" r:id="rId163" name="Group Box 224">
              <controlPr defaultSize="0" autoFill="0" autoPict="0">
                <anchor moveWithCells="1">
                  <from>
                    <xdr:col>7</xdr:col>
                    <xdr:colOff>0</xdr:colOff>
                    <xdr:row>113</xdr:row>
                    <xdr:rowOff>0</xdr:rowOff>
                  </from>
                  <to>
                    <xdr:col>8</xdr:col>
                    <xdr:colOff>0</xdr:colOff>
                    <xdr:row>114</xdr:row>
                    <xdr:rowOff>0</xdr:rowOff>
                  </to>
                </anchor>
              </controlPr>
            </control>
          </mc:Choice>
        </mc:AlternateContent>
        <mc:AlternateContent xmlns:mc="http://schemas.openxmlformats.org/markup-compatibility/2006">
          <mc:Choice Requires="x14">
            <control shapeId="159970" r:id="rId164" name="Option Button 225">
              <controlPr defaultSize="0" autoFill="0" autoLine="0" autoPict="0" altText="Case d'option 47">
                <anchor moveWithCells="1">
                  <from>
                    <xdr:col>7</xdr:col>
                    <xdr:colOff>106680</xdr:colOff>
                    <xdr:row>112</xdr:row>
                    <xdr:rowOff>76200</xdr:rowOff>
                  </from>
                  <to>
                    <xdr:col>7</xdr:col>
                    <xdr:colOff>1493520</xdr:colOff>
                    <xdr:row>112</xdr:row>
                    <xdr:rowOff>289560</xdr:rowOff>
                  </to>
                </anchor>
              </controlPr>
            </control>
          </mc:Choice>
        </mc:AlternateContent>
        <mc:AlternateContent xmlns:mc="http://schemas.openxmlformats.org/markup-compatibility/2006">
          <mc:Choice Requires="x14">
            <control shapeId="159976" r:id="rId165" name="Option Button 226">
              <controlPr defaultSize="0" autoFill="0" autoLine="0" autoPict="0">
                <anchor moveWithCells="1">
                  <from>
                    <xdr:col>7</xdr:col>
                    <xdr:colOff>106680</xdr:colOff>
                    <xdr:row>112</xdr:row>
                    <xdr:rowOff>342900</xdr:rowOff>
                  </from>
                  <to>
                    <xdr:col>7</xdr:col>
                    <xdr:colOff>1950720</xdr:colOff>
                    <xdr:row>112</xdr:row>
                    <xdr:rowOff>563880</xdr:rowOff>
                  </to>
                </anchor>
              </controlPr>
            </control>
          </mc:Choice>
        </mc:AlternateContent>
        <mc:AlternateContent xmlns:mc="http://schemas.openxmlformats.org/markup-compatibility/2006">
          <mc:Choice Requires="x14">
            <control shapeId="159971" r:id="rId166" name="Option Button 227">
              <controlPr defaultSize="0" autoFill="0" autoLine="0" autoPict="0">
                <anchor moveWithCells="1">
                  <from>
                    <xdr:col>7</xdr:col>
                    <xdr:colOff>106680</xdr:colOff>
                    <xdr:row>112</xdr:row>
                    <xdr:rowOff>647700</xdr:rowOff>
                  </from>
                  <to>
                    <xdr:col>7</xdr:col>
                    <xdr:colOff>1950720</xdr:colOff>
                    <xdr:row>112</xdr:row>
                    <xdr:rowOff>845820</xdr:rowOff>
                  </to>
                </anchor>
              </controlPr>
            </control>
          </mc:Choice>
        </mc:AlternateContent>
        <mc:AlternateContent xmlns:mc="http://schemas.openxmlformats.org/markup-compatibility/2006">
          <mc:Choice Requires="x14">
            <control shapeId="159972" r:id="rId167" name="Option Button 228">
              <controlPr defaultSize="0" autoFill="0" autoLine="0" autoPict="0">
                <anchor moveWithCells="1">
                  <from>
                    <xdr:col>7</xdr:col>
                    <xdr:colOff>106680</xdr:colOff>
                    <xdr:row>112</xdr:row>
                    <xdr:rowOff>922020</xdr:rowOff>
                  </from>
                  <to>
                    <xdr:col>7</xdr:col>
                    <xdr:colOff>937260</xdr:colOff>
                    <xdr:row>112</xdr:row>
                    <xdr:rowOff>1127760</xdr:rowOff>
                  </to>
                </anchor>
              </controlPr>
            </control>
          </mc:Choice>
        </mc:AlternateContent>
        <mc:AlternateContent xmlns:mc="http://schemas.openxmlformats.org/markup-compatibility/2006">
          <mc:Choice Requires="x14">
            <control shapeId="159973" r:id="rId168" name="Group Box 229">
              <controlPr defaultSize="0" autoFill="0" autoPict="0">
                <anchor moveWithCells="1">
                  <from>
                    <xdr:col>7</xdr:col>
                    <xdr:colOff>0</xdr:colOff>
                    <xdr:row>112</xdr:row>
                    <xdr:rowOff>0</xdr:rowOff>
                  </from>
                  <to>
                    <xdr:col>8</xdr:col>
                    <xdr:colOff>0</xdr:colOff>
                    <xdr:row>113</xdr:row>
                    <xdr:rowOff>0</xdr:rowOff>
                  </to>
                </anchor>
              </controlPr>
            </control>
          </mc:Choice>
        </mc:AlternateContent>
        <mc:AlternateContent xmlns:mc="http://schemas.openxmlformats.org/markup-compatibility/2006">
          <mc:Choice Requires="x14">
            <control shapeId="159974" r:id="rId169" name="Option Button 230">
              <controlPr defaultSize="0" autoFill="0" autoLine="0" autoPict="0" altText="Case d'option 47">
                <anchor moveWithCells="1">
                  <from>
                    <xdr:col>7</xdr:col>
                    <xdr:colOff>106680</xdr:colOff>
                    <xdr:row>111</xdr:row>
                    <xdr:rowOff>68580</xdr:rowOff>
                  </from>
                  <to>
                    <xdr:col>7</xdr:col>
                    <xdr:colOff>1501140</xdr:colOff>
                    <xdr:row>111</xdr:row>
                    <xdr:rowOff>259080</xdr:rowOff>
                  </to>
                </anchor>
              </controlPr>
            </control>
          </mc:Choice>
        </mc:AlternateContent>
        <mc:AlternateContent xmlns:mc="http://schemas.openxmlformats.org/markup-compatibility/2006">
          <mc:Choice Requires="x14">
            <control shapeId="159975" r:id="rId170" name="Option Button 231">
              <controlPr defaultSize="0" autoFill="0" autoLine="0" autoPict="0">
                <anchor moveWithCells="1">
                  <from>
                    <xdr:col>7</xdr:col>
                    <xdr:colOff>106680</xdr:colOff>
                    <xdr:row>111</xdr:row>
                    <xdr:rowOff>304800</xdr:rowOff>
                  </from>
                  <to>
                    <xdr:col>7</xdr:col>
                    <xdr:colOff>1950720</xdr:colOff>
                    <xdr:row>111</xdr:row>
                    <xdr:rowOff>502920</xdr:rowOff>
                  </to>
                </anchor>
              </controlPr>
            </control>
          </mc:Choice>
        </mc:AlternateContent>
        <mc:AlternateContent xmlns:mc="http://schemas.openxmlformats.org/markup-compatibility/2006">
          <mc:Choice Requires="x14">
            <control shapeId="159979" r:id="rId171" name="Option Button 232">
              <controlPr defaultSize="0" autoFill="0" autoLine="0" autoPict="0">
                <anchor moveWithCells="1">
                  <from>
                    <xdr:col>7</xdr:col>
                    <xdr:colOff>106680</xdr:colOff>
                    <xdr:row>111</xdr:row>
                    <xdr:rowOff>579120</xdr:rowOff>
                  </from>
                  <to>
                    <xdr:col>7</xdr:col>
                    <xdr:colOff>1958340</xdr:colOff>
                    <xdr:row>111</xdr:row>
                    <xdr:rowOff>754380</xdr:rowOff>
                  </to>
                </anchor>
              </controlPr>
            </control>
          </mc:Choice>
        </mc:AlternateContent>
        <mc:AlternateContent xmlns:mc="http://schemas.openxmlformats.org/markup-compatibility/2006">
          <mc:Choice Requires="x14">
            <control shapeId="159977" r:id="rId172" name="Option Button 233">
              <controlPr defaultSize="0" autoFill="0" autoLine="0" autoPict="0">
                <anchor moveWithCells="1">
                  <from>
                    <xdr:col>7</xdr:col>
                    <xdr:colOff>106680</xdr:colOff>
                    <xdr:row>111</xdr:row>
                    <xdr:rowOff>822960</xdr:rowOff>
                  </from>
                  <to>
                    <xdr:col>7</xdr:col>
                    <xdr:colOff>937260</xdr:colOff>
                    <xdr:row>111</xdr:row>
                    <xdr:rowOff>1005840</xdr:rowOff>
                  </to>
                </anchor>
              </controlPr>
            </control>
          </mc:Choice>
        </mc:AlternateContent>
        <mc:AlternateContent xmlns:mc="http://schemas.openxmlformats.org/markup-compatibility/2006">
          <mc:Choice Requires="x14">
            <control shapeId="159978" r:id="rId173" name="Group Box 234">
              <controlPr defaultSize="0" autoFill="0" autoPict="0">
                <anchor moveWithCells="1">
                  <from>
                    <xdr:col>7</xdr:col>
                    <xdr:colOff>0</xdr:colOff>
                    <xdr:row>111</xdr:row>
                    <xdr:rowOff>0</xdr:rowOff>
                  </from>
                  <to>
                    <xdr:col>8</xdr:col>
                    <xdr:colOff>0</xdr:colOff>
                    <xdr:row>112</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195A-2ED2-4EF8-912E-99ABEA11B038}">
  <sheetPr codeName="Feuil33">
    <tabColor rgb="FF45413F"/>
  </sheetPr>
  <dimension ref="A1:AI74"/>
  <sheetViews>
    <sheetView showGridLines="0" showRowColHeaders="0" zoomScale="52" zoomScaleNormal="52" workbookViewId="0">
      <selection activeCell="BI6" sqref="BI6:BJ6"/>
    </sheetView>
  </sheetViews>
  <sheetFormatPr baseColWidth="10" defaultColWidth="8.88671875" defaultRowHeight="14.4" x14ac:dyDescent="0.3"/>
  <cols>
    <col min="1" max="2" width="5.77734375" style="31" customWidth="1"/>
    <col min="3" max="5" width="5.77734375" style="31" hidden="1" customWidth="1"/>
    <col min="6" max="6" width="25.554687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33"/>
      <c r="B1" s="231" t="s">
        <v>568</v>
      </c>
      <c r="C1" s="233"/>
      <c r="D1" s="233"/>
      <c r="E1" s="110"/>
      <c r="F1" s="110"/>
      <c r="G1" s="110"/>
      <c r="H1" s="110"/>
      <c r="I1" s="110"/>
      <c r="J1" s="234"/>
      <c r="K1" s="235"/>
      <c r="L1" s="110"/>
      <c r="M1" s="110"/>
      <c r="N1" s="236"/>
      <c r="O1" s="236"/>
      <c r="P1" s="236"/>
      <c r="Q1" s="236" t="str">
        <f>VLOOKUP($E$27,BDD!$A$2:$N$567,3,FALSE)</f>
        <v>Prestataires &amp; fournisseurs</v>
      </c>
      <c r="R1" s="109"/>
      <c r="S1" s="113"/>
      <c r="T1" s="113"/>
      <c r="U1" s="113"/>
      <c r="V1" s="113"/>
      <c r="W1" s="113"/>
      <c r="X1" s="113"/>
      <c r="Y1" s="113"/>
      <c r="Z1" s="113"/>
      <c r="AA1" s="113"/>
      <c r="AB1" s="113"/>
      <c r="AC1" s="113"/>
      <c r="AD1" s="113"/>
      <c r="AE1" s="113"/>
      <c r="AF1" s="113"/>
      <c r="AG1" s="113"/>
      <c r="AH1" s="113"/>
      <c r="AI1" s="30"/>
    </row>
    <row r="2" spans="1:35" ht="45" customHeight="1" x14ac:dyDescent="0.3">
      <c r="A2" s="109"/>
      <c r="B2" s="109"/>
      <c r="C2" s="109"/>
      <c r="D2" s="109"/>
      <c r="E2" s="109"/>
      <c r="F2" s="109"/>
      <c r="G2" s="109"/>
      <c r="H2" s="109"/>
      <c r="I2" s="109"/>
      <c r="J2" s="109"/>
      <c r="K2" s="109"/>
      <c r="L2" s="109"/>
      <c r="M2" s="109"/>
      <c r="N2" s="114"/>
      <c r="O2" s="114"/>
      <c r="P2" s="114"/>
      <c r="Q2" s="114" t="str">
        <f>VLOOKUP($E$27,BDD!$A$2:$N$567,4,FALSE)</f>
        <v>Piloter les relations avec les fournisseurs de services et de solutions numériques</v>
      </c>
      <c r="R2" s="109"/>
      <c r="S2" s="115"/>
      <c r="T2" s="115"/>
      <c r="U2" s="115"/>
      <c r="V2" s="115"/>
      <c r="W2" s="115"/>
      <c r="X2" s="115"/>
      <c r="Y2" s="115"/>
      <c r="Z2" s="115"/>
      <c r="AA2" s="115"/>
      <c r="AB2" s="115"/>
      <c r="AC2" s="115"/>
      <c r="AD2" s="115"/>
      <c r="AE2" s="115"/>
      <c r="AF2" s="115"/>
      <c r="AG2" s="115"/>
      <c r="AH2" s="115"/>
      <c r="AI2" s="30"/>
    </row>
    <row r="3" spans="1:35" ht="45" customHeight="1" thickBot="1" x14ac:dyDescent="0.35">
      <c r="A3" s="112"/>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112"/>
      <c r="AI3" s="30"/>
    </row>
    <row r="4" spans="1:35" ht="26.4" thickBot="1" x14ac:dyDescent="0.55000000000000004">
      <c r="A4" s="112"/>
      <c r="B4" s="30"/>
      <c r="C4" s="30"/>
      <c r="D4" s="30"/>
      <c r="E4" s="30"/>
      <c r="F4" s="30"/>
      <c r="G4" s="36" t="s">
        <v>1</v>
      </c>
      <c r="H4" s="34"/>
      <c r="I4" s="32"/>
      <c r="J4" s="34"/>
      <c r="K4" s="34"/>
      <c r="L4" s="34"/>
      <c r="M4" s="34"/>
      <c r="N4" s="30"/>
      <c r="O4" s="30"/>
      <c r="P4" s="30"/>
      <c r="Q4" s="30"/>
      <c r="R4" s="30"/>
      <c r="S4" s="30"/>
      <c r="T4" s="30"/>
      <c r="U4" s="242"/>
      <c r="V4" s="242"/>
      <c r="W4" s="122" t="s">
        <v>0</v>
      </c>
      <c r="X4" s="242"/>
      <c r="Y4" s="30"/>
      <c r="Z4" s="30"/>
      <c r="AA4" s="417"/>
      <c r="AB4" s="418" t="s">
        <v>1079</v>
      </c>
      <c r="AC4" s="30"/>
      <c r="AD4" s="30"/>
      <c r="AE4" s="30"/>
      <c r="AF4" s="35"/>
      <c r="AG4" s="35"/>
      <c r="AH4" s="117"/>
      <c r="AI4" s="30"/>
    </row>
    <row r="5" spans="1:35" ht="30" customHeight="1" thickBot="1" x14ac:dyDescent="0.35">
      <c r="A5" s="112"/>
      <c r="B5" s="30"/>
      <c r="C5" s="30"/>
      <c r="D5" s="30"/>
      <c r="E5" s="30" t="str">
        <f>$C$25&amp;"11"</f>
        <v>1111</v>
      </c>
      <c r="F5" s="30"/>
      <c r="G5" s="196" t="str">
        <f>IF(VLOOKUP(E5,BDD!$A$2:$N$567,13,FALSE)=0,"",VLOOKUP(E5,BDD!$A$2:$N$567,13,FALSE))</f>
        <v>Optimiser les objectifs d'efficacité, de coût, d'indépendance, et d'avantage concurrentiel grâce au numérique par le biais d’une stratégie “make or buy”.</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112"/>
      <c r="AI5" s="30"/>
    </row>
    <row r="6" spans="1:35" ht="30" customHeight="1" x14ac:dyDescent="0.3">
      <c r="A6" s="116"/>
      <c r="B6" s="38"/>
      <c r="C6" s="38"/>
      <c r="D6" s="38"/>
      <c r="E6" s="38" t="str">
        <f>$C$25&amp;"12"</f>
        <v>1112</v>
      </c>
      <c r="F6" s="38"/>
      <c r="G6" s="196" t="str">
        <f>IF(VLOOKUP(E6,BDD!$A$2:$N$567,13,FALSE)=0,"",VLOOKUP(E6,BDD!$A$2:$N$567,13,FALSE))</f>
        <v>Garantir le niveau de qualité et la maîtrise des coûts des services externalisés.</v>
      </c>
      <c r="H6" s="39"/>
      <c r="I6" s="32"/>
      <c r="K6" s="39"/>
      <c r="L6" s="538"/>
      <c r="M6" s="539"/>
      <c r="N6" s="540"/>
      <c r="O6" s="541"/>
      <c r="P6" s="541"/>
      <c r="Q6" s="541"/>
      <c r="R6" s="541"/>
      <c r="S6" s="541"/>
      <c r="T6" s="541"/>
      <c r="U6" s="541"/>
      <c r="V6" s="541"/>
      <c r="W6" s="541"/>
      <c r="X6" s="541"/>
      <c r="Y6" s="541"/>
      <c r="Z6" s="541"/>
      <c r="AA6" s="541"/>
      <c r="AB6" s="542"/>
      <c r="AC6" s="35"/>
      <c r="AD6" s="35"/>
      <c r="AE6" s="35"/>
      <c r="AF6" s="32"/>
      <c r="AG6" s="32"/>
      <c r="AH6" s="118"/>
      <c r="AI6" s="38"/>
    </row>
    <row r="7" spans="1:35" ht="45.6" customHeight="1" thickBot="1" x14ac:dyDescent="0.35">
      <c r="A7" s="116"/>
      <c r="B7" s="38"/>
      <c r="C7" s="38"/>
      <c r="D7" s="38"/>
      <c r="E7" s="38" t="str">
        <f>$C$25&amp;"13"</f>
        <v>1113</v>
      </c>
      <c r="F7" s="38"/>
      <c r="G7" s="196" t="str">
        <f>IF(VLOOKUP(E7,BDD!$A$2:$N$567,13,FALSE)=0,"",VLOOKUP(E7,BDD!$A$2:$N$567,13,FALSE))</f>
        <v>Gagner en flexibilité d’ajustement de ses capacités (compétences et ressources) aux variations de charges liées à l'activité ou aux projets, en s’appuyant sur l’écosystème de prestataires et de fournisseurs.</v>
      </c>
      <c r="H7" s="39"/>
      <c r="I7" s="32"/>
      <c r="K7" s="39"/>
      <c r="L7" s="543"/>
      <c r="M7" s="544"/>
      <c r="N7" s="420" t="s">
        <v>2</v>
      </c>
      <c r="O7" s="421" t="s">
        <v>3</v>
      </c>
      <c r="P7" s="421" t="s">
        <v>4</v>
      </c>
      <c r="Q7" s="421" t="s">
        <v>5</v>
      </c>
      <c r="R7" s="421" t="s">
        <v>6</v>
      </c>
      <c r="S7" s="421" t="s">
        <v>7</v>
      </c>
      <c r="T7" s="421" t="s">
        <v>8</v>
      </c>
      <c r="U7" s="421" t="s">
        <v>9</v>
      </c>
      <c r="V7" s="545"/>
      <c r="W7" s="460" t="s">
        <v>10</v>
      </c>
      <c r="X7" s="461" t="s">
        <v>11</v>
      </c>
      <c r="Y7" s="546"/>
      <c r="Z7" s="463" t="s">
        <v>12</v>
      </c>
      <c r="AA7" s="464" t="s">
        <v>13</v>
      </c>
      <c r="AB7" s="547"/>
      <c r="AC7" s="40"/>
      <c r="AD7" s="637" t="s">
        <v>14</v>
      </c>
      <c r="AE7" s="41" t="s">
        <v>15</v>
      </c>
      <c r="AF7" s="32"/>
      <c r="AG7" s="32"/>
      <c r="AH7" s="118"/>
      <c r="AI7" s="38"/>
    </row>
    <row r="8" spans="1:35" ht="44.4" customHeight="1" x14ac:dyDescent="0.3">
      <c r="A8" s="116"/>
      <c r="B8" s="38"/>
      <c r="C8" s="38"/>
      <c r="D8" s="38"/>
      <c r="E8" s="38" t="str">
        <f>$C$25&amp;"14"</f>
        <v>1114</v>
      </c>
      <c r="F8" s="38"/>
      <c r="G8" s="196" t="str">
        <f>IF(VLOOKUP(E8,BDD!$A$2:$N$567,13,FALSE)=0,"",VLOOKUP(E8,BDD!$A$2:$N$567,13,FALSE))</f>
        <v>Accélérer le time-to-market des projets de l’entreprise et favoriser l'innovation, à travers l'acquisition de solutions et services adaptés et pérennes, en tenant compte des ressources internes (RH, finance, ...).</v>
      </c>
      <c r="H8" s="39"/>
      <c r="I8" s="32"/>
      <c r="K8" s="39"/>
      <c r="L8" s="543"/>
      <c r="M8" s="419" t="str">
        <f>IF(LEFT(RIGHT($B$1,2),1)=" ",RIGHT($B$1,1),RIGHT($B$1,2))&amp;1</f>
        <v>111</v>
      </c>
      <c r="N8" s="422" t="str">
        <f>RIGHT(M8,1)&amp;" : "&amp;VLOOKUP($M8&amp;"1",BDD!$A$2:$N$567,6,FALSE)</f>
        <v>1 : Stratégie et gouvernance</v>
      </c>
      <c r="O8" s="423" t="str">
        <f>IF(VLOOKUP($M8&amp;RIGHT(O$7,1),BDD!$A$1:$S$600,15,FALSE)=4,"NE",IF(VLOOKUP($M8&amp;RIGHT(O$7,1),BDD!$A$1:$S$600,15,FALSE)=0,"NE",VLOOKUP($M8&amp;RIGHT(O$7,1),BDD!$A$1:$S$600,15,FALSE)))</f>
        <v>NE</v>
      </c>
      <c r="P8" s="423" t="str">
        <f>IF(VLOOKUP($M8&amp;RIGHT(P$7,1),BDD!$A$1:$S$600,15,FALSE)=4,"NE",IF(VLOOKUP($M8&amp;RIGHT(P$7,1),BDD!$A$1:$S$600,15,FALSE)=0,"NE",VLOOKUP($M8&amp;RIGHT(P$7,1),BDD!$A$1:$S$600,15,FALSE)))</f>
        <v>NE</v>
      </c>
      <c r="Q8" s="475"/>
      <c r="R8" s="475"/>
      <c r="S8" s="475"/>
      <c r="T8" s="475"/>
      <c r="U8" s="475"/>
      <c r="V8" s="545"/>
      <c r="W8" s="441" t="s">
        <v>16</v>
      </c>
      <c r="X8" s="442"/>
      <c r="Y8" s="548"/>
      <c r="Z8" s="468">
        <f>O25</f>
        <v>0</v>
      </c>
      <c r="AA8" s="469">
        <f>S25</f>
        <v>0</v>
      </c>
      <c r="AB8" s="547"/>
      <c r="AC8" s="40"/>
      <c r="AD8" s="638"/>
      <c r="AE8" s="44" t="s">
        <v>17</v>
      </c>
      <c r="AF8" s="32"/>
      <c r="AG8" s="32"/>
      <c r="AH8" s="118"/>
      <c r="AI8" s="38"/>
    </row>
    <row r="9" spans="1:35" ht="30" customHeight="1" x14ac:dyDescent="0.3">
      <c r="A9" s="116"/>
      <c r="B9" s="38"/>
      <c r="C9" s="38"/>
      <c r="D9" s="38"/>
      <c r="E9" s="38" t="str">
        <f>$C$25&amp;"15"</f>
        <v>1115</v>
      </c>
      <c r="F9" s="38"/>
      <c r="G9" s="196" t="str">
        <f>IF(VLOOKUP(E9,BDD!$A$2:$N$567,13,FALSE)=0,"",VLOOKUP(E9,BDD!$A$2:$N$567,13,FALSE))</f>
        <v/>
      </c>
      <c r="H9" s="39"/>
      <c r="I9" s="32"/>
      <c r="K9" s="39"/>
      <c r="L9" s="543"/>
      <c r="M9" s="419" t="str">
        <f>IF(LEFT(RIGHT($B$1,2),1)=" ",RIGHT($B$1,1),RIGHT($B$1,2))&amp;2</f>
        <v>112</v>
      </c>
      <c r="N9" s="424" t="str">
        <f>RIGHT(M9,1)&amp;" : "&amp;VLOOKUP($M9&amp;"1",BDD!$A$2:$N$567,6,FALSE)</f>
        <v>2 : Etude d'opportunité</v>
      </c>
      <c r="O9" s="425" t="str">
        <f>IF(VLOOKUP($M9&amp;RIGHT(O$7,1),BDD!$A$1:$S$600,15,FALSE)=4,"NE",IF(VLOOKUP($M9&amp;RIGHT(O$7,1),BDD!$A$1:$S$600,15,FALSE)=0,"NE",VLOOKUP($M9&amp;RIGHT(O$7,1),BDD!$A$1:$S$600,15,FALSE)))</f>
        <v>NE</v>
      </c>
      <c r="P9" s="425" t="str">
        <f>IF(VLOOKUP($M9&amp;RIGHT(P$7,1),BDD!$A$1:$S$600,15,FALSE)=4,"NE",IF(VLOOKUP($M9&amp;RIGHT(P$7,1),BDD!$A$1:$S$600,15,FALSE)=0,"NE",VLOOKUP($M9&amp;RIGHT(P$7,1),BDD!$A$1:$S$600,15,FALSE)))</f>
        <v>NE</v>
      </c>
      <c r="Q9" s="425" t="str">
        <f>IF(VLOOKUP($M9&amp;RIGHT(Q$7,1),BDD!$A$1:$S$600,15,FALSE)=4,"NE",IF(VLOOKUP($M9&amp;RIGHT(Q$7,1),BDD!$A$1:$S$600,15,FALSE)=0,"NE",VLOOKUP($M9&amp;RIGHT(Q$7,1),BDD!$A$1:$S$600,15,FALSE)))</f>
        <v>NE</v>
      </c>
      <c r="R9" s="425" t="str">
        <f>IF(VLOOKUP($M9&amp;RIGHT(R$7,1),BDD!$A$1:$S$600,15,FALSE)=4,"NE",IF(VLOOKUP($M9&amp;RIGHT(R$7,1),BDD!$A$1:$S$600,15,FALSE)=0,"NE",VLOOKUP($M9&amp;RIGHT(R$7,1),BDD!$A$1:$S$600,15,FALSE)))</f>
        <v>NE</v>
      </c>
      <c r="S9" s="425" t="str">
        <f>IF(VLOOKUP($M9&amp;RIGHT(S$7,1),BDD!$A$1:$S$600,15,FALSE)=4,"NE",IF(VLOOKUP($M9&amp;RIGHT(S$7,1),BDD!$A$1:$S$600,15,FALSE)=0,"NE",VLOOKUP($M9&amp;RIGHT(S$7,1),BDD!$A$1:$S$600,15,FALSE)))</f>
        <v>NE</v>
      </c>
      <c r="T9" s="425" t="str">
        <f>IF(VLOOKUP($M9&amp;RIGHT(T$7,1),BDD!$A$1:$S$600,15,FALSE)=4,"NE",IF(VLOOKUP($M9&amp;RIGHT(T$7,1),BDD!$A$1:$S$600,15,FALSE)=0,"NE",VLOOKUP($M9&amp;RIGHT(T$7,1),BDD!$A$1:$S$600,15,FALSE)))</f>
        <v>NE</v>
      </c>
      <c r="U9" s="427"/>
      <c r="V9" s="545"/>
      <c r="W9" s="443" t="s">
        <v>16</v>
      </c>
      <c r="X9" s="444"/>
      <c r="Y9" s="549"/>
      <c r="Z9" s="472">
        <f>O29</f>
        <v>0</v>
      </c>
      <c r="AA9" s="473">
        <f>S29</f>
        <v>0</v>
      </c>
      <c r="AB9" s="547"/>
      <c r="AC9" s="40"/>
      <c r="AD9" s="638"/>
      <c r="AE9" s="48" t="s">
        <v>18</v>
      </c>
      <c r="AF9" s="32"/>
      <c r="AG9" s="32"/>
      <c r="AH9" s="118"/>
      <c r="AI9" s="38"/>
    </row>
    <row r="10" spans="1:35" ht="30" customHeight="1" x14ac:dyDescent="0.3">
      <c r="A10" s="116"/>
      <c r="B10" s="38"/>
      <c r="C10" s="38"/>
      <c r="D10" s="38"/>
      <c r="E10" s="38" t="str">
        <f>$C$25&amp;"16"</f>
        <v>1116</v>
      </c>
      <c r="F10" s="38"/>
      <c r="G10" s="243" t="str">
        <f>IF(VLOOKUP(E10,BDD!$A$2:$N$567,13,FALSE)=0,"",VLOOKUP(E10,BDD!$A$2:$N$567,13,FALSE))</f>
        <v/>
      </c>
      <c r="H10" s="39"/>
      <c r="I10" s="32"/>
      <c r="K10" s="39"/>
      <c r="L10" s="543"/>
      <c r="M10" s="419" t="str">
        <f>IF(LEFT(RIGHT($B$1,2),1)=" ",RIGHT($B$1,1),RIGHT($B$1,2))&amp;3</f>
        <v>113</v>
      </c>
      <c r="N10" s="422" t="str">
        <f>RIGHT(M10,1)&amp;" : "&amp;VLOOKUP($M10&amp;"1",BDD!$A$2:$N$567,6,FALSE)</f>
        <v>3 : Sélection et contractualisation</v>
      </c>
      <c r="O10" s="423" t="str">
        <f>IF(VLOOKUP($M10&amp;RIGHT(O$7,1),BDD!$A$1:$S$600,15,FALSE)=4,"NE",IF(VLOOKUP($M10&amp;RIGHT(O$7,1),BDD!$A$1:$S$600,15,FALSE)=0,"NE",VLOOKUP($M10&amp;RIGHT(O$7,1),BDD!$A$1:$S$600,15,FALSE)))</f>
        <v>NE</v>
      </c>
      <c r="P10" s="423" t="str">
        <f>IF(VLOOKUP($M10&amp;RIGHT(P$7,1),BDD!$A$1:$S$600,15,FALSE)=4,"NE",IF(VLOOKUP($M10&amp;RIGHT(P$7,1),BDD!$A$1:$S$600,15,FALSE)=0,"NE",VLOOKUP($M10&amp;RIGHT(P$7,1),BDD!$A$1:$S$600,15,FALSE)))</f>
        <v>NE</v>
      </c>
      <c r="Q10" s="423" t="str">
        <f>IF(VLOOKUP($M10&amp;RIGHT(Q$7,1),BDD!$A$1:$S$600,15,FALSE)=4,"NE",IF(VLOOKUP($M10&amp;RIGHT(Q$7,1),BDD!$A$1:$S$600,15,FALSE)=0,"NE",VLOOKUP($M10&amp;RIGHT(Q$7,1),BDD!$A$1:$S$600,15,FALSE)))</f>
        <v>NE</v>
      </c>
      <c r="R10" s="428" t="str">
        <f>IF(VLOOKUP($M10&amp;RIGHT(R$7,1),BDD!$A$1:$S$600,15,FALSE)=4,"NE",IF(VLOOKUP($M10&amp;RIGHT(R$7,1),BDD!$A$1:$S$600,15,FALSE)=0,"NE",VLOOKUP($M10&amp;RIGHT(R$7,1),BDD!$A$1:$S$600,15,FALSE)))</f>
        <v>NE</v>
      </c>
      <c r="S10" s="423" t="str">
        <f>IF(VLOOKUP($M10&amp;RIGHT(S$7,1),BDD!$A$1:$S$600,15,FALSE)=4,"NE",IF(VLOOKUP($M10&amp;RIGHT(S$7,1),BDD!$A$1:$S$600,15,FALSE)=0,"NE",VLOOKUP($M10&amp;RIGHT(S$7,1),BDD!$A$1:$S$600,15,FALSE)))</f>
        <v>NE</v>
      </c>
      <c r="T10" s="475"/>
      <c r="U10" s="430"/>
      <c r="V10" s="545"/>
      <c r="W10" s="445" t="s">
        <v>16</v>
      </c>
      <c r="X10" s="446"/>
      <c r="Y10" s="548"/>
      <c r="Z10" s="468">
        <f>O37</f>
        <v>0</v>
      </c>
      <c r="AA10" s="469">
        <f>S37</f>
        <v>0</v>
      </c>
      <c r="AB10" s="547"/>
      <c r="AC10" s="40"/>
      <c r="AD10" s="638"/>
      <c r="AE10" s="53" t="s">
        <v>19</v>
      </c>
      <c r="AF10" s="51"/>
      <c r="AG10" s="52"/>
      <c r="AH10" s="119"/>
      <c r="AI10" s="38"/>
    </row>
    <row r="11" spans="1:35" ht="30" customHeight="1" x14ac:dyDescent="0.3">
      <c r="A11" s="112"/>
      <c r="B11" s="30"/>
      <c r="C11" s="30"/>
      <c r="D11" s="30"/>
      <c r="E11" s="30" t="str">
        <f>$C$25&amp;"17"</f>
        <v>1117</v>
      </c>
      <c r="F11" s="30"/>
      <c r="G11" s="31" t="str">
        <f>IF(VLOOKUP(E11,BDD!$A$2:$N$567,13,FALSE)=0,"",VLOOKUP(E11,BDD!$A$2:$N$567,13,FALSE))</f>
        <v/>
      </c>
      <c r="H11" s="52"/>
      <c r="I11" s="32"/>
      <c r="K11" s="52"/>
      <c r="L11" s="550"/>
      <c r="M11" s="419" t="str">
        <f>IF(LEFT(RIGHT($B$1,2),1)=" ",RIGHT($B$1,1),RIGHT($B$1,2))&amp;4</f>
        <v>114</v>
      </c>
      <c r="N11" s="424" t="str">
        <f>RIGHT(M11,1)&amp;" : "&amp;VLOOKUP($M11&amp;"1",BDD!$A$2:$N$567,6,FALSE)</f>
        <v xml:space="preserve">4 : Conduite du changement </v>
      </c>
      <c r="O11" s="425" t="str">
        <f>IF(VLOOKUP($M11&amp;RIGHT(O$7,1),BDD!$A$1:$S$600,15,FALSE)=4,"NE",IF(VLOOKUP($M11&amp;RIGHT(O$7,1),BDD!$A$1:$S$600,15,FALSE)=0,"NE",VLOOKUP($M11&amp;RIGHT(O$7,1),BDD!$A$1:$S$600,15,FALSE)))</f>
        <v>NE</v>
      </c>
      <c r="P11" s="425" t="str">
        <f>IF(VLOOKUP($M11&amp;RIGHT(P$7,1),BDD!$A$1:$S$600,15,FALSE)=4,"NE",IF(VLOOKUP($M11&amp;RIGHT(P$7,1),BDD!$A$1:$S$600,15,FALSE)=0,"NE",VLOOKUP($M11&amp;RIGHT(P$7,1),BDD!$A$1:$S$600,15,FALSE)))</f>
        <v>NE</v>
      </c>
      <c r="Q11" s="425" t="str">
        <f>IF(VLOOKUP($M11&amp;RIGHT(Q$7,1),BDD!$A$1:$S$600,15,FALSE)=4,"NE",IF(VLOOKUP($M11&amp;RIGHT(Q$7,1),BDD!$A$1:$S$600,15,FALSE)=0,"NE",VLOOKUP($M11&amp;RIGHT(Q$7,1),BDD!$A$1:$S$600,15,FALSE)))</f>
        <v>NE</v>
      </c>
      <c r="R11" s="425" t="str">
        <f>IF(VLOOKUP($M11&amp;RIGHT(R$7,1),BDD!$A$1:$S$600,15,FALSE)=4,"NE",IF(VLOOKUP($M11&amp;RIGHT(R$7,1),BDD!$A$1:$S$600,15,FALSE)=0,"NE",VLOOKUP($M11&amp;RIGHT(R$7,1),BDD!$A$1:$S$600,15,FALSE)))</f>
        <v>NE</v>
      </c>
      <c r="S11" s="425" t="str">
        <f>IF(VLOOKUP($M11&amp;RIGHT(S$7,1),BDD!$A$1:$S$600,15,FALSE)=4,"NE",IF(VLOOKUP($M11&amp;RIGHT(S$7,1),BDD!$A$1:$S$600,15,FALSE)=0,"NE",VLOOKUP($M11&amp;RIGHT(S$7,1),BDD!$A$1:$S$600,15,FALSE)))</f>
        <v>NE</v>
      </c>
      <c r="T11" s="426"/>
      <c r="U11" s="427"/>
      <c r="V11" s="545"/>
      <c r="W11" s="443" t="s">
        <v>16</v>
      </c>
      <c r="X11" s="444"/>
      <c r="Y11" s="548"/>
      <c r="Z11" s="472">
        <f>O44</f>
        <v>0</v>
      </c>
      <c r="AA11" s="473">
        <f>S44</f>
        <v>0</v>
      </c>
      <c r="AB11" s="547"/>
      <c r="AC11" s="40"/>
      <c r="AD11" s="212"/>
      <c r="AF11" s="51"/>
      <c r="AG11" s="52"/>
      <c r="AH11" s="119"/>
      <c r="AI11" s="30"/>
    </row>
    <row r="12" spans="1:35" ht="30" customHeight="1" x14ac:dyDescent="0.3">
      <c r="A12" s="112"/>
      <c r="B12" s="30"/>
      <c r="C12" s="30"/>
      <c r="D12" s="30"/>
      <c r="E12" s="30"/>
      <c r="F12" s="30"/>
      <c r="G12" s="54" t="s">
        <v>20</v>
      </c>
      <c r="H12" s="32"/>
      <c r="I12" s="32"/>
      <c r="K12" s="32"/>
      <c r="L12" s="551"/>
      <c r="M12" s="419" t="str">
        <f>IF(LEFT(RIGHT($B$1,2),1)=" ",RIGHT($B$1,1),RIGHT($B$1,2))&amp;5</f>
        <v>115</v>
      </c>
      <c r="N12" s="422" t="str">
        <f>RIGHT(M12,1)&amp;" : "&amp;VLOOKUP($M12&amp;"1",BDD!$A$2:$N$567,6,FALSE)</f>
        <v>5 : Pilotage des services externalisés et des prestations</v>
      </c>
      <c r="O12" s="423" t="str">
        <f>IF(VLOOKUP($M12&amp;RIGHT(O$7,1),BDD!$A$1:$S$600,15,FALSE)=4,"NE",IF(VLOOKUP($M12&amp;RIGHT(O$7,1),BDD!$A$1:$S$600,15,FALSE)=0,"NE",VLOOKUP($M12&amp;RIGHT(O$7,1),BDD!$A$1:$S$600,15,FALSE)))</f>
        <v>NE</v>
      </c>
      <c r="P12" s="423" t="str">
        <f>IF(VLOOKUP($M12&amp;RIGHT(P$7,1),BDD!$A$1:$S$600,15,FALSE)=4,"NE",IF(VLOOKUP($M12&amp;RIGHT(P$7,1),BDD!$A$1:$S$600,15,FALSE)=0,"NE",VLOOKUP($M12&amp;RIGHT(P$7,1),BDD!$A$1:$S$600,15,FALSE)))</f>
        <v>NE</v>
      </c>
      <c r="Q12" s="423" t="str">
        <f>IF(VLOOKUP($M12&amp;RIGHT(Q$7,1),BDD!$A$1:$S$600,15,FALSE)=4,"NE",IF(VLOOKUP($M12&amp;RIGHT(Q$7,1),BDD!$A$1:$S$600,15,FALSE)=0,"NE",VLOOKUP($M12&amp;RIGHT(Q$7,1),BDD!$A$1:$S$600,15,FALSE)))</f>
        <v>NE</v>
      </c>
      <c r="R12" s="423" t="str">
        <f>IF(VLOOKUP($M12&amp;RIGHT(R$7,1),BDD!$A$1:$S$600,15,FALSE)=4,"NE",IF(VLOOKUP($M12&amp;RIGHT(R$7,1),BDD!$A$1:$S$600,15,FALSE)=0,"NE",VLOOKUP($M12&amp;RIGHT(R$7,1),BDD!$A$1:$S$600,15,FALSE)))</f>
        <v>NE</v>
      </c>
      <c r="S12" s="423" t="str">
        <f>IF(VLOOKUP($M12&amp;RIGHT(S$7,1),BDD!$A$1:$S$600,15,FALSE)=4,"NE",IF(VLOOKUP($M12&amp;RIGHT(S$7,1),BDD!$A$1:$S$600,15,FALSE)=0,"NE",VLOOKUP($M12&amp;RIGHT(S$7,1),BDD!$A$1:$S$600,15,FALSE)))</f>
        <v>NE</v>
      </c>
      <c r="T12" s="423" t="str">
        <f>IF(VLOOKUP($M12&amp;RIGHT(T$7,1),BDD!$A$1:$S$600,15,FALSE)=4,"NE",IF(VLOOKUP($M12&amp;RIGHT(T$7,1),BDD!$A$1:$S$600,15,FALSE)=0,"NE",VLOOKUP($M12&amp;RIGHT(T$7,1),BDD!$A$1:$S$600,15,FALSE)))</f>
        <v>NE</v>
      </c>
      <c r="U12" s="429" t="str">
        <f>IF(VLOOKUP($M12&amp;RIGHT(U$7,1),BDD!$A$1:$S$600,15,FALSE)=4,"NE",IF(VLOOKUP($M12&amp;RIGHT(U$7,1),BDD!$A$1:$S$600,15,FALSE)=0,"NE",VLOOKUP($M12&amp;RIGHT(U$7,1),BDD!$A$1:$S$600,15,FALSE)))</f>
        <v>NE</v>
      </c>
      <c r="V12" s="545"/>
      <c r="W12" s="445" t="s">
        <v>16</v>
      </c>
      <c r="X12" s="446"/>
      <c r="Y12" s="548"/>
      <c r="Z12" s="468">
        <f>O51</f>
        <v>0</v>
      </c>
      <c r="AA12" s="469">
        <f>S51</f>
        <v>0</v>
      </c>
      <c r="AB12" s="547"/>
      <c r="AC12" s="40"/>
      <c r="AD12" s="213"/>
      <c r="AF12" s="55"/>
      <c r="AG12" s="30"/>
      <c r="AH12" s="112"/>
      <c r="AI12" s="30"/>
    </row>
    <row r="13" spans="1:35" ht="43.8" customHeight="1" x14ac:dyDescent="0.3">
      <c r="A13" s="112"/>
      <c r="B13" s="30"/>
      <c r="C13" s="30"/>
      <c r="D13" s="30"/>
      <c r="E13" s="30" t="str">
        <f>$C$25&amp;"11"</f>
        <v>1111</v>
      </c>
      <c r="F13" s="30"/>
      <c r="G13" s="197" t="str">
        <f>IF(VLOOKUP(E13,BDD!$A$2:$N$567,14,FALSE)=0,"",VLOOKUP(E13,BDD!$A$2:$N$567,14,FALSE))</f>
        <v>Perte de contrôle ou dépendance vis-à-vis de ses fournisseurs, induites par une atteinte à l'accessibilité ou à la disponibilité des systèmes et des données, pouvant générer un risque pour l’activité de l’organisation.</v>
      </c>
      <c r="H13" s="34"/>
      <c r="I13" s="32"/>
      <c r="K13" s="52"/>
      <c r="L13" s="550"/>
      <c r="M13" s="419" t="str">
        <f>IF(LEFT(RIGHT($B$1,2),1)=" ",RIGHT($B$1,1),RIGHT($B$1,2))&amp;6</f>
        <v>116</v>
      </c>
      <c r="N13" s="424" t="str">
        <f>RIGHT(M13,1)&amp;" : "&amp;VLOOKUP($M13&amp;"1",BDD!$A$2:$N$567,6,FALSE)</f>
        <v>6 : Clôture et réversibilité</v>
      </c>
      <c r="O13" s="425" t="str">
        <f>IF(VLOOKUP($M13&amp;RIGHT(O$7,1),BDD!$A$1:$S$600,15,FALSE)=4,"NE",IF(VLOOKUP($M13&amp;RIGHT(O$7,1),BDD!$A$1:$S$600,15,FALSE)=0,"NE",VLOOKUP($M13&amp;RIGHT(O$7,1),BDD!$A$1:$S$600,15,FALSE)))</f>
        <v>NE</v>
      </c>
      <c r="P13" s="425" t="str">
        <f>IF(VLOOKUP($M13&amp;RIGHT(P$7,1),BDD!$A$1:$S$600,15,FALSE)=4,"NE",IF(VLOOKUP($M13&amp;RIGHT(P$7,1),BDD!$A$1:$S$600,15,FALSE)=0,"NE",VLOOKUP($M13&amp;RIGHT(P$7,1),BDD!$A$1:$S$600,15,FALSE)))</f>
        <v>NE</v>
      </c>
      <c r="Q13" s="425" t="str">
        <f>IF(VLOOKUP($M13&amp;RIGHT(Q$7,1),BDD!$A$1:$S$600,15,FALSE)=4,"NE",IF(VLOOKUP($M13&amp;RIGHT(Q$7,1),BDD!$A$1:$S$600,15,FALSE)=0,"NE",VLOOKUP($M13&amp;RIGHT(Q$7,1),BDD!$A$1:$S$600,15,FALSE)))</f>
        <v>NE</v>
      </c>
      <c r="R13" s="425" t="str">
        <f>IF(VLOOKUP($M13&amp;RIGHT(R$7,1),BDD!$A$1:$S$600,15,FALSE)=4,"NE",IF(VLOOKUP($M13&amp;RIGHT(R$7,1),BDD!$A$1:$S$600,15,FALSE)=0,"NE",VLOOKUP($M13&amp;RIGHT(R$7,1),BDD!$A$1:$S$600,15,FALSE)))</f>
        <v>NE</v>
      </c>
      <c r="S13" s="426"/>
      <c r="T13" s="426"/>
      <c r="U13" s="427"/>
      <c r="V13" s="545"/>
      <c r="W13" s="443" t="s">
        <v>16</v>
      </c>
      <c r="X13" s="444"/>
      <c r="Y13" s="548"/>
      <c r="Z13" s="472">
        <f>O60</f>
        <v>0</v>
      </c>
      <c r="AA13" s="473">
        <f>S60</f>
        <v>0</v>
      </c>
      <c r="AB13" s="547"/>
      <c r="AC13" s="40"/>
      <c r="AD13" s="30"/>
      <c r="AE13" s="55"/>
      <c r="AF13" s="56"/>
      <c r="AG13" s="40"/>
      <c r="AH13" s="120"/>
      <c r="AI13" s="30"/>
    </row>
    <row r="14" spans="1:35" ht="30" customHeight="1" thickBot="1" x14ac:dyDescent="0.35">
      <c r="A14" s="112"/>
      <c r="B14" s="30"/>
      <c r="C14" s="30"/>
      <c r="D14" s="30"/>
      <c r="E14" s="30" t="str">
        <f>$C$25&amp;"12"</f>
        <v>1112</v>
      </c>
      <c r="F14" s="30"/>
      <c r="G14" s="197" t="str">
        <f>IF(VLOOKUP(E14,BDD!$A$2:$N$567,14,FALSE)=0,"",VLOOKUP(E14,BDD!$A$2:$N$567,14,FALSE))</f>
        <v>Augmentation de la surface d'exposition aux risques Cyber et aux risques de fuite de données personnelles ou stratégiques.</v>
      </c>
      <c r="H14" s="57"/>
      <c r="I14" s="32"/>
      <c r="K14" s="32"/>
      <c r="L14" s="551"/>
      <c r="M14" s="419" t="str">
        <f>IF(LEFT(RIGHT($B$1,2),1)=" ",RIGHT($B$1,1),RIGHT($B$1,2))&amp;7</f>
        <v>117</v>
      </c>
      <c r="N14" s="422" t="str">
        <f>RIGHT(M14,1)&amp;" : "&amp;VLOOKUP($M14&amp;"1",BDD!$A$2:$N$567,6,FALSE)</f>
        <v>7 : Gestion des fournisseurs de matériels et logiciels</v>
      </c>
      <c r="O14" s="423" t="str">
        <f>IF(VLOOKUP($M14&amp;RIGHT(O$7,1),BDD!$A$1:$S$600,15,FALSE)=4,"NE",IF(VLOOKUP($M14&amp;RIGHT(O$7,1),BDD!$A$1:$S$600,15,FALSE)=0,"NE",VLOOKUP($M14&amp;RIGHT(O$7,1),BDD!$A$1:$S$600,15,FALSE)))</f>
        <v>NE</v>
      </c>
      <c r="P14" s="423" t="str">
        <f>IF(VLOOKUP($M14&amp;RIGHT(P$7,1),BDD!$A$1:$S$600,15,FALSE)=4,"NE",IF(VLOOKUP($M14&amp;RIGHT(P$7,1),BDD!$A$1:$S$600,15,FALSE)=0,"NE",VLOOKUP($M14&amp;RIGHT(P$7,1),BDD!$A$1:$S$600,15,FALSE)))</f>
        <v>NE</v>
      </c>
      <c r="Q14" s="423" t="str">
        <f>IF(VLOOKUP($M14&amp;RIGHT(Q$7,1),BDD!$A$1:$S$600,15,FALSE)=4,"NE",IF(VLOOKUP($M14&amp;RIGHT(Q$7,1),BDD!$A$1:$S$600,15,FALSE)=0,"NE",VLOOKUP($M14&amp;RIGHT(Q$7,1),BDD!$A$1:$S$600,15,FALSE)))</f>
        <v>NE</v>
      </c>
      <c r="R14" s="423" t="str">
        <f>IF(VLOOKUP($M14&amp;RIGHT(R$7,1),BDD!$A$1:$S$600,15,FALSE)=4,"NE",IF(VLOOKUP($M14&amp;RIGHT(R$7,1),BDD!$A$1:$S$600,15,FALSE)=0,"NE",VLOOKUP($M14&amp;RIGHT(R$7,1),BDD!$A$1:$S$600,15,FALSE)))</f>
        <v>NE</v>
      </c>
      <c r="S14" s="423" t="str">
        <f>IF(VLOOKUP($M14&amp;RIGHT(S$7,1),BDD!$A$1:$S$600,15,FALSE)=4,"NE",IF(VLOOKUP($M14&amp;RIGHT(S$7,1),BDD!$A$1:$S$600,15,FALSE)=0,"NE",VLOOKUP($M14&amp;RIGHT(S$7,1),BDD!$A$1:$S$600,15,FALSE)))</f>
        <v>NE</v>
      </c>
      <c r="T14" s="475"/>
      <c r="U14" s="430"/>
      <c r="V14" s="545"/>
      <c r="W14" s="500" t="s">
        <v>16</v>
      </c>
      <c r="X14" s="501"/>
      <c r="Y14" s="548"/>
      <c r="Z14" s="468">
        <f>O66</f>
        <v>0</v>
      </c>
      <c r="AA14" s="469">
        <f>S66</f>
        <v>0</v>
      </c>
      <c r="AB14" s="547"/>
      <c r="AC14" s="40"/>
      <c r="AD14" s="56"/>
      <c r="AE14" s="56"/>
      <c r="AF14" s="30"/>
      <c r="AG14" s="30"/>
      <c r="AH14" s="112"/>
      <c r="AI14" s="30"/>
    </row>
    <row r="15" spans="1:35" ht="30" customHeight="1" x14ac:dyDescent="0.3">
      <c r="A15" s="112"/>
      <c r="B15" s="30"/>
      <c r="C15" s="30"/>
      <c r="D15" s="30"/>
      <c r="E15" s="30" t="str">
        <f>$C$25&amp;"13"</f>
        <v>1113</v>
      </c>
      <c r="F15" s="30"/>
      <c r="G15" s="197" t="str">
        <f>IF(VLOOKUP(E15,BDD!$A$2:$N$567,14,FALSE)=0,"",VLOOKUP(E15,BDD!$A$2:$N$567,14,FALSE))</f>
        <v>Risques juridiques, réglementaires et financiers liés aux contrats de services et d'externalisation.</v>
      </c>
      <c r="H15" s="58"/>
      <c r="I15" s="32"/>
      <c r="K15" s="34"/>
      <c r="L15" s="552"/>
      <c r="M15" s="553"/>
      <c r="N15" s="554"/>
      <c r="O15" s="554"/>
      <c r="P15" s="554"/>
      <c r="Q15" s="554"/>
      <c r="R15" s="554"/>
      <c r="S15" s="554"/>
      <c r="T15" s="554"/>
      <c r="U15" s="554"/>
      <c r="V15" s="556"/>
      <c r="W15" s="556"/>
      <c r="X15" s="556"/>
      <c r="Y15" s="556"/>
      <c r="Z15" s="556"/>
      <c r="AA15" s="556"/>
      <c r="AB15" s="557"/>
      <c r="AC15" s="55"/>
      <c r="AD15" s="30"/>
      <c r="AE15" s="30"/>
      <c r="AF15" s="30"/>
      <c r="AG15" s="30"/>
      <c r="AH15" s="112"/>
      <c r="AI15" s="30"/>
    </row>
    <row r="16" spans="1:35" ht="30" customHeight="1" thickBot="1" x14ac:dyDescent="0.35">
      <c r="A16" s="112"/>
      <c r="B16" s="30"/>
      <c r="C16" s="30"/>
      <c r="D16" s="30"/>
      <c r="E16" s="30" t="str">
        <f>$C$25&amp;"14"</f>
        <v>1114</v>
      </c>
      <c r="F16" s="30"/>
      <c r="G16" s="197" t="str">
        <f>IF(VLOOKUP(E16,BDD!$A$2:$N$567,14,FALSE)=0,"",VLOOKUP(E16,BDD!$A$2:$N$567,14,FALSE))</f>
        <v>Impacts sociaux dans l’entreprise liés à une mauvaise gestion des actions d’externalisation.</v>
      </c>
      <c r="H16" s="58"/>
      <c r="I16" s="32"/>
      <c r="K16" s="58"/>
      <c r="L16" s="558"/>
      <c r="M16" s="553"/>
      <c r="N16" s="559" t="str">
        <f>"Evaluation globale du vecteur "&amp;RIGHT(B1,2)</f>
        <v>Evaluation globale du vecteur 11</v>
      </c>
      <c r="O16" s="560"/>
      <c r="P16" s="560"/>
      <c r="Q16" s="560"/>
      <c r="R16" s="560"/>
      <c r="S16" s="560"/>
      <c r="T16" s="560"/>
      <c r="U16" s="560"/>
      <c r="V16" s="560"/>
      <c r="W16" s="561"/>
      <c r="X16" s="556"/>
      <c r="Y16" s="548"/>
      <c r="Z16" s="562" t="s">
        <v>642</v>
      </c>
      <c r="AA16" s="562" t="s">
        <v>643</v>
      </c>
      <c r="AB16" s="557"/>
      <c r="AC16" s="30"/>
      <c r="AD16" s="30"/>
      <c r="AE16" s="30"/>
      <c r="AF16" s="30"/>
      <c r="AG16" s="30"/>
      <c r="AH16" s="112"/>
      <c r="AI16" s="30"/>
    </row>
    <row r="17" spans="1:35" ht="28.2" thickBot="1" x14ac:dyDescent="0.35">
      <c r="A17" s="112"/>
      <c r="B17" s="30"/>
      <c r="C17" s="30"/>
      <c r="D17" s="30"/>
      <c r="E17" s="30" t="str">
        <f>$C$25&amp;"15"</f>
        <v>1115</v>
      </c>
      <c r="F17" s="30"/>
      <c r="G17" s="197" t="str">
        <f>IF(VLOOKUP(E17,BDD!$A$2:$N$567,14,FALSE)=0,"",VLOOKUP(E17,BDD!$A$2:$N$567,14,FALSE))</f>
        <v>Dégradation de l'image de l'entreprise ou du niveau de services de la DSI auprès des métiers et des utilisateurs, voire des clients.</v>
      </c>
      <c r="H17" s="58"/>
      <c r="I17" s="32"/>
      <c r="K17" s="32"/>
      <c r="L17" s="551"/>
      <c r="M17" s="553"/>
      <c r="N17" s="451"/>
      <c r="O17" s="560"/>
      <c r="P17" s="560"/>
      <c r="Q17" s="560"/>
      <c r="R17" s="560"/>
      <c r="S17" s="560"/>
      <c r="T17" s="560"/>
      <c r="U17" s="560"/>
      <c r="V17" s="560"/>
      <c r="W17" s="449" t="s">
        <v>16</v>
      </c>
      <c r="X17" s="450"/>
      <c r="Y17" s="556"/>
      <c r="Z17" s="530">
        <f>O22</f>
        <v>0</v>
      </c>
      <c r="AA17" s="531">
        <f>SUM($W$25:$W$74)</f>
        <v>0</v>
      </c>
      <c r="AB17" s="557"/>
      <c r="AC17" s="30"/>
      <c r="AD17" s="30"/>
      <c r="AE17" s="30"/>
      <c r="AF17" s="30"/>
      <c r="AG17" s="30"/>
      <c r="AH17" s="112"/>
      <c r="AI17" s="30"/>
    </row>
    <row r="18" spans="1:35" ht="63.6" customHeight="1" thickBot="1" x14ac:dyDescent="0.35">
      <c r="A18" s="112"/>
      <c r="B18" s="30"/>
      <c r="C18" s="30"/>
      <c r="D18" s="30"/>
      <c r="E18" s="30" t="str">
        <f>$C$25&amp;"16"</f>
        <v>1116</v>
      </c>
      <c r="F18" s="30"/>
      <c r="G18" s="197" t="str">
        <f>IF(VLOOKUP(E18,BDD!$A$2:$N$567,14,FALSE)=0,"",VLOOKUP(E18,BDD!$A$2:$N$567,14,FALSE))</f>
        <v/>
      </c>
      <c r="H18" s="58"/>
      <c r="I18" s="32"/>
      <c r="K18" s="58"/>
      <c r="L18" s="563"/>
      <c r="M18" s="564"/>
      <c r="N18" s="565"/>
      <c r="O18" s="565"/>
      <c r="P18" s="565"/>
      <c r="Q18" s="565"/>
      <c r="R18" s="565"/>
      <c r="S18" s="565"/>
      <c r="T18" s="565"/>
      <c r="U18" s="565"/>
      <c r="V18" s="565"/>
      <c r="W18" s="566"/>
      <c r="X18" s="565"/>
      <c r="Y18" s="565"/>
      <c r="Z18" s="565"/>
      <c r="AA18" s="565"/>
      <c r="AB18" s="567"/>
      <c r="AC18" s="30"/>
      <c r="AD18" s="30"/>
      <c r="AE18" s="30"/>
      <c r="AF18" s="30"/>
      <c r="AG18" s="30"/>
      <c r="AH18" s="112"/>
      <c r="AI18" s="30"/>
    </row>
    <row r="19" spans="1:35" ht="63.6" customHeight="1" x14ac:dyDescent="0.3">
      <c r="A19" s="112"/>
      <c r="B19" s="30"/>
      <c r="C19" s="30"/>
      <c r="D19" s="30"/>
      <c r="E19" s="30" t="str">
        <f>$C$25&amp;"17"</f>
        <v>1117</v>
      </c>
      <c r="F19" s="30"/>
      <c r="G19" s="197" t="str">
        <f>IF(VLOOKUP(E19,BDD!$A$2:$N$567,14,FALSE)=0,"",VLOOKUP(E19,BDD!$A$2:$N$567,14,FALSE))</f>
        <v/>
      </c>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112"/>
      <c r="AI19" s="30"/>
    </row>
    <row r="20" spans="1:35" ht="30" customHeight="1" x14ac:dyDescent="0.3">
      <c r="A20" s="112"/>
      <c r="B20" s="30"/>
      <c r="C20" s="30"/>
      <c r="D20" s="30"/>
      <c r="E20" s="30"/>
      <c r="F20" s="30"/>
      <c r="G20" s="197"/>
      <c r="H20" s="58"/>
      <c r="I20" s="32"/>
      <c r="K20" s="58"/>
      <c r="L20" s="58"/>
      <c r="M20" s="32"/>
      <c r="N20" s="215" t="s">
        <v>855</v>
      </c>
      <c r="O20" s="641">
        <f>COUNTIF(N27:N100,"Non renseigné")</f>
        <v>34</v>
      </c>
      <c r="P20" s="642"/>
      <c r="Q20" s="642"/>
      <c r="R20" s="643"/>
      <c r="S20" s="30"/>
      <c r="T20" s="30"/>
      <c r="U20" s="30"/>
      <c r="V20" s="30"/>
      <c r="W20" s="30"/>
      <c r="X20" s="30"/>
      <c r="Y20" s="30"/>
      <c r="Z20" s="30"/>
      <c r="AA20" s="30"/>
      <c r="AB20" s="30"/>
      <c r="AC20" s="30"/>
      <c r="AD20" s="30"/>
      <c r="AE20" s="30"/>
      <c r="AF20" s="30"/>
      <c r="AG20" s="30"/>
      <c r="AH20" s="112"/>
      <c r="AI20" s="30"/>
    </row>
    <row r="21" spans="1:35" ht="30" customHeight="1" x14ac:dyDescent="0.3">
      <c r="A21" s="112"/>
      <c r="B21" s="30"/>
      <c r="C21" s="30"/>
      <c r="D21" s="30"/>
      <c r="E21" s="30" t="str">
        <f>RIGHT($B$1,1)&amp;"17"</f>
        <v>117</v>
      </c>
      <c r="F21" s="30"/>
      <c r="G21" s="197" t="str">
        <f>IF(VLOOKUP(E21,BDD!$A$2:$N$567,14,FALSE)=0,"",VLOOKUP(E21,BDD!$A$2:$N$567,14,FALSE))</f>
        <v/>
      </c>
      <c r="H21" s="58"/>
      <c r="I21" s="58"/>
      <c r="K21" s="58"/>
      <c r="L21" s="58"/>
      <c r="M21" s="32"/>
      <c r="N21" s="215" t="s">
        <v>853</v>
      </c>
      <c r="O21" s="648">
        <f>COUNTIF($N$27:$N$90,"Non évalué")</f>
        <v>0</v>
      </c>
      <c r="P21" s="649"/>
      <c r="Q21" s="649"/>
      <c r="R21" s="650"/>
      <c r="S21" s="30"/>
      <c r="T21" s="30"/>
      <c r="U21" s="30"/>
      <c r="V21" s="30"/>
      <c r="W21" s="30"/>
      <c r="X21" s="30"/>
      <c r="Y21" s="30"/>
      <c r="Z21" s="30"/>
      <c r="AA21" s="30"/>
      <c r="AB21" s="30"/>
      <c r="AC21" s="30"/>
      <c r="AD21" s="30"/>
      <c r="AE21" s="30"/>
      <c r="AF21" s="30"/>
      <c r="AG21" s="30"/>
      <c r="AH21" s="112"/>
      <c r="AI21" s="30"/>
    </row>
    <row r="22" spans="1:35" ht="50.4" customHeight="1" x14ac:dyDescent="0.3">
      <c r="A22" s="112"/>
      <c r="B22" s="30"/>
      <c r="C22" s="30"/>
      <c r="D22" s="30"/>
      <c r="E22" s="30"/>
      <c r="F22" s="30"/>
      <c r="G22" s="197"/>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112"/>
      <c r="AI22" s="30"/>
    </row>
    <row r="23" spans="1:35" ht="30" customHeight="1" x14ac:dyDescent="0.3">
      <c r="A23" s="112"/>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112"/>
      <c r="AI23" s="30"/>
    </row>
    <row r="24" spans="1:35" ht="39.6" customHeight="1" x14ac:dyDescent="0.3">
      <c r="A24" s="112"/>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112"/>
      <c r="AI24" s="30"/>
    </row>
    <row r="25" spans="1:35" ht="30" customHeight="1" x14ac:dyDescent="0.3">
      <c r="A25" s="112"/>
      <c r="B25" s="30"/>
      <c r="C25" s="30" t="str">
        <f>IF(LEFT(RIGHT($B$1,2),1)=" ",RIGHT($B$1,1),RIGHT($B$1,2))</f>
        <v>11</v>
      </c>
      <c r="D25" s="32">
        <f>IF(LEFT(F25,5)="Bonne",B23+1,D24)</f>
        <v>1</v>
      </c>
      <c r="E25" s="32"/>
      <c r="F25" s="191" t="s">
        <v>499</v>
      </c>
      <c r="G25" s="192" t="str">
        <f>VLOOKUP(E27,BDD!$A$2:$N$567,6,FALSE)</f>
        <v>Stratégie et gouvernance</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112"/>
      <c r="AI25" s="30"/>
    </row>
    <row r="26" spans="1:35" ht="30" customHeight="1" x14ac:dyDescent="0.3">
      <c r="A26" s="112"/>
      <c r="B26" s="30"/>
      <c r="C26" s="30" t="str">
        <f t="shared" ref="C26:C72" si="0">IF(LEFT(RIGHT($B$1,2),1)=" ",RIGHT($B$1,1),RIGHT($B$1,2))</f>
        <v>11</v>
      </c>
      <c r="D26" s="32">
        <f>IF(LEFT(F26,5)="Bonne",D24+1,D25)</f>
        <v>1</v>
      </c>
      <c r="F26" s="211" t="s">
        <v>550</v>
      </c>
      <c r="G26" s="193" t="str">
        <f>VLOOKUP(E28,BDD!$A$2:$N$567,7,FALSE)</f>
        <v>Une stratégie de Make or Buy et la gouvernance associée ont été définies</v>
      </c>
      <c r="H26" s="139"/>
      <c r="I26" s="139"/>
      <c r="J26" s="139"/>
      <c r="K26" s="139"/>
      <c r="L26" s="140"/>
      <c r="M26" s="141"/>
      <c r="N26" s="142"/>
      <c r="O26" s="631"/>
      <c r="P26" s="631"/>
      <c r="Q26" s="631"/>
      <c r="R26" s="631"/>
      <c r="S26" s="634"/>
      <c r="T26" s="634"/>
      <c r="U26" s="634"/>
      <c r="V26" s="635"/>
      <c r="W26" s="356">
        <f>IFERROR(IF(N26=Suppl!$E$65,0,IF(N26=Suppl!$E$66,1/2/(COUNTIFS($N:$N,"Exigences"&amp;"*")+COUNTIFS($N:$N,"Non"&amp;"*")),IF(N26=Suppl!$E$67,1/(COUNTIFS($N:$N,"Exigences"&amp;"*")+COUNTIFS($N:$N,"Non"&amp;"*")),0))),0)</f>
        <v>0</v>
      </c>
      <c r="X26" s="30"/>
      <c r="Y26" s="30"/>
      <c r="Z26" s="30"/>
      <c r="AA26" s="30"/>
      <c r="AB26" s="30"/>
      <c r="AC26" s="30"/>
      <c r="AD26" s="30"/>
      <c r="AE26" s="30"/>
      <c r="AF26" s="30"/>
      <c r="AG26" s="30"/>
      <c r="AH26" s="112"/>
      <c r="AI26" s="30"/>
    </row>
    <row r="27" spans="1:35" ht="41.4" x14ac:dyDescent="0.3">
      <c r="A27" s="112"/>
      <c r="B27" s="30"/>
      <c r="C27" s="30" t="str">
        <f>IF(LEFT(RIGHT($B$1,2),1)=" ",RIGHT($B$1,1),RIGHT($B$1,2))</f>
        <v>11</v>
      </c>
      <c r="D27" s="32">
        <f>IF(LEFT(F27,5)="Bonne",D25+1,D26)</f>
        <v>1</v>
      </c>
      <c r="E27" s="32" t="str">
        <f>C27&amp;D27&amp;RIGHT(F27,1)</f>
        <v>1111</v>
      </c>
      <c r="F27" s="143" t="s">
        <v>27</v>
      </c>
      <c r="G27" s="144" t="str">
        <f>VLOOKUP(E27,BDD!$A$2:$N$567,MATCH(G$24,BDD!$A$1:$P$1,0),FALSE)</f>
        <v>La stratégie d’externalisation SI inclut la politique « make or buy ». La DSI évalue, avec les métiers, l'opportunité de recourir à la prestation en fonction de la criticité des activités concernées et fait valider la décision au niveau hiérarchique approprié.</v>
      </c>
      <c r="H27" s="149" t="str">
        <f>IF(VLOOKUP($E27,BDD!$A$2:$N$567,MATCH($H$23,BDD!$A$1:$P$1,0),FALSE)=H$24,'V11_Presta&amp;Fournisseurs'!H$24,"")</f>
        <v>N1</v>
      </c>
      <c r="I27" s="150" t="str">
        <f>IF(VLOOKUP($E27,BDD!$A$2:$N$567,MATCH($H$23,BDD!$A$1:$P$1,0),FALSE)=I$24,'V11_Presta&amp;Fournisseurs'!I$24,"")</f>
        <v/>
      </c>
      <c r="J27" s="150" t="str">
        <f>IF(VLOOKUP($E27,BDD!$A$2:$N$567,MATCH($H$23,BDD!$A$1:$P$1,0),FALSE)=J$24,'V11_Presta&amp;Fournisseurs'!J$24,"")</f>
        <v/>
      </c>
      <c r="K27" s="150" t="str">
        <f>IF(VLOOKUP($E27,BDD!$A$2:$N$567,MATCH($H$23,BDD!$A$1:$P$1,0),FALSE)=K$24,'V11_Presta&amp;Fournisseurs'!K$24,"")</f>
        <v/>
      </c>
      <c r="L27" s="151" t="str">
        <f>IF(VLOOKUP($E27,BDD!$A$2:$N$567,MATCH($H$23,BDD!$A$1:$P$1,0),FALSE)=L$24,'V11_Presta&amp;Fournisseurs'!L$24,"")</f>
        <v/>
      </c>
      <c r="M27" s="63">
        <f t="shared" ref="M27:M28" si="1">IF(N27="Exigences partiellement respectées",1,IF(N27="Exigences respectées",2,0))</f>
        <v>0</v>
      </c>
      <c r="N27" s="144" t="str">
        <f>VLOOKUP(VLOOKUP(E27,BDD!$A$2:$P$550,15,FALSE),Suppl!$D$64:$E$68,2,FALSE)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112"/>
      <c r="AI27" s="30"/>
    </row>
    <row r="28" spans="1:35" ht="30" customHeight="1" x14ac:dyDescent="0.3">
      <c r="A28" s="112"/>
      <c r="B28" s="30"/>
      <c r="C28" s="30" t="str">
        <f t="shared" si="0"/>
        <v>11</v>
      </c>
      <c r="D28" s="32">
        <f t="shared" ref="D28" si="2">IF(LEFT(F28,5)="Bonne",D26+1,D27)</f>
        <v>1</v>
      </c>
      <c r="E28" s="32" t="str">
        <f t="shared" ref="E28" si="3">C28&amp;D28&amp;RIGHT(F28,1)</f>
        <v>1112</v>
      </c>
      <c r="F28" s="145" t="s">
        <v>28</v>
      </c>
      <c r="G28" s="146" t="str">
        <f>VLOOKUP(E28,BDD!$A$2:$N$567,MATCH(G$24,BDD!$A$1:$P$1,0),FALSE)</f>
        <v>Un dispositif de gestion des services externalisés a été mis en place (organisation, processus). Il inclut en particulier un volet de management des risques.</v>
      </c>
      <c r="H28" s="149" t="str">
        <f>IF(VLOOKUP($E28,BDD!$A$2:$N$567,MATCH($H$23,BDD!$A$1:$P$1,0),FALSE)=H$24,'V11_Presta&amp;Fournisseurs'!H$24,"")</f>
        <v/>
      </c>
      <c r="I28" s="150" t="str">
        <f>IF(VLOOKUP($E28,BDD!$A$2:$N$567,MATCH($H$23,BDD!$A$1:$P$1,0),FALSE)=I$24,'V11_Presta&amp;Fournisseurs'!I$24,"")</f>
        <v/>
      </c>
      <c r="J28" s="150" t="str">
        <f>IF(VLOOKUP($E28,BDD!$A$2:$N$567,MATCH($H$23,BDD!$A$1:$P$1,0),FALSE)=J$24,'V11_Presta&amp;Fournisseurs'!J$24,"")</f>
        <v>N3</v>
      </c>
      <c r="K28" s="150" t="str">
        <f>IF(VLOOKUP($E28,BDD!$A$2:$N$567,MATCH($H$23,BDD!$A$1:$P$1,0),FALSE)=K$24,'V11_Presta&amp;Fournisseurs'!K$24,"")</f>
        <v/>
      </c>
      <c r="L28" s="151" t="str">
        <f>IF(VLOOKUP($E28,BDD!$A$2:$N$567,MATCH($H$23,BDD!$A$1:$P$1,0),FALSE)=L$24,'V11_Presta&amp;Fournisseurs'!L$24,"")</f>
        <v/>
      </c>
      <c r="M28" s="63">
        <f t="shared" si="1"/>
        <v>0</v>
      </c>
      <c r="N28" s="146" t="str">
        <f>VLOOKUP(VLOOKUP(E28,BDD!$A$2:$P$550,15,FALSE),Suppl!$D$64:$E$68,2,FALSE)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112"/>
      <c r="AI28" s="30"/>
    </row>
    <row r="29" spans="1:35" ht="30" customHeight="1" x14ac:dyDescent="0.3">
      <c r="A29" s="112"/>
      <c r="B29" s="30"/>
      <c r="C29" s="30" t="str">
        <f t="shared" si="0"/>
        <v>11</v>
      </c>
      <c r="D29" s="32">
        <f t="shared" ref="D29:D65" si="4">IF(LEFT(F29,5)="Bonne",D27+1,D28)</f>
        <v>2</v>
      </c>
      <c r="E29" s="32" t="str">
        <f t="shared" ref="E29:E65" si="5">C29&amp;D29&amp;RIGHT(F29,1)</f>
        <v>1122</v>
      </c>
      <c r="F29" s="191" t="s">
        <v>500</v>
      </c>
      <c r="G29" s="192" t="str">
        <f>VLOOKUP(E31,BDD!$A$2:$N$567,6,FALSE)</f>
        <v>Etude d'opportunité</v>
      </c>
      <c r="H29" s="190" t="str">
        <f>VLOOKUP(E31,BDD!$A$2:$N$567,6,FALSE)</f>
        <v>Etude d'opportunité</v>
      </c>
      <c r="I29" s="135"/>
      <c r="J29" s="135"/>
      <c r="K29" s="135"/>
      <c r="L29" s="136"/>
      <c r="M29" s="137"/>
      <c r="N29" s="138"/>
      <c r="O29" s="630">
        <v>0</v>
      </c>
      <c r="P29" s="630"/>
      <c r="Q29" s="630"/>
      <c r="R29" s="630"/>
      <c r="S29" s="632">
        <f>SUMIFS(S:S,$D:$D,D29,$N:$N,"Exigences"&amp;"*")</f>
        <v>0</v>
      </c>
      <c r="T29" s="632"/>
      <c r="U29" s="632"/>
      <c r="V29" s="633"/>
      <c r="W29" s="356">
        <f>IFERROR(IF(N29=Suppl!$E$65,0,IF(N29=Suppl!$E$66,1/2/(COUNTIFS($N:$N,"Exigences"&amp;"*")+COUNTIFS($N:$N,"Non"&amp;"*")),IF(N29=Suppl!$E$67,1/(COUNTIFS($N:$N,"Exigences"&amp;"*")+COUNTIFS($N:$N,"Non"&amp;"*")),0))),0)</f>
        <v>0</v>
      </c>
      <c r="X29" s="30"/>
      <c r="Y29" s="30"/>
      <c r="Z29" s="30"/>
      <c r="AA29" s="30"/>
      <c r="AB29" s="30"/>
      <c r="AC29" s="30"/>
      <c r="AD29" s="30"/>
      <c r="AE29" s="30"/>
      <c r="AF29" s="30"/>
      <c r="AG29" s="30"/>
      <c r="AH29" s="112"/>
      <c r="AI29" s="30"/>
    </row>
    <row r="30" spans="1:35" ht="30" customHeight="1" x14ac:dyDescent="0.3">
      <c r="A30" s="112"/>
      <c r="B30" s="30"/>
      <c r="C30" s="30" t="str">
        <f t="shared" si="0"/>
        <v>11</v>
      </c>
      <c r="D30" s="32">
        <f t="shared" si="4"/>
        <v>2</v>
      </c>
      <c r="E30" s="32" t="str">
        <f t="shared" si="5"/>
        <v>1121</v>
      </c>
      <c r="F30" s="211" t="s">
        <v>550</v>
      </c>
      <c r="G30" s="193" t="str">
        <f>VLOOKUP(E32,BDD!$A$2:$N$567,7,FALSE)</f>
        <v>Pour chacune des activités candidates à l'externalisation, une étude d'opportunité et de faisabilité est réalisée.</v>
      </c>
      <c r="H30" s="139"/>
      <c r="I30" s="139"/>
      <c r="J30" s="139"/>
      <c r="K30" s="139"/>
      <c r="L30" s="140"/>
      <c r="M30" s="141"/>
      <c r="N30" s="142"/>
      <c r="O30" s="631"/>
      <c r="P30" s="631"/>
      <c r="Q30" s="631"/>
      <c r="R30" s="631"/>
      <c r="S30" s="634"/>
      <c r="T30" s="634"/>
      <c r="U30" s="634"/>
      <c r="V30" s="635"/>
      <c r="W30" s="356">
        <f>IFERROR(IF(N30=Suppl!$E$65,0,IF(N30=Suppl!$E$66,1/2/(COUNTIFS($N:$N,"Exigences"&amp;"*")+COUNTIFS($N:$N,"Non"&amp;"*")),IF(N30=Suppl!$E$67,1/(COUNTIFS($N:$N,"Exigences"&amp;"*")+COUNTIFS($N:$N,"Non"&amp;"*")),0))),0)</f>
        <v>0</v>
      </c>
      <c r="X30" s="30"/>
      <c r="Y30" s="30"/>
      <c r="Z30" s="30"/>
      <c r="AA30" s="30"/>
      <c r="AB30" s="30"/>
      <c r="AC30" s="30"/>
      <c r="AD30" s="30"/>
      <c r="AE30" s="30"/>
      <c r="AF30" s="30"/>
      <c r="AG30" s="30"/>
      <c r="AH30" s="112"/>
      <c r="AI30" s="30"/>
    </row>
    <row r="31" spans="1:35" ht="30" customHeight="1" x14ac:dyDescent="0.3">
      <c r="A31" s="112"/>
      <c r="B31" s="30"/>
      <c r="C31" s="30" t="str">
        <f t="shared" si="0"/>
        <v>11</v>
      </c>
      <c r="D31" s="32">
        <f t="shared" si="4"/>
        <v>2</v>
      </c>
      <c r="E31" s="32" t="str">
        <f t="shared" si="5"/>
        <v>1121</v>
      </c>
      <c r="F31" s="143" t="s">
        <v>27</v>
      </c>
      <c r="G31" s="144" t="str">
        <f>VLOOKUP(E31,BDD!$A$2:$N$567,MATCH(G$24,BDD!$A$1:$P$1,0),FALSE)</f>
        <v>Il existe une analyse des forces/faiblesses de l'existant concernant l’activité à externaliser.</v>
      </c>
      <c r="H31" s="149" t="str">
        <f>IF(VLOOKUP($E31,BDD!$A$2:$N$567,MATCH($H$23,BDD!$A$1:$P$1,0),FALSE)=H$24,'V11_Presta&amp;Fournisseurs'!H$24,"")</f>
        <v/>
      </c>
      <c r="I31" s="150" t="str">
        <f>IF(VLOOKUP($E31,BDD!$A$2:$N$567,MATCH($H$23,BDD!$A$1:$P$1,0),FALSE)=I$24,'V11_Presta&amp;Fournisseurs'!I$24,"")</f>
        <v>N2</v>
      </c>
      <c r="J31" s="150" t="str">
        <f>IF(VLOOKUP($E31,BDD!$A$2:$N$567,MATCH($H$23,BDD!$A$1:$P$1,0),FALSE)=J$24,'V11_Presta&amp;Fournisseurs'!J$24,"")</f>
        <v/>
      </c>
      <c r="K31" s="150" t="str">
        <f>IF(VLOOKUP($E31,BDD!$A$2:$N$567,MATCH($H$23,BDD!$A$1:$P$1,0),FALSE)=K$24,'V11_Presta&amp;Fournisseurs'!K$24,"")</f>
        <v/>
      </c>
      <c r="L31" s="151" t="str">
        <f>IF(VLOOKUP($E31,BDD!$A$2:$N$567,MATCH($H$23,BDD!$A$1:$P$1,0),FALSE)=L$24,'V11_Presta&amp;Fournisseurs'!L$24,"")</f>
        <v/>
      </c>
      <c r="M31" s="63">
        <f>IF(N31="Exigences partiellement respectées",1,IF(N31="Exigences respectées",2,0))</f>
        <v>0</v>
      </c>
      <c r="N31" s="144" t="str">
        <f>VLOOKUP(VLOOKUP(E31,BDD!$A$2:$P$550,15,FALSE),Suppl!$D$64:$E$68,2,FALSE)</f>
        <v>Non renseigné</v>
      </c>
      <c r="O31" s="626"/>
      <c r="P31" s="626"/>
      <c r="Q31" s="626"/>
      <c r="R31" s="626"/>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112"/>
      <c r="AI31" s="30"/>
    </row>
    <row r="32" spans="1:35" ht="30" customHeight="1" x14ac:dyDescent="0.3">
      <c r="A32" s="112"/>
      <c r="B32" s="30"/>
      <c r="C32" s="30" t="str">
        <f t="shared" si="0"/>
        <v>11</v>
      </c>
      <c r="D32" s="32">
        <f t="shared" si="4"/>
        <v>2</v>
      </c>
      <c r="E32" s="32" t="str">
        <f t="shared" si="5"/>
        <v>1122</v>
      </c>
      <c r="F32" s="145" t="s">
        <v>28</v>
      </c>
      <c r="G32" s="146" t="str">
        <f>VLOOKUP(E32,BDD!$A$2:$N$567,MATCH(G$24,BDD!$A$1:$P$1,0),FALSE)</f>
        <v>Il existe, pour l’activité à externaliser, des études de marché et d'identification des prestataires potentiels.</v>
      </c>
      <c r="H32" s="149" t="str">
        <f>IF(VLOOKUP($E32,BDD!$A$2:$N$567,MATCH($H$23,BDD!$A$1:$P$1,0),FALSE)=H$24,'V11_Presta&amp;Fournisseurs'!H$24,"")</f>
        <v>N1</v>
      </c>
      <c r="I32" s="150" t="str">
        <f>IF(VLOOKUP($E32,BDD!$A$2:$N$567,MATCH($H$23,BDD!$A$1:$P$1,0),FALSE)=I$24,'V11_Presta&amp;Fournisseurs'!I$24,"")</f>
        <v/>
      </c>
      <c r="J32" s="150" t="str">
        <f>IF(VLOOKUP($E32,BDD!$A$2:$N$567,MATCH($H$23,BDD!$A$1:$P$1,0),FALSE)=J$24,'V11_Presta&amp;Fournisseurs'!J$24,"")</f>
        <v/>
      </c>
      <c r="K32" s="150" t="str">
        <f>IF(VLOOKUP($E32,BDD!$A$2:$N$567,MATCH($H$23,BDD!$A$1:$P$1,0),FALSE)=K$24,'V11_Presta&amp;Fournisseurs'!K$24,"")</f>
        <v/>
      </c>
      <c r="L32" s="151" t="str">
        <f>IF(VLOOKUP($E32,BDD!$A$2:$N$567,MATCH($H$23,BDD!$A$1:$P$1,0),FALSE)=L$24,'V11_Presta&amp;Fournisseurs'!L$24,"")</f>
        <v/>
      </c>
      <c r="M32" s="63">
        <f t="shared" ref="M32:M36" si="6">IF(N32="Exigences partiellement respectées",1,IF(N32="Exigences respectées",2,0))</f>
        <v>0</v>
      </c>
      <c r="N32" s="146" t="str">
        <f>VLOOKUP(VLOOKUP(E32,BDD!$A$2:$P$550,15,FALSE),Suppl!$D$64:$E$68,2,FALSE)</f>
        <v>Non renseigné</v>
      </c>
      <c r="O32" s="629"/>
      <c r="P32" s="629"/>
      <c r="Q32" s="629"/>
      <c r="R32" s="629"/>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112"/>
      <c r="AI32" s="30"/>
    </row>
    <row r="33" spans="1:35" ht="30" customHeight="1" x14ac:dyDescent="0.3">
      <c r="A33" s="112"/>
      <c r="B33" s="30"/>
      <c r="C33" s="30" t="str">
        <f t="shared" si="0"/>
        <v>11</v>
      </c>
      <c r="D33" s="32">
        <f t="shared" si="4"/>
        <v>2</v>
      </c>
      <c r="E33" s="32" t="str">
        <f t="shared" si="5"/>
        <v>1123</v>
      </c>
      <c r="F33" s="143" t="s">
        <v>30</v>
      </c>
      <c r="G33" s="144" t="str">
        <f>VLOOKUP(E33,BDD!$A$2:$N$567,MATCH(G$24,BDD!$A$1:$P$1,0),FALSE)</f>
        <v>L’impact de l’externalisation sur les ressources humaines du périmètre concerné est pris en compte.</v>
      </c>
      <c r="H33" s="149" t="str">
        <f>IF(VLOOKUP($E33,BDD!$A$2:$N$567,MATCH($H$23,BDD!$A$1:$P$1,0),FALSE)=H$24,'V11_Presta&amp;Fournisseurs'!H$24,"")</f>
        <v>N1</v>
      </c>
      <c r="I33" s="150" t="str">
        <f>IF(VLOOKUP($E33,BDD!$A$2:$N$567,MATCH($H$23,BDD!$A$1:$P$1,0),FALSE)=I$24,'V11_Presta&amp;Fournisseurs'!I$24,"")</f>
        <v/>
      </c>
      <c r="J33" s="150" t="str">
        <f>IF(VLOOKUP($E33,BDD!$A$2:$N$567,MATCH($H$23,BDD!$A$1:$P$1,0),FALSE)=J$24,'V11_Presta&amp;Fournisseurs'!J$24,"")</f>
        <v/>
      </c>
      <c r="K33" s="150" t="str">
        <f>IF(VLOOKUP($E33,BDD!$A$2:$N$567,MATCH($H$23,BDD!$A$1:$P$1,0),FALSE)=K$24,'V11_Presta&amp;Fournisseurs'!K$24,"")</f>
        <v/>
      </c>
      <c r="L33" s="151" t="str">
        <f>IF(VLOOKUP($E33,BDD!$A$2:$N$567,MATCH($H$23,BDD!$A$1:$P$1,0),FALSE)=L$24,'V11_Presta&amp;Fournisseurs'!L$24,"")</f>
        <v/>
      </c>
      <c r="M33" s="63">
        <f t="shared" si="6"/>
        <v>0</v>
      </c>
      <c r="N33" s="144" t="str">
        <f>VLOOKUP(VLOOKUP(E33,BDD!$A$2:$P$550,15,FALSE),Suppl!$D$64:$E$68,2,FALSE)</f>
        <v>Non renseigné</v>
      </c>
      <c r="O33" s="629"/>
      <c r="P33" s="629"/>
      <c r="Q33" s="629"/>
      <c r="R33" s="629"/>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112"/>
      <c r="AI33" s="30"/>
    </row>
    <row r="34" spans="1:35" ht="30" customHeight="1" x14ac:dyDescent="0.3">
      <c r="A34" s="112"/>
      <c r="B34" s="30"/>
      <c r="C34" s="30" t="str">
        <f t="shared" si="0"/>
        <v>11</v>
      </c>
      <c r="D34" s="32">
        <f t="shared" si="4"/>
        <v>2</v>
      </c>
      <c r="E34" s="32" t="str">
        <f t="shared" si="5"/>
        <v>1124</v>
      </c>
      <c r="F34" s="145" t="s">
        <v>32</v>
      </c>
      <c r="G34" s="146" t="str">
        <f>VLOOKUP(E34,BDD!$A$2:$N$567,MATCH(G$24,BDD!$A$1:$P$1,0),FALSE)</f>
        <v>Il existe une analyse de risques concernant l'activité à externaliser.</v>
      </c>
      <c r="H34" s="149" t="str">
        <f>IF(VLOOKUP($E34,BDD!$A$2:$N$567,MATCH($H$23,BDD!$A$1:$P$1,0),FALSE)=H$24,'V11_Presta&amp;Fournisseurs'!H$24,"")</f>
        <v/>
      </c>
      <c r="I34" s="150" t="str">
        <f>IF(VLOOKUP($E34,BDD!$A$2:$N$567,MATCH($H$23,BDD!$A$1:$P$1,0),FALSE)=I$24,'V11_Presta&amp;Fournisseurs'!I$24,"")</f>
        <v/>
      </c>
      <c r="J34" s="150" t="str">
        <f>IF(VLOOKUP($E34,BDD!$A$2:$N$567,MATCH($H$23,BDD!$A$1:$P$1,0),FALSE)=J$24,'V11_Presta&amp;Fournisseurs'!J$24,"")</f>
        <v>N3</v>
      </c>
      <c r="K34" s="150" t="str">
        <f>IF(VLOOKUP($E34,BDD!$A$2:$N$567,MATCH($H$23,BDD!$A$1:$P$1,0),FALSE)=K$24,'V11_Presta&amp;Fournisseurs'!K$24,"")</f>
        <v/>
      </c>
      <c r="L34" s="151" t="str">
        <f>IF(VLOOKUP($E34,BDD!$A$2:$N$567,MATCH($H$23,BDD!$A$1:$P$1,0),FALSE)=L$24,'V11_Presta&amp;Fournisseurs'!L$24,"")</f>
        <v/>
      </c>
      <c r="M34" s="63">
        <f t="shared" si="6"/>
        <v>0</v>
      </c>
      <c r="N34" s="146" t="str">
        <f>VLOOKUP(VLOOKUP(E34,BDD!$A$2:$P$550,15,FALSE),Suppl!$D$64:$E$68,2,FALSE)</f>
        <v>Non renseigné</v>
      </c>
      <c r="O34" s="629"/>
      <c r="P34" s="629"/>
      <c r="Q34" s="629"/>
      <c r="R34" s="629"/>
      <c r="S34" s="627">
        <f>IF(N34=Suppl!$E$65,0,IF(N34=Suppl!$E$66,1/2/(COUNTIFS($D:$D,D34,$N:$N,"Exigences"&amp;"*",G:G,"&lt;&gt;0")+COUNTIFS($D:$D,D34,$N:$N,"Non"&amp;"*",G:G,"&lt;&gt;0")),IF(N34=Suppl!$E$67,1/(COUNTIFS($D:$D,D34,$N:$N,"Exigences"&amp;"*",G:G,"&lt;&gt;0")+COUNTIFS($D:$D,D34,$N:$N,"Non"&amp;"*",G:G,"&lt;&gt;0")),0)))</f>
        <v>0</v>
      </c>
      <c r="T34" s="627"/>
      <c r="U34" s="627"/>
      <c r="V34" s="628"/>
      <c r="W34" s="356">
        <f>IFERROR(IF(N34=Suppl!$E$65,0,IF(N34=Suppl!$E$66,1/2/(COUNTIFS($N:$N,"Exigences"&amp;"*")+COUNTIFS($N:$N,"Non"&amp;"*")),IF(N34=Suppl!$E$67,1/(COUNTIFS($N:$N,"Exigences"&amp;"*")+COUNTIFS($N:$N,"Non"&amp;"*")),0))),0)</f>
        <v>0</v>
      </c>
      <c r="X34" s="30"/>
      <c r="Y34" s="30"/>
      <c r="Z34" s="30"/>
      <c r="AA34" s="30"/>
      <c r="AB34" s="30"/>
      <c r="AC34" s="30"/>
      <c r="AD34" s="30"/>
      <c r="AE34" s="30"/>
      <c r="AF34" s="30"/>
      <c r="AG34" s="30"/>
      <c r="AH34" s="112"/>
      <c r="AI34" s="30"/>
    </row>
    <row r="35" spans="1:35" ht="30" customHeight="1" x14ac:dyDescent="0.3">
      <c r="A35" s="112"/>
      <c r="B35" s="30"/>
      <c r="C35" s="30" t="str">
        <f t="shared" si="0"/>
        <v>11</v>
      </c>
      <c r="D35" s="32">
        <f t="shared" si="4"/>
        <v>2</v>
      </c>
      <c r="E35" s="32" t="str">
        <f t="shared" si="5"/>
        <v>1125</v>
      </c>
      <c r="F35" s="143" t="s">
        <v>33</v>
      </c>
      <c r="G35" s="144" t="str">
        <f>VLOOKUP(E35,BDD!$A$2:$N$567,MATCH(G$24,BDD!$A$1:$P$1,0),FALSE)</f>
        <v>Il existe un business case relatif à l'externalisation de l’activité.</v>
      </c>
      <c r="H35" s="149" t="str">
        <f>IF(VLOOKUP($E35,BDD!$A$2:$N$567,MATCH($H$23,BDD!$A$1:$P$1,0),FALSE)=H$24,'V11_Presta&amp;Fournisseurs'!H$24,"")</f>
        <v/>
      </c>
      <c r="I35" s="150" t="str">
        <f>IF(VLOOKUP($E35,BDD!$A$2:$N$567,MATCH($H$23,BDD!$A$1:$P$1,0),FALSE)=I$24,'V11_Presta&amp;Fournisseurs'!I$24,"")</f>
        <v/>
      </c>
      <c r="J35" s="150" t="str">
        <f>IF(VLOOKUP($E35,BDD!$A$2:$N$567,MATCH($H$23,BDD!$A$1:$P$1,0),FALSE)=J$24,'V11_Presta&amp;Fournisseurs'!J$24,"")</f>
        <v>N3</v>
      </c>
      <c r="K35" s="150" t="str">
        <f>IF(VLOOKUP($E35,BDD!$A$2:$N$567,MATCH($H$23,BDD!$A$1:$P$1,0),FALSE)=K$24,'V11_Presta&amp;Fournisseurs'!K$24,"")</f>
        <v/>
      </c>
      <c r="L35" s="151" t="str">
        <f>IF(VLOOKUP($E35,BDD!$A$2:$N$567,MATCH($H$23,BDD!$A$1:$P$1,0),FALSE)=L$24,'V11_Presta&amp;Fournisseurs'!L$24,"")</f>
        <v/>
      </c>
      <c r="M35" s="63">
        <f t="shared" si="6"/>
        <v>0</v>
      </c>
      <c r="N35" s="144" t="str">
        <f>VLOOKUP(VLOOKUP(E35,BDD!$A$2:$P$550,15,FALSE),Suppl!$D$64:$E$68,2,FALSE)</f>
        <v>Non renseigné</v>
      </c>
      <c r="O35" s="629"/>
      <c r="P35" s="629"/>
      <c r="Q35" s="629"/>
      <c r="R35" s="629"/>
      <c r="S35" s="627">
        <f>IF(N35=Suppl!$E$65,0,IF(N35=Suppl!$E$66,1/2/(COUNTIFS($D:$D,D35,$N:$N,"Exigences"&amp;"*",G:G,"&lt;&gt;0")+COUNTIFS($D:$D,D35,$N:$N,"Non"&amp;"*",G:G,"&lt;&gt;0")),IF(N35=Suppl!$E$67,1/(COUNTIFS($D:$D,D35,$N:$N,"Exigences"&amp;"*",G:G,"&lt;&gt;0")+COUNTIFS($D:$D,D35,$N:$N,"Non"&amp;"*",G:G,"&lt;&gt;0")),0)))</f>
        <v>0</v>
      </c>
      <c r="T35" s="627"/>
      <c r="U35" s="627"/>
      <c r="V35" s="628"/>
      <c r="W35" s="356">
        <f>IFERROR(IF(N35=Suppl!$E$65,0,IF(N35=Suppl!$E$66,1/2/(COUNTIFS($N:$N,"Exigences"&amp;"*")+COUNTIFS($N:$N,"Non"&amp;"*")),IF(N35=Suppl!$E$67,1/(COUNTIFS($N:$N,"Exigences"&amp;"*")+COUNTIFS($N:$N,"Non"&amp;"*")),0))),0)</f>
        <v>0</v>
      </c>
      <c r="X35" s="30"/>
      <c r="Y35" s="30"/>
      <c r="Z35" s="30"/>
      <c r="AA35" s="30"/>
      <c r="AB35" s="30"/>
      <c r="AC35" s="30"/>
      <c r="AD35" s="30"/>
      <c r="AE35" s="30"/>
      <c r="AF35" s="30"/>
      <c r="AG35" s="30"/>
      <c r="AH35" s="112"/>
      <c r="AI35" s="30"/>
    </row>
    <row r="36" spans="1:35" ht="27.6" x14ac:dyDescent="0.3">
      <c r="A36" s="112"/>
      <c r="B36" s="30"/>
      <c r="C36" s="30" t="str">
        <f t="shared" si="0"/>
        <v>11</v>
      </c>
      <c r="D36" s="32">
        <f t="shared" si="4"/>
        <v>2</v>
      </c>
      <c r="E36" s="32" t="str">
        <f t="shared" si="5"/>
        <v>1126</v>
      </c>
      <c r="F36" s="147" t="s">
        <v>34</v>
      </c>
      <c r="G36" s="148" t="str">
        <f>VLOOKUP(E36,BDD!$A$2:$N$567,MATCH(G$24,BDD!$A$1:$P$1,0),FALSE)</f>
        <v>La décision d'externaliser une activité propre à la DSI est prise par les instances de gouvernance du numérique de l'entreprise.</v>
      </c>
      <c r="H36" s="149" t="str">
        <f>IF(VLOOKUP($E36,BDD!$A$2:$N$567,MATCH($H$23,BDD!$A$1:$P$1,0),FALSE)=H$24,'V11_Presta&amp;Fournisseurs'!H$24,"")</f>
        <v>N1</v>
      </c>
      <c r="I36" s="150" t="str">
        <f>IF(VLOOKUP($E36,BDD!$A$2:$N$567,MATCH($H$23,BDD!$A$1:$P$1,0),FALSE)=I$24,'V11_Presta&amp;Fournisseurs'!I$24,"")</f>
        <v/>
      </c>
      <c r="J36" s="150" t="str">
        <f>IF(VLOOKUP($E36,BDD!$A$2:$N$567,MATCH($H$23,BDD!$A$1:$P$1,0),FALSE)=J$24,'V11_Presta&amp;Fournisseurs'!J$24,"")</f>
        <v/>
      </c>
      <c r="K36" s="150" t="str">
        <f>IF(VLOOKUP($E36,BDD!$A$2:$N$567,MATCH($H$23,BDD!$A$1:$P$1,0),FALSE)=K$24,'V11_Presta&amp;Fournisseurs'!K$24,"")</f>
        <v/>
      </c>
      <c r="L36" s="151" t="str">
        <f>IF(VLOOKUP($E36,BDD!$A$2:$N$567,MATCH($H$23,BDD!$A$1:$P$1,0),FALSE)=L$24,'V11_Presta&amp;Fournisseurs'!L$24,"")</f>
        <v/>
      </c>
      <c r="M36" s="63">
        <f t="shared" si="6"/>
        <v>0</v>
      </c>
      <c r="N36" s="148" t="str">
        <f>VLOOKUP(VLOOKUP(E36,BDD!$A$2:$P$550,15,FALSE),Suppl!$D$64:$E$68,2,FALSE)</f>
        <v>Non renseigné</v>
      </c>
      <c r="O36" s="629"/>
      <c r="P36" s="629"/>
      <c r="Q36" s="629"/>
      <c r="R36" s="629"/>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112"/>
      <c r="AI36" s="30"/>
    </row>
    <row r="37" spans="1:35" ht="15.6" x14ac:dyDescent="0.3">
      <c r="A37" s="112"/>
      <c r="B37" s="30"/>
      <c r="C37" s="30" t="str">
        <f t="shared" si="0"/>
        <v>11</v>
      </c>
      <c r="D37" s="32">
        <f>IF(LEFT(F37,5)="Bonne",D36+1,#REF!)</f>
        <v>3</v>
      </c>
      <c r="E37" s="32" t="str">
        <f t="shared" si="5"/>
        <v>1133</v>
      </c>
      <c r="F37" s="191" t="s">
        <v>501</v>
      </c>
      <c r="G37" s="192" t="str">
        <f>VLOOKUP(E39,BDD!$A$2:$N$567,6,FALSE)</f>
        <v>Sélection et contractualisation</v>
      </c>
      <c r="H37" s="190"/>
      <c r="I37" s="135"/>
      <c r="J37" s="135"/>
      <c r="K37" s="135"/>
      <c r="L37" s="136"/>
      <c r="M37" s="137"/>
      <c r="N37" s="138"/>
      <c r="O37" s="630">
        <v>0</v>
      </c>
      <c r="P37" s="630"/>
      <c r="Q37" s="630"/>
      <c r="R37" s="630"/>
      <c r="S37" s="632">
        <f>SUMIFS(S:S,$D:$D,D37,$N:$N,"Exigences"&amp;"*")</f>
        <v>0</v>
      </c>
      <c r="T37" s="632"/>
      <c r="U37" s="632"/>
      <c r="V37" s="633"/>
      <c r="W37" s="356">
        <f>IFERROR(IF(N37=Suppl!$E$65,0,IF(N37=Suppl!$E$66,1/2/(COUNTIFS($N:$N,"Exigences"&amp;"*")+COUNTIFS($N:$N,"Non"&amp;"*")),IF(N37=Suppl!$E$67,1/(COUNTIFS($N:$N,"Exigences"&amp;"*")+COUNTIFS($N:$N,"Non"&amp;"*")),0))),0)</f>
        <v>0</v>
      </c>
      <c r="X37" s="30"/>
      <c r="Y37" s="30"/>
      <c r="Z37" s="30"/>
      <c r="AA37" s="30"/>
      <c r="AB37" s="30"/>
      <c r="AC37" s="30"/>
      <c r="AD37" s="30"/>
      <c r="AE37" s="30"/>
      <c r="AF37" s="30"/>
      <c r="AG37" s="30"/>
      <c r="AH37" s="112"/>
      <c r="AI37" s="30"/>
    </row>
    <row r="38" spans="1:35" ht="30" customHeight="1" x14ac:dyDescent="0.3">
      <c r="A38" s="112"/>
      <c r="B38" s="30"/>
      <c r="C38" s="30" t="str">
        <f t="shared" si="0"/>
        <v>11</v>
      </c>
      <c r="D38" s="32">
        <f>IF(LEFT(F38,5)="Bonne",#REF!+1,D37)</f>
        <v>3</v>
      </c>
      <c r="E38" s="32" t="str">
        <f t="shared" si="5"/>
        <v>1131</v>
      </c>
      <c r="F38" s="211" t="s">
        <v>550</v>
      </c>
      <c r="G38" s="620" t="str">
        <f>VLOOKUP(E40,BDD!$A$2:$N$567,7,FALSE)</f>
        <v>Pour tous les achats numériques (services externalisés, prestation de services, achats de logiciels ou de matériels), un processus de sélection et de contractualisation des prestataires est mis en place.</v>
      </c>
      <c r="H38" s="621"/>
      <c r="I38" s="621"/>
      <c r="J38" s="621"/>
      <c r="K38" s="621"/>
      <c r="L38" s="621"/>
      <c r="M38" s="621"/>
      <c r="N38" s="622"/>
      <c r="O38" s="631"/>
      <c r="P38" s="631"/>
      <c r="Q38" s="631"/>
      <c r="R38" s="631"/>
      <c r="S38" s="634"/>
      <c r="T38" s="634"/>
      <c r="U38" s="634"/>
      <c r="V38" s="635"/>
      <c r="W38" s="356">
        <f>IFERROR(IF(N38=Suppl!$E$65,0,IF(N38=Suppl!$E$66,1/2/(COUNTIFS($N:$N,"Exigences"&amp;"*")+COUNTIFS($N:$N,"Non"&amp;"*")),IF(N38=Suppl!$E$67,1/(COUNTIFS($N:$N,"Exigences"&amp;"*")+COUNTIFS($N:$N,"Non"&amp;"*")),0))),0)</f>
        <v>0</v>
      </c>
      <c r="X38" s="30"/>
      <c r="Y38" s="30"/>
      <c r="Z38" s="30"/>
      <c r="AA38" s="30"/>
      <c r="AB38" s="30"/>
      <c r="AC38" s="30"/>
      <c r="AD38" s="30"/>
      <c r="AE38" s="30"/>
      <c r="AF38" s="30"/>
      <c r="AG38" s="30"/>
      <c r="AH38" s="112"/>
      <c r="AI38" s="30"/>
    </row>
    <row r="39" spans="1:35" ht="30" customHeight="1" x14ac:dyDescent="0.3">
      <c r="A39" s="112"/>
      <c r="B39" s="30"/>
      <c r="C39" s="30" t="str">
        <f t="shared" si="0"/>
        <v>11</v>
      </c>
      <c r="D39" s="32">
        <f t="shared" si="4"/>
        <v>3</v>
      </c>
      <c r="E39" s="32" t="str">
        <f t="shared" si="5"/>
        <v>1131</v>
      </c>
      <c r="F39" s="143" t="s">
        <v>27</v>
      </c>
      <c r="G39" s="144" t="str">
        <f>VLOOKUP(E39,BDD!$A$2:$N$567,MATCH(G$24,BDD!$A$1:$P$1,0),FALSE)</f>
        <v>Pour les achats à effectuer, les biens et services concernés ont été clairement définis dans un cahier des charges (expression de besoin et exigences de résultat).</v>
      </c>
      <c r="H39" s="149" t="str">
        <f>IF(VLOOKUP($E39,BDD!$A$2:$N$567,MATCH($H$23,BDD!$A$1:$P$1,0),FALSE)=H$24,'V11_Presta&amp;Fournisseurs'!H$24,"")</f>
        <v>N1</v>
      </c>
      <c r="I39" s="150" t="str">
        <f>IF(VLOOKUP($E39,BDD!$A$2:$N$567,MATCH($H$23,BDD!$A$1:$P$1,0),FALSE)=I$24,'V11_Presta&amp;Fournisseurs'!I$24,"")</f>
        <v/>
      </c>
      <c r="J39" s="150" t="str">
        <f>IF(VLOOKUP($E39,BDD!$A$2:$N$567,MATCH($H$23,BDD!$A$1:$P$1,0),FALSE)=J$24,'V11_Presta&amp;Fournisseurs'!J$24,"")</f>
        <v/>
      </c>
      <c r="K39" s="150" t="str">
        <f>IF(VLOOKUP($E39,BDD!$A$2:$N$567,MATCH($H$23,BDD!$A$1:$P$1,0),FALSE)=K$24,'V11_Presta&amp;Fournisseurs'!K$24,"")</f>
        <v/>
      </c>
      <c r="L39" s="151" t="str">
        <f>IF(VLOOKUP($E39,BDD!$A$2:$N$567,MATCH($H$23,BDD!$A$1:$P$1,0),FALSE)=L$24,'V11_Presta&amp;Fournisseurs'!L$24,"")</f>
        <v/>
      </c>
      <c r="M39" s="63">
        <f t="shared" ref="M39:M43" si="7">IF(N39="Exigences partiellement respectées",1,IF(N39="Exigences respectées",2,0))</f>
        <v>0</v>
      </c>
      <c r="N39" s="144" t="str">
        <f>VLOOKUP(VLOOKUP(E39,BDD!$A$2:$P$550,15,FALSE),Suppl!$D$64:$E$68,2,FALSE)</f>
        <v>Non renseigné</v>
      </c>
      <c r="O39" s="626"/>
      <c r="P39" s="626"/>
      <c r="Q39" s="626"/>
      <c r="R39" s="626"/>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112"/>
      <c r="AI39" s="30"/>
    </row>
    <row r="40" spans="1:35" ht="30" customHeight="1" x14ac:dyDescent="0.3">
      <c r="A40" s="112"/>
      <c r="B40" s="30"/>
      <c r="C40" s="30" t="str">
        <f t="shared" si="0"/>
        <v>11</v>
      </c>
      <c r="D40" s="32">
        <f t="shared" si="4"/>
        <v>3</v>
      </c>
      <c r="E40" s="32" t="str">
        <f t="shared" si="5"/>
        <v>1132</v>
      </c>
      <c r="F40" s="145" t="s">
        <v>28</v>
      </c>
      <c r="G40" s="146" t="str">
        <f>VLOOKUP(E40,BDD!$A$2:$N$567,MATCH(G$24,BDD!$A$1:$P$1,0),FALSE)</f>
        <v>Des critères objectifs d'évaluation des offres et des fournisseurs sont définis parallèlement à l'élaboration du cahier des charges.</v>
      </c>
      <c r="H40" s="149" t="str">
        <f>IF(VLOOKUP($E40,BDD!$A$2:$N$567,MATCH($H$23,BDD!$A$1:$P$1,0),FALSE)=H$24,'V11_Presta&amp;Fournisseurs'!H$24,"")</f>
        <v>N1</v>
      </c>
      <c r="I40" s="150" t="str">
        <f>IF(VLOOKUP($E40,BDD!$A$2:$N$567,MATCH($H$23,BDD!$A$1:$P$1,0),FALSE)=I$24,'V11_Presta&amp;Fournisseurs'!I$24,"")</f>
        <v/>
      </c>
      <c r="J40" s="150" t="str">
        <f>IF(VLOOKUP($E40,BDD!$A$2:$N$567,MATCH($H$23,BDD!$A$1:$P$1,0),FALSE)=J$24,'V11_Presta&amp;Fournisseurs'!J$24,"")</f>
        <v/>
      </c>
      <c r="K40" s="150" t="str">
        <f>IF(VLOOKUP($E40,BDD!$A$2:$N$567,MATCH($H$23,BDD!$A$1:$P$1,0),FALSE)=K$24,'V11_Presta&amp;Fournisseurs'!K$24,"")</f>
        <v/>
      </c>
      <c r="L40" s="151" t="str">
        <f>IF(VLOOKUP($E40,BDD!$A$2:$N$567,MATCH($H$23,BDD!$A$1:$P$1,0),FALSE)=L$24,'V11_Presta&amp;Fournisseurs'!L$24,"")</f>
        <v/>
      </c>
      <c r="M40" s="63">
        <f t="shared" si="7"/>
        <v>0</v>
      </c>
      <c r="N40" s="146" t="str">
        <f>VLOOKUP(VLOOKUP(E40,BDD!$A$2:$P$550,15,FALSE),Suppl!$D$64:$E$68,2,FALSE)</f>
        <v>Non renseigné</v>
      </c>
      <c r="O40" s="629"/>
      <c r="P40" s="629"/>
      <c r="Q40" s="629"/>
      <c r="R40" s="629"/>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112"/>
      <c r="AI40" s="30"/>
    </row>
    <row r="41" spans="1:35" ht="30" customHeight="1" x14ac:dyDescent="0.3">
      <c r="A41" s="112"/>
      <c r="B41" s="30"/>
      <c r="C41" s="30" t="str">
        <f t="shared" si="0"/>
        <v>11</v>
      </c>
      <c r="D41" s="32">
        <f t="shared" si="4"/>
        <v>3</v>
      </c>
      <c r="E41" s="32" t="str">
        <f t="shared" si="5"/>
        <v>1133</v>
      </c>
      <c r="F41" s="143" t="s">
        <v>30</v>
      </c>
      <c r="G41" s="144" t="str">
        <f>VLOOKUP(E41,BDD!$A$2:$N$567,MATCH(G$24,BDD!$A$1:$P$1,0),FALSE)</f>
        <v>Les engagements de sécurité, continuité, conformité, réversibilité et RSE sont inclus dans le contrat avec le fournisseur.</v>
      </c>
      <c r="H41" s="149" t="str">
        <f>IF(VLOOKUP($E41,BDD!$A$2:$N$567,MATCH($H$23,BDD!$A$1:$P$1,0),FALSE)=H$24,'V11_Presta&amp;Fournisseurs'!H$24,"")</f>
        <v/>
      </c>
      <c r="I41" s="150" t="str">
        <f>IF(VLOOKUP($E41,BDD!$A$2:$N$567,MATCH($H$23,BDD!$A$1:$P$1,0),FALSE)=I$24,'V11_Presta&amp;Fournisseurs'!I$24,"")</f>
        <v/>
      </c>
      <c r="J41" s="150" t="str">
        <f>IF(VLOOKUP($E41,BDD!$A$2:$N$567,MATCH($H$23,BDD!$A$1:$P$1,0),FALSE)=J$24,'V11_Presta&amp;Fournisseurs'!J$24,"")</f>
        <v>N3</v>
      </c>
      <c r="K41" s="150" t="str">
        <f>IF(VLOOKUP($E41,BDD!$A$2:$N$567,MATCH($H$23,BDD!$A$1:$P$1,0),FALSE)=K$24,'V11_Presta&amp;Fournisseurs'!K$24,"")</f>
        <v/>
      </c>
      <c r="L41" s="151" t="str">
        <f>IF(VLOOKUP($E41,BDD!$A$2:$N$567,MATCH($H$23,BDD!$A$1:$P$1,0),FALSE)=L$24,'V11_Presta&amp;Fournisseurs'!L$24,"")</f>
        <v/>
      </c>
      <c r="M41" s="63">
        <f t="shared" si="7"/>
        <v>0</v>
      </c>
      <c r="N41" s="144" t="str">
        <f>VLOOKUP(VLOOKUP(E41,BDD!$A$2:$P$550,15,FALSE),Suppl!$D$64:$E$68,2,FALSE)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112"/>
      <c r="AI41" s="30"/>
    </row>
    <row r="42" spans="1:35" ht="30" customHeight="1" x14ac:dyDescent="0.3">
      <c r="A42" s="112"/>
      <c r="B42" s="30"/>
      <c r="C42" s="30" t="str">
        <f t="shared" si="0"/>
        <v>11</v>
      </c>
      <c r="D42" s="32">
        <f t="shared" si="4"/>
        <v>3</v>
      </c>
      <c r="E42" s="32" t="str">
        <f t="shared" si="5"/>
        <v>1134</v>
      </c>
      <c r="F42" s="145" t="s">
        <v>32</v>
      </c>
      <c r="G42" s="146" t="str">
        <f>VLOOKUP(E42,BDD!$A$2:$N$567,MATCH(G$24,BDD!$A$1:$P$1,0),FALSE)</f>
        <v>Le contrat comprend les éléments permettant de mesurer la qualité et la performance de l'achat réalisé.</v>
      </c>
      <c r="H42" s="149" t="str">
        <f>IF(VLOOKUP($E42,BDD!$A$2:$N$567,MATCH($H$23,BDD!$A$1:$P$1,0),FALSE)=H$24,'V11_Presta&amp;Fournisseurs'!H$24,"")</f>
        <v/>
      </c>
      <c r="I42" s="150" t="str">
        <f>IF(VLOOKUP($E42,BDD!$A$2:$N$567,MATCH($H$23,BDD!$A$1:$P$1,0),FALSE)=I$24,'V11_Presta&amp;Fournisseurs'!I$24,"")</f>
        <v>N2</v>
      </c>
      <c r="J42" s="150" t="str">
        <f>IF(VLOOKUP($E42,BDD!$A$2:$N$567,MATCH($H$23,BDD!$A$1:$P$1,0),FALSE)=J$24,'V11_Presta&amp;Fournisseurs'!J$24,"")</f>
        <v/>
      </c>
      <c r="K42" s="150" t="str">
        <f>IF(VLOOKUP($E42,BDD!$A$2:$N$567,MATCH($H$23,BDD!$A$1:$P$1,0),FALSE)=K$24,'V11_Presta&amp;Fournisseurs'!K$24,"")</f>
        <v/>
      </c>
      <c r="L42" s="151" t="str">
        <f>IF(VLOOKUP($E42,BDD!$A$2:$N$567,MATCH($H$23,BDD!$A$1:$P$1,0),FALSE)=L$24,'V11_Presta&amp;Fournisseurs'!L$24,"")</f>
        <v/>
      </c>
      <c r="M42" s="63">
        <f t="shared" si="7"/>
        <v>0</v>
      </c>
      <c r="N42" s="146" t="str">
        <f>VLOOKUP(VLOOKUP(E42,BDD!$A$2:$P$550,15,FALSE),Suppl!$D$64:$E$68,2,FALSE)</f>
        <v>Non renseigné</v>
      </c>
      <c r="O42" s="629"/>
      <c r="P42" s="629"/>
      <c r="Q42" s="629"/>
      <c r="R42" s="629"/>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112"/>
      <c r="AI42" s="30"/>
    </row>
    <row r="43" spans="1:35" ht="41.4" x14ac:dyDescent="0.3">
      <c r="A43" s="112"/>
      <c r="B43" s="30"/>
      <c r="C43" s="30" t="str">
        <f t="shared" si="0"/>
        <v>11</v>
      </c>
      <c r="D43" s="32">
        <f t="shared" si="4"/>
        <v>3</v>
      </c>
      <c r="E43" s="32" t="str">
        <f t="shared" si="5"/>
        <v>1135</v>
      </c>
      <c r="F43" s="143" t="s">
        <v>33</v>
      </c>
      <c r="G43" s="144" t="str">
        <f>VLOOKUP(E43,BDD!$A$2:$N$567,MATCH(G$24,BDD!$A$1:$P$1,0),FALSE)</f>
        <v>L'élaboration du contrat et la capacité de le faire évoluer durant son exécution sont le fruit de la collaboration entre toutes les parties prenantes (directions métiers, DSI, fonction achats et fonction juridique).</v>
      </c>
      <c r="H43" s="149" t="str">
        <f>IF(VLOOKUP($E43,BDD!$A$2:$N$567,MATCH($H$23,BDD!$A$1:$P$1,0),FALSE)=H$24,'V11_Presta&amp;Fournisseurs'!H$24,"")</f>
        <v/>
      </c>
      <c r="I43" s="150" t="str">
        <f>IF(VLOOKUP($E43,BDD!$A$2:$N$567,MATCH($H$23,BDD!$A$1:$P$1,0),FALSE)=I$24,'V11_Presta&amp;Fournisseurs'!I$24,"")</f>
        <v>N2</v>
      </c>
      <c r="J43" s="150" t="str">
        <f>IF(VLOOKUP($E43,BDD!$A$2:$N$567,MATCH($H$23,BDD!$A$1:$P$1,0),FALSE)=J$24,'V11_Presta&amp;Fournisseurs'!J$24,"")</f>
        <v/>
      </c>
      <c r="K43" s="150" t="str">
        <f>IF(VLOOKUP($E43,BDD!$A$2:$N$567,MATCH($H$23,BDD!$A$1:$P$1,0),FALSE)=K$24,'V11_Presta&amp;Fournisseurs'!K$24,"")</f>
        <v/>
      </c>
      <c r="L43" s="151" t="str">
        <f>IF(VLOOKUP($E43,BDD!$A$2:$N$567,MATCH($H$23,BDD!$A$1:$P$1,0),FALSE)=L$24,'V11_Presta&amp;Fournisseurs'!L$24,"")</f>
        <v/>
      </c>
      <c r="M43" s="63">
        <f t="shared" si="7"/>
        <v>0</v>
      </c>
      <c r="N43" s="144" t="str">
        <f>VLOOKUP(VLOOKUP(E43,BDD!$A$2:$P$550,15,FALSE),Suppl!$D$64:$E$68,2,FALSE)</f>
        <v>Non renseigné</v>
      </c>
      <c r="O43" s="629"/>
      <c r="P43" s="629"/>
      <c r="Q43" s="629"/>
      <c r="R43" s="629"/>
      <c r="S43" s="627">
        <f>IF(N43=Suppl!$E$65,0,IF(N43=Suppl!$E$66,1/2/(COUNTIFS($D:$D,D43,$N:$N,"Exigences"&amp;"*",G:G,"&lt;&gt;0")+COUNTIFS($D:$D,D43,$N:$N,"Non"&amp;"*",G:G,"&lt;&gt;0")),IF(N43=Suppl!$E$67,1/(COUNTIFS($D:$D,D43,$N:$N,"Exigences"&amp;"*",G:G,"&lt;&gt;0")+COUNTIFS($D:$D,D43,$N:$N,"Non"&amp;"*",G:G,"&lt;&gt;0")),0)))</f>
        <v>0</v>
      </c>
      <c r="T43" s="627"/>
      <c r="U43" s="627"/>
      <c r="V43" s="628"/>
      <c r="W43" s="356">
        <f>IFERROR(IF(N43=Suppl!$E$65,0,IF(N43=Suppl!$E$66,1/2/(COUNTIFS($N:$N,"Exigences"&amp;"*")+COUNTIFS($N:$N,"Non"&amp;"*")),IF(N43=Suppl!$E$67,1/(COUNTIFS($N:$N,"Exigences"&amp;"*")+COUNTIFS($N:$N,"Non"&amp;"*")),0))),0)</f>
        <v>0</v>
      </c>
      <c r="X43" s="30"/>
      <c r="Y43" s="30"/>
      <c r="Z43" s="30"/>
      <c r="AA43" s="30"/>
      <c r="AB43" s="30"/>
      <c r="AC43" s="30"/>
      <c r="AD43" s="30"/>
      <c r="AE43" s="30"/>
      <c r="AF43" s="30"/>
      <c r="AG43" s="30"/>
      <c r="AH43" s="112"/>
      <c r="AI43" s="30"/>
    </row>
    <row r="44" spans="1:35" ht="30" customHeight="1" x14ac:dyDescent="0.3">
      <c r="A44" s="112"/>
      <c r="B44" s="30"/>
      <c r="C44" s="30" t="str">
        <f t="shared" si="0"/>
        <v>11</v>
      </c>
      <c r="D44" s="32">
        <f t="shared" si="4"/>
        <v>4</v>
      </c>
      <c r="E44" s="32" t="str">
        <f t="shared" si="5"/>
        <v>1144</v>
      </c>
      <c r="F44" s="191" t="s">
        <v>502</v>
      </c>
      <c r="G44" s="192" t="str">
        <f>VLOOKUP(E46,BDD!$A$2:$N$567,6,FALSE)</f>
        <v xml:space="preserve">Conduite du changement </v>
      </c>
      <c r="H44" s="190"/>
      <c r="I44" s="135"/>
      <c r="J44" s="135"/>
      <c r="K44" s="135"/>
      <c r="L44" s="136"/>
      <c r="M44" s="137"/>
      <c r="N44" s="138"/>
      <c r="O44" s="630">
        <v>0</v>
      </c>
      <c r="P44" s="630"/>
      <c r="Q44" s="630"/>
      <c r="R44" s="630"/>
      <c r="S44" s="632">
        <f>SUMIFS(S:S,$D:$D,D44,$N:$N,"Exigences"&amp;"*")</f>
        <v>0</v>
      </c>
      <c r="T44" s="632"/>
      <c r="U44" s="632"/>
      <c r="V44" s="633"/>
      <c r="W44" s="356">
        <f>IFERROR(IF(N44=Suppl!$E$65,0,IF(N44=Suppl!$E$66,1/2/(COUNTIFS($N:$N,"Exigences"&amp;"*")+COUNTIFS($N:$N,"Non"&amp;"*")),IF(N44=Suppl!$E$67,1/(COUNTIFS($N:$N,"Exigences"&amp;"*")+COUNTIFS($N:$N,"Non"&amp;"*")),0))),0)</f>
        <v>0</v>
      </c>
      <c r="X44" s="30"/>
      <c r="Y44" s="30"/>
      <c r="Z44" s="30"/>
      <c r="AA44" s="30"/>
      <c r="AB44" s="30"/>
      <c r="AC44" s="30"/>
      <c r="AD44" s="30"/>
      <c r="AE44" s="30"/>
      <c r="AF44" s="30"/>
      <c r="AG44" s="30"/>
      <c r="AH44" s="112"/>
      <c r="AI44" s="30"/>
    </row>
    <row r="45" spans="1:35" ht="30" customHeight="1" x14ac:dyDescent="0.3">
      <c r="A45" s="112"/>
      <c r="B45" s="30"/>
      <c r="C45" s="30" t="str">
        <f t="shared" si="0"/>
        <v>11</v>
      </c>
      <c r="D45" s="32">
        <f t="shared" si="4"/>
        <v>4</v>
      </c>
      <c r="E45" s="32" t="str">
        <f t="shared" si="5"/>
        <v>1141</v>
      </c>
      <c r="F45" s="211" t="s">
        <v>550</v>
      </c>
      <c r="G45" s="193" t="str">
        <f>VLOOKUP(E47,BDD!$A$2:$N$567,7,FALSE)</f>
        <v>Pour chacune des activités SI à externaliser, il existe une démarche de transition et de conduite du changement.</v>
      </c>
      <c r="H45" s="139"/>
      <c r="I45" s="139"/>
      <c r="J45" s="139"/>
      <c r="K45" s="139"/>
      <c r="L45" s="140"/>
      <c r="M45" s="141"/>
      <c r="N45" s="142"/>
      <c r="O45" s="631"/>
      <c r="P45" s="631"/>
      <c r="Q45" s="631"/>
      <c r="R45" s="631"/>
      <c r="S45" s="634"/>
      <c r="T45" s="634"/>
      <c r="U45" s="634"/>
      <c r="V45" s="635"/>
      <c r="W45" s="356">
        <f>IFERROR(IF(N45=Suppl!$E$65,0,IF(N45=Suppl!$E$66,1/2/(COUNTIFS($N:$N,"Exigences"&amp;"*")+COUNTIFS($N:$N,"Non"&amp;"*")),IF(N45=Suppl!$E$67,1/(COUNTIFS($N:$N,"Exigences"&amp;"*")+COUNTIFS($N:$N,"Non"&amp;"*")),0))),0)</f>
        <v>0</v>
      </c>
      <c r="X45" s="30"/>
      <c r="Y45" s="30"/>
      <c r="Z45" s="30"/>
      <c r="AA45" s="30"/>
      <c r="AB45" s="30"/>
      <c r="AC45" s="30"/>
      <c r="AD45" s="30"/>
      <c r="AE45" s="30"/>
      <c r="AF45" s="30"/>
      <c r="AG45" s="30"/>
      <c r="AH45" s="112"/>
      <c r="AI45" s="30"/>
    </row>
    <row r="46" spans="1:35" ht="30" customHeight="1" x14ac:dyDescent="0.3">
      <c r="A46" s="112"/>
      <c r="B46" s="30"/>
      <c r="C46" s="30" t="str">
        <f t="shared" si="0"/>
        <v>11</v>
      </c>
      <c r="D46" s="32">
        <f t="shared" si="4"/>
        <v>4</v>
      </c>
      <c r="E46" s="32" t="str">
        <f t="shared" si="5"/>
        <v>1141</v>
      </c>
      <c r="F46" s="143" t="s">
        <v>27</v>
      </c>
      <c r="G46" s="144" t="str">
        <f>VLOOKUP(E46,BDD!$A$2:$N$567,MATCH(G$24,BDD!$A$1:$P$1,0),FALSE)</f>
        <v>Un planning de transition et de conduite du changement est défini comprenant les principales étapes à suivre.</v>
      </c>
      <c r="H46" s="149" t="str">
        <f>IF(VLOOKUP($E46,BDD!$A$2:$N$567,MATCH($H$23,BDD!$A$1:$P$1,0),FALSE)=H$24,'V11_Presta&amp;Fournisseurs'!H$24,"")</f>
        <v>N1</v>
      </c>
      <c r="I46" s="150" t="str">
        <f>IF(VLOOKUP($E46,BDD!$A$2:$N$567,MATCH($H$23,BDD!$A$1:$P$1,0),FALSE)=I$24,'V11_Presta&amp;Fournisseurs'!I$24,"")</f>
        <v/>
      </c>
      <c r="J46" s="150" t="str">
        <f>IF(VLOOKUP($E46,BDD!$A$2:$N$567,MATCH($H$23,BDD!$A$1:$P$1,0),FALSE)=J$24,'V11_Presta&amp;Fournisseurs'!J$24,"")</f>
        <v/>
      </c>
      <c r="K46" s="150" t="str">
        <f>IF(VLOOKUP($E46,BDD!$A$2:$N$567,MATCH($H$23,BDD!$A$1:$P$1,0),FALSE)=K$24,'V11_Presta&amp;Fournisseurs'!K$24,"")</f>
        <v/>
      </c>
      <c r="L46" s="151" t="str">
        <f>IF(VLOOKUP($E46,BDD!$A$2:$N$567,MATCH($H$23,BDD!$A$1:$P$1,0),FALSE)=L$24,'V11_Presta&amp;Fournisseurs'!L$24,"")</f>
        <v/>
      </c>
      <c r="M46" s="63">
        <f t="shared" ref="M46:M50" si="8">IF(N46="Exigences partiellement respectées",1,IF(N46="Exigences respectées",2,0))</f>
        <v>0</v>
      </c>
      <c r="N46" s="144" t="str">
        <f>VLOOKUP(VLOOKUP(E46,BDD!$A$2:$P$550,15,FALSE),Suppl!$D$64:$E$68,2,FALSE)</f>
        <v>Non renseigné</v>
      </c>
      <c r="O46" s="626"/>
      <c r="P46" s="626"/>
      <c r="Q46" s="626"/>
      <c r="R46" s="626"/>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112"/>
      <c r="AI46" s="30"/>
    </row>
    <row r="47" spans="1:35" ht="30" customHeight="1" x14ac:dyDescent="0.3">
      <c r="A47" s="112"/>
      <c r="B47" s="30"/>
      <c r="C47" s="30" t="str">
        <f t="shared" si="0"/>
        <v>11</v>
      </c>
      <c r="D47" s="32">
        <f t="shared" si="4"/>
        <v>4</v>
      </c>
      <c r="E47" s="32" t="str">
        <f t="shared" si="5"/>
        <v>1142</v>
      </c>
      <c r="F47" s="145" t="s">
        <v>28</v>
      </c>
      <c r="G47" s="146" t="str">
        <f>VLOOKUP(E47,BDD!$A$2:$N$567,MATCH(G$24,BDD!$A$1:$P$1,0),FALSE)</f>
        <v>Un dispositif de gouvernance est en place pour piloter l'exécution du processus de transition.</v>
      </c>
      <c r="H47" s="149" t="str">
        <f>IF(VLOOKUP($E47,BDD!$A$2:$N$567,MATCH($H$23,BDD!$A$1:$P$1,0),FALSE)=H$24,'V11_Presta&amp;Fournisseurs'!H$24,"")</f>
        <v/>
      </c>
      <c r="I47" s="150" t="str">
        <f>IF(VLOOKUP($E47,BDD!$A$2:$N$567,MATCH($H$23,BDD!$A$1:$P$1,0),FALSE)=I$24,'V11_Presta&amp;Fournisseurs'!I$24,"")</f>
        <v>N2</v>
      </c>
      <c r="J47" s="150" t="str">
        <f>IF(VLOOKUP($E47,BDD!$A$2:$N$567,MATCH($H$23,BDD!$A$1:$P$1,0),FALSE)=J$24,'V11_Presta&amp;Fournisseurs'!J$24,"")</f>
        <v/>
      </c>
      <c r="K47" s="150" t="str">
        <f>IF(VLOOKUP($E47,BDD!$A$2:$N$567,MATCH($H$23,BDD!$A$1:$P$1,0),FALSE)=K$24,'V11_Presta&amp;Fournisseurs'!K$24,"")</f>
        <v/>
      </c>
      <c r="L47" s="151" t="str">
        <f>IF(VLOOKUP($E47,BDD!$A$2:$N$567,MATCH($H$23,BDD!$A$1:$P$1,0),FALSE)=L$24,'V11_Presta&amp;Fournisseurs'!L$24,"")</f>
        <v/>
      </c>
      <c r="M47" s="63">
        <f t="shared" si="8"/>
        <v>0</v>
      </c>
      <c r="N47" s="146" t="str">
        <f>VLOOKUP(VLOOKUP(E47,BDD!$A$2:$P$550,15,FALSE),Suppl!$D$64:$E$68,2,FALSE)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112"/>
      <c r="AI47" s="30"/>
    </row>
    <row r="48" spans="1:35" ht="30" customHeight="1" x14ac:dyDescent="0.3">
      <c r="A48" s="112"/>
      <c r="B48" s="30"/>
      <c r="C48" s="30" t="str">
        <f t="shared" si="0"/>
        <v>11</v>
      </c>
      <c r="D48" s="32">
        <f t="shared" si="4"/>
        <v>4</v>
      </c>
      <c r="E48" s="32" t="str">
        <f t="shared" si="5"/>
        <v>1143</v>
      </c>
      <c r="F48" s="143" t="s">
        <v>30</v>
      </c>
      <c r="G48" s="144" t="str">
        <f>VLOOKUP(E48,BDD!$A$2:$N$567,MATCH(G$24,BDD!$A$1:$P$1,0),FALSE)</f>
        <v>Le plan de transfert de l'activité à un prestataire a été défini et inclut les éventuels impacts RH qui auront été anticipés avant l'émission de l'appel d'offres.</v>
      </c>
      <c r="H48" s="149" t="str">
        <f>IF(VLOOKUP($E48,BDD!$A$2:$N$567,MATCH($H$23,BDD!$A$1:$P$1,0),FALSE)=H$24,'V11_Presta&amp;Fournisseurs'!H$24,"")</f>
        <v/>
      </c>
      <c r="I48" s="150" t="str">
        <f>IF(VLOOKUP($E48,BDD!$A$2:$N$567,MATCH($H$23,BDD!$A$1:$P$1,0),FALSE)=I$24,'V11_Presta&amp;Fournisseurs'!I$24,"")</f>
        <v>N2</v>
      </c>
      <c r="J48" s="150" t="str">
        <f>IF(VLOOKUP($E48,BDD!$A$2:$N$567,MATCH($H$23,BDD!$A$1:$P$1,0),FALSE)=J$24,'V11_Presta&amp;Fournisseurs'!J$24,"")</f>
        <v/>
      </c>
      <c r="K48" s="150" t="str">
        <f>IF(VLOOKUP($E48,BDD!$A$2:$N$567,MATCH($H$23,BDD!$A$1:$P$1,0),FALSE)=K$24,'V11_Presta&amp;Fournisseurs'!K$24,"")</f>
        <v/>
      </c>
      <c r="L48" s="151" t="str">
        <f>IF(VLOOKUP($E48,BDD!$A$2:$N$567,MATCH($H$23,BDD!$A$1:$P$1,0),FALSE)=L$24,'V11_Presta&amp;Fournisseurs'!L$24,"")</f>
        <v/>
      </c>
      <c r="M48" s="63">
        <f t="shared" si="8"/>
        <v>0</v>
      </c>
      <c r="N48" s="144" t="str">
        <f>VLOOKUP(VLOOKUP(E48,BDD!$A$2:$P$550,15,FALSE),Suppl!$D$64:$E$68,2,FALSE)</f>
        <v>Non renseigné</v>
      </c>
      <c r="O48" s="629"/>
      <c r="P48" s="629"/>
      <c r="Q48" s="629"/>
      <c r="R48" s="629"/>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112"/>
      <c r="AI48" s="30"/>
    </row>
    <row r="49" spans="1:35" ht="30" customHeight="1" x14ac:dyDescent="0.3">
      <c r="A49" s="112"/>
      <c r="B49" s="30"/>
      <c r="C49" s="30" t="str">
        <f t="shared" si="0"/>
        <v>11</v>
      </c>
      <c r="D49" s="32">
        <f t="shared" si="4"/>
        <v>4</v>
      </c>
      <c r="E49" s="32" t="str">
        <f t="shared" si="5"/>
        <v>1144</v>
      </c>
      <c r="F49" s="145" t="s">
        <v>32</v>
      </c>
      <c r="G49" s="146" t="str">
        <f>VLOOKUP(E49,BDD!$A$2:$N$567,MATCH(G$24,BDD!$A$1:$P$1,0),FALSE)</f>
        <v>Les modalités de transfert de données au prestataire sont définies dans un PV de transfert qui matérialise la transaction.</v>
      </c>
      <c r="H49" s="149" t="str">
        <f>IF(VLOOKUP($E49,BDD!$A$2:$N$567,MATCH($H$23,BDD!$A$1:$P$1,0),FALSE)=H$24,'V11_Presta&amp;Fournisseurs'!H$24,"")</f>
        <v/>
      </c>
      <c r="I49" s="150" t="str">
        <f>IF(VLOOKUP($E49,BDD!$A$2:$N$567,MATCH($H$23,BDD!$A$1:$P$1,0),FALSE)=I$24,'V11_Presta&amp;Fournisseurs'!I$24,"")</f>
        <v>N2</v>
      </c>
      <c r="J49" s="150" t="str">
        <f>IF(VLOOKUP($E49,BDD!$A$2:$N$567,MATCH($H$23,BDD!$A$1:$P$1,0),FALSE)=J$24,'V11_Presta&amp;Fournisseurs'!J$24,"")</f>
        <v/>
      </c>
      <c r="K49" s="150" t="str">
        <f>IF(VLOOKUP($E49,BDD!$A$2:$N$567,MATCH($H$23,BDD!$A$1:$P$1,0),FALSE)=K$24,'V11_Presta&amp;Fournisseurs'!K$24,"")</f>
        <v/>
      </c>
      <c r="L49" s="151" t="str">
        <f>IF(VLOOKUP($E49,BDD!$A$2:$N$567,MATCH($H$23,BDD!$A$1:$P$1,0),FALSE)=L$24,'V11_Presta&amp;Fournisseurs'!L$24,"")</f>
        <v/>
      </c>
      <c r="M49" s="63">
        <f t="shared" si="8"/>
        <v>0</v>
      </c>
      <c r="N49" s="146" t="str">
        <f>VLOOKUP(VLOOKUP(E49,BDD!$A$2:$P$550,15,FALSE),Suppl!$D$64:$E$68,2,FALSE)</f>
        <v>Non renseigné</v>
      </c>
      <c r="O49" s="629"/>
      <c r="P49" s="629"/>
      <c r="Q49" s="629"/>
      <c r="R49" s="629"/>
      <c r="S49" s="627">
        <f>IF(N49=Suppl!$E$65,0,IF(N49=Suppl!$E$66,1/2/(COUNTIFS($D:$D,D49,$N:$N,"Exigences"&amp;"*",G:G,"&lt;&gt;0")+COUNTIFS($D:$D,D49,$N:$N,"Non"&amp;"*",G:G,"&lt;&gt;0")),IF(N49=Suppl!$E$67,1/(COUNTIFS($D:$D,D49,$N:$N,"Exigences"&amp;"*",G:G,"&lt;&gt;0")+COUNTIFS($D:$D,D49,$N:$N,"Non"&amp;"*",G:G,"&lt;&gt;0")),0)))</f>
        <v>0</v>
      </c>
      <c r="T49" s="627"/>
      <c r="U49" s="627"/>
      <c r="V49" s="628"/>
      <c r="W49" s="356">
        <f>IFERROR(IF(N49=Suppl!$E$65,0,IF(N49=Suppl!$E$66,1/2/(COUNTIFS($N:$N,"Exigences"&amp;"*")+COUNTIFS($N:$N,"Non"&amp;"*")),IF(N49=Suppl!$E$67,1/(COUNTIFS($N:$N,"Exigences"&amp;"*")+COUNTIFS($N:$N,"Non"&amp;"*")),0))),0)</f>
        <v>0</v>
      </c>
      <c r="X49" s="30"/>
      <c r="Y49" s="30"/>
      <c r="Z49" s="30"/>
      <c r="AA49" s="30"/>
      <c r="AB49" s="30"/>
      <c r="AC49" s="30"/>
      <c r="AD49" s="30"/>
      <c r="AE49" s="30"/>
      <c r="AF49" s="30"/>
      <c r="AG49" s="30"/>
      <c r="AH49" s="112"/>
      <c r="AI49" s="30"/>
    </row>
    <row r="50" spans="1:35" ht="30" customHeight="1" x14ac:dyDescent="0.3">
      <c r="A50" s="112"/>
      <c r="B50" s="30"/>
      <c r="C50" s="30" t="str">
        <f t="shared" si="0"/>
        <v>11</v>
      </c>
      <c r="D50" s="32">
        <f t="shared" si="4"/>
        <v>4</v>
      </c>
      <c r="E50" s="32" t="str">
        <f t="shared" si="5"/>
        <v>1145</v>
      </c>
      <c r="F50" s="143" t="s">
        <v>33</v>
      </c>
      <c r="G50" s="144" t="str">
        <f>VLOOKUP(E50,BDD!$A$2:$N$567,MATCH(G$24,BDD!$A$1:$P$1,0),FALSE)</f>
        <v>Les modalités de transfert de connaissances et compétences sont définies et leur mise en œuvre est pilotée.</v>
      </c>
      <c r="H50" s="149" t="str">
        <f>IF(VLOOKUP($E50,BDD!$A$2:$N$567,MATCH($H$23,BDD!$A$1:$P$1,0),FALSE)=H$24,'V11_Presta&amp;Fournisseurs'!H$24,"")</f>
        <v/>
      </c>
      <c r="I50" s="150" t="str">
        <f>IF(VLOOKUP($E50,BDD!$A$2:$N$567,MATCH($H$23,BDD!$A$1:$P$1,0),FALSE)=I$24,'V11_Presta&amp;Fournisseurs'!I$24,"")</f>
        <v>N2</v>
      </c>
      <c r="J50" s="150" t="str">
        <f>IF(VLOOKUP($E50,BDD!$A$2:$N$567,MATCH($H$23,BDD!$A$1:$P$1,0),FALSE)=J$24,'V11_Presta&amp;Fournisseurs'!J$24,"")</f>
        <v/>
      </c>
      <c r="K50" s="150" t="str">
        <f>IF(VLOOKUP($E50,BDD!$A$2:$N$567,MATCH($H$23,BDD!$A$1:$P$1,0),FALSE)=K$24,'V11_Presta&amp;Fournisseurs'!K$24,"")</f>
        <v/>
      </c>
      <c r="L50" s="151" t="str">
        <f>IF(VLOOKUP($E50,BDD!$A$2:$N$567,MATCH($H$23,BDD!$A$1:$P$1,0),FALSE)=L$24,'V11_Presta&amp;Fournisseurs'!L$24,"")</f>
        <v/>
      </c>
      <c r="M50" s="63">
        <f t="shared" si="8"/>
        <v>0</v>
      </c>
      <c r="N50" s="144" t="str">
        <f>VLOOKUP(VLOOKUP(E50,BDD!$A$2:$P$550,15,FALSE),Suppl!$D$64:$E$68,2,FALSE)</f>
        <v>Non renseigné</v>
      </c>
      <c r="O50" s="629"/>
      <c r="P50" s="629"/>
      <c r="Q50" s="629"/>
      <c r="R50" s="629"/>
      <c r="S50" s="627">
        <f>IF(N50=Suppl!$E$65,0,IF(N50=Suppl!$E$66,1/2/(COUNTIFS($D:$D,D50,$N:$N,"Exigences"&amp;"*",G:G,"&lt;&gt;0")+COUNTIFS($D:$D,D50,$N:$N,"Non"&amp;"*",G:G,"&lt;&gt;0")),IF(N50=Suppl!$E$67,1/(COUNTIFS($D:$D,D50,$N:$N,"Exigences"&amp;"*",G:G,"&lt;&gt;0")+COUNTIFS($D:$D,D50,$N:$N,"Non"&amp;"*",G:G,"&lt;&gt;0")),0)))</f>
        <v>0</v>
      </c>
      <c r="T50" s="627"/>
      <c r="U50" s="627"/>
      <c r="V50" s="628"/>
      <c r="W50" s="356">
        <f>IFERROR(IF(N50=Suppl!$E$65,0,IF(N50=Suppl!$E$66,1/2/(COUNTIFS($N:$N,"Exigences"&amp;"*")+COUNTIFS($N:$N,"Non"&amp;"*")),IF(N50=Suppl!$E$67,1/(COUNTIFS($N:$N,"Exigences"&amp;"*")+COUNTIFS($N:$N,"Non"&amp;"*")),0))),0)</f>
        <v>0</v>
      </c>
      <c r="X50" s="30"/>
      <c r="Y50" s="30"/>
      <c r="Z50" s="30"/>
      <c r="AA50" s="30"/>
      <c r="AB50" s="30"/>
      <c r="AC50" s="30"/>
      <c r="AD50" s="30"/>
      <c r="AE50" s="30"/>
      <c r="AF50" s="30"/>
      <c r="AG50" s="30"/>
      <c r="AH50" s="112"/>
      <c r="AI50" s="30"/>
    </row>
    <row r="51" spans="1:35" ht="30" customHeight="1" x14ac:dyDescent="0.3">
      <c r="A51" s="112"/>
      <c r="B51" s="30"/>
      <c r="C51" s="30" t="str">
        <f t="shared" si="0"/>
        <v>11</v>
      </c>
      <c r="D51" s="32">
        <f t="shared" si="4"/>
        <v>5</v>
      </c>
      <c r="E51" s="32" t="str">
        <f t="shared" si="5"/>
        <v>1155</v>
      </c>
      <c r="F51" s="191" t="s">
        <v>503</v>
      </c>
      <c r="G51" s="192" t="str">
        <f>VLOOKUP(E53,BDD!$A$2:$N$567,6,FALSE)</f>
        <v>Pilotage des services externalisés et des prestations</v>
      </c>
      <c r="H51" s="190"/>
      <c r="I51" s="135"/>
      <c r="J51" s="135"/>
      <c r="K51" s="135"/>
      <c r="L51" s="136"/>
      <c r="M51" s="137"/>
      <c r="N51" s="138"/>
      <c r="O51" s="630">
        <v>0</v>
      </c>
      <c r="P51" s="630"/>
      <c r="Q51" s="630"/>
      <c r="R51" s="630"/>
      <c r="S51" s="632">
        <f>SUMIFS(S:S,$D:$D,D51,$N:$N,"Exigences"&amp;"*")</f>
        <v>0</v>
      </c>
      <c r="T51" s="632"/>
      <c r="U51" s="632"/>
      <c r="V51" s="633"/>
      <c r="W51" s="356">
        <f>IFERROR(IF(N51=Suppl!$E$65,0,IF(N51=Suppl!$E$66,1/2/(COUNTIFS($N:$N,"Exigences"&amp;"*")+COUNTIFS($N:$N,"Non"&amp;"*")),IF(N51=Suppl!$E$67,1/(COUNTIFS($N:$N,"Exigences"&amp;"*")+COUNTIFS($N:$N,"Non"&amp;"*")),0))),0)</f>
        <v>0</v>
      </c>
      <c r="X51" s="30"/>
      <c r="Y51" s="30"/>
      <c r="Z51" s="30"/>
      <c r="AA51" s="30"/>
      <c r="AB51" s="30"/>
      <c r="AC51" s="30"/>
      <c r="AD51" s="30"/>
      <c r="AE51" s="30"/>
      <c r="AF51" s="30"/>
      <c r="AG51" s="30"/>
      <c r="AH51" s="112"/>
      <c r="AI51" s="30"/>
    </row>
    <row r="52" spans="1:35" ht="30" customHeight="1" x14ac:dyDescent="0.3">
      <c r="A52" s="112"/>
      <c r="B52" s="30"/>
      <c r="C52" s="30" t="str">
        <f t="shared" si="0"/>
        <v>11</v>
      </c>
      <c r="D52" s="32">
        <f t="shared" si="4"/>
        <v>5</v>
      </c>
      <c r="E52" s="32" t="str">
        <f t="shared" si="5"/>
        <v>1151</v>
      </c>
      <c r="F52" s="211" t="s">
        <v>550</v>
      </c>
      <c r="G52" s="193" t="str">
        <f>VLOOKUP(E54,BDD!$A$2:$N$567,7,FALSE)</f>
        <v>Le pilotage opérationnel des services IT externalisés et des prestations est structuré pour garantir la performance et l'amélioration des services fournis.</v>
      </c>
      <c r="H52" s="139"/>
      <c r="I52" s="139"/>
      <c r="J52" s="139"/>
      <c r="K52" s="139"/>
      <c r="L52" s="140"/>
      <c r="M52" s="141"/>
      <c r="N52" s="142"/>
      <c r="O52" s="631"/>
      <c r="P52" s="631"/>
      <c r="Q52" s="631"/>
      <c r="R52" s="631"/>
      <c r="S52" s="634"/>
      <c r="T52" s="634"/>
      <c r="U52" s="634"/>
      <c r="V52" s="635"/>
      <c r="W52" s="356">
        <f>IFERROR(IF(N52=Suppl!$E$65,0,IF(N52=Suppl!$E$66,1/2/(COUNTIFS($N:$N,"Exigences"&amp;"*")+COUNTIFS($N:$N,"Non"&amp;"*")),IF(N52=Suppl!$E$67,1/(COUNTIFS($N:$N,"Exigences"&amp;"*")+COUNTIFS($N:$N,"Non"&amp;"*")),0))),0)</f>
        <v>0</v>
      </c>
      <c r="X52" s="30"/>
      <c r="Y52" s="30"/>
      <c r="Z52" s="30"/>
      <c r="AA52" s="30"/>
      <c r="AB52" s="30"/>
      <c r="AC52" s="30"/>
      <c r="AD52" s="30"/>
      <c r="AE52" s="30"/>
      <c r="AF52" s="30"/>
      <c r="AG52" s="30"/>
      <c r="AH52" s="112"/>
      <c r="AI52" s="30"/>
    </row>
    <row r="53" spans="1:35" ht="30" customHeight="1" x14ac:dyDescent="0.3">
      <c r="A53" s="112"/>
      <c r="B53" s="30"/>
      <c r="C53" s="30" t="str">
        <f t="shared" si="0"/>
        <v>11</v>
      </c>
      <c r="D53" s="32">
        <f t="shared" si="4"/>
        <v>5</v>
      </c>
      <c r="E53" s="32" t="str">
        <f t="shared" si="5"/>
        <v>1151</v>
      </c>
      <c r="F53" s="143" t="s">
        <v>27</v>
      </c>
      <c r="G53" s="144" t="str">
        <f>VLOOKUP(E53,BDD!$A$2:$N$567,MATCH(G$24,BDD!$A$1:$P$1,0),FALSE)</f>
        <v>Des indicateurs (KPI et SLA) ont été définis et mis en place pour mesurer la valeur apportée à l'organisation lors d'une externalisation de services.</v>
      </c>
      <c r="H53" s="149" t="str">
        <f>IF(VLOOKUP($E53,BDD!$A$2:$N$567,MATCH($H$23,BDD!$A$1:$P$1,0),FALSE)=H$24,'V11_Presta&amp;Fournisseurs'!H$24,"")</f>
        <v>N1</v>
      </c>
      <c r="I53" s="150" t="str">
        <f>IF(VLOOKUP($E53,BDD!$A$2:$N$567,MATCH($H$23,BDD!$A$1:$P$1,0),FALSE)=I$24,'V11_Presta&amp;Fournisseurs'!I$24,"")</f>
        <v/>
      </c>
      <c r="J53" s="150" t="str">
        <f>IF(VLOOKUP($E53,BDD!$A$2:$N$567,MATCH($H$23,BDD!$A$1:$P$1,0),FALSE)=J$24,'V11_Presta&amp;Fournisseurs'!J$24,"")</f>
        <v/>
      </c>
      <c r="K53" s="150" t="str">
        <f>IF(VLOOKUP($E53,BDD!$A$2:$N$567,MATCH($H$23,BDD!$A$1:$P$1,0),FALSE)=K$24,'V11_Presta&amp;Fournisseurs'!K$24,"")</f>
        <v/>
      </c>
      <c r="L53" s="151" t="str">
        <f>IF(VLOOKUP($E53,BDD!$A$2:$N$567,MATCH($H$23,BDD!$A$1:$P$1,0),FALSE)=L$24,'V11_Presta&amp;Fournisseurs'!L$24,"")</f>
        <v/>
      </c>
      <c r="M53" s="63">
        <f t="shared" ref="M53:M59" si="9">IF(N53="Exigences partiellement respectées",1,IF(N53="Exigences respectées",2,0))</f>
        <v>0</v>
      </c>
      <c r="N53" s="144" t="str">
        <f>VLOOKUP(VLOOKUP(E53,BDD!$A$2:$P$550,15,FALSE),Suppl!$D$64:$E$68,2,FALSE)</f>
        <v>Non renseigné</v>
      </c>
      <c r="O53" s="626"/>
      <c r="P53" s="626"/>
      <c r="Q53" s="626"/>
      <c r="R53" s="626"/>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112"/>
      <c r="AI53" s="30"/>
    </row>
    <row r="54" spans="1:35" ht="30" customHeight="1" x14ac:dyDescent="0.3">
      <c r="A54" s="112"/>
      <c r="B54" s="30"/>
      <c r="C54" s="30" t="str">
        <f t="shared" si="0"/>
        <v>11</v>
      </c>
      <c r="D54" s="32">
        <f t="shared" si="4"/>
        <v>5</v>
      </c>
      <c r="E54" s="32" t="str">
        <f t="shared" si="5"/>
        <v>1152</v>
      </c>
      <c r="F54" s="145" t="s">
        <v>28</v>
      </c>
      <c r="G54" s="146" t="str">
        <f>VLOOKUP(E54,BDD!$A$2:$N$567,MATCH(G$24,BDD!$A$1:$P$1,0),FALSE)</f>
        <v>Un suivi des services externalisés et des prestations est organisé et adapté à la nature du service.</v>
      </c>
      <c r="H54" s="149" t="str">
        <f>IF(VLOOKUP($E54,BDD!$A$2:$N$567,MATCH($H$23,BDD!$A$1:$P$1,0),FALSE)=H$24,'V11_Presta&amp;Fournisseurs'!H$24,"")</f>
        <v>N1</v>
      </c>
      <c r="I54" s="150" t="str">
        <f>IF(VLOOKUP($E54,BDD!$A$2:$N$567,MATCH($H$23,BDD!$A$1:$P$1,0),FALSE)=I$24,'V11_Presta&amp;Fournisseurs'!I$24,"")</f>
        <v/>
      </c>
      <c r="J54" s="150" t="str">
        <f>IF(VLOOKUP($E54,BDD!$A$2:$N$567,MATCH($H$23,BDD!$A$1:$P$1,0),FALSE)=J$24,'V11_Presta&amp;Fournisseurs'!J$24,"")</f>
        <v/>
      </c>
      <c r="K54" s="150" t="str">
        <f>IF(VLOOKUP($E54,BDD!$A$2:$N$567,MATCH($H$23,BDD!$A$1:$P$1,0),FALSE)=K$24,'V11_Presta&amp;Fournisseurs'!K$24,"")</f>
        <v/>
      </c>
      <c r="L54" s="151" t="str">
        <f>IF(VLOOKUP($E54,BDD!$A$2:$N$567,MATCH($H$23,BDD!$A$1:$P$1,0),FALSE)=L$24,'V11_Presta&amp;Fournisseurs'!L$24,"")</f>
        <v/>
      </c>
      <c r="M54" s="63">
        <f t="shared" si="9"/>
        <v>0</v>
      </c>
      <c r="N54" s="146" t="str">
        <f>VLOOKUP(VLOOKUP(E54,BDD!$A$2:$P$550,15,FALSE),Suppl!$D$64:$E$68,2,FALSE)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112"/>
      <c r="AI54" s="30"/>
    </row>
    <row r="55" spans="1:35" ht="30" customHeight="1" x14ac:dyDescent="0.3">
      <c r="A55" s="112"/>
      <c r="B55" s="30"/>
      <c r="C55" s="30" t="str">
        <f t="shared" si="0"/>
        <v>11</v>
      </c>
      <c r="D55" s="32">
        <f t="shared" si="4"/>
        <v>5</v>
      </c>
      <c r="E55" s="32" t="str">
        <f t="shared" si="5"/>
        <v>1153</v>
      </c>
      <c r="F55" s="143" t="s">
        <v>30</v>
      </c>
      <c r="G55" s="144" t="str">
        <f>VLOOKUP(E55,BDD!$A$2:$N$567,MATCH(G$24,BDD!$A$1:$P$1,0),FALSE)</f>
        <v>La gestion des incidents et des problèmes est structurée pour assurer une résolution efficace et pérenne.</v>
      </c>
      <c r="H55" s="149" t="str">
        <f>IF(VLOOKUP($E55,BDD!$A$2:$N$567,MATCH($H$23,BDD!$A$1:$P$1,0),FALSE)=H$24,'V11_Presta&amp;Fournisseurs'!H$24,"")</f>
        <v/>
      </c>
      <c r="I55" s="150" t="str">
        <f>IF(VLOOKUP($E55,BDD!$A$2:$N$567,MATCH($H$23,BDD!$A$1:$P$1,0),FALSE)=I$24,'V11_Presta&amp;Fournisseurs'!I$24,"")</f>
        <v>N2</v>
      </c>
      <c r="J55" s="150" t="str">
        <f>IF(VLOOKUP($E55,BDD!$A$2:$N$567,MATCH($H$23,BDD!$A$1:$P$1,0),FALSE)=J$24,'V11_Presta&amp;Fournisseurs'!J$24,"")</f>
        <v/>
      </c>
      <c r="K55" s="150" t="str">
        <f>IF(VLOOKUP($E55,BDD!$A$2:$N$567,MATCH($H$23,BDD!$A$1:$P$1,0),FALSE)=K$24,'V11_Presta&amp;Fournisseurs'!K$24,"")</f>
        <v/>
      </c>
      <c r="L55" s="151" t="str">
        <f>IF(VLOOKUP($E55,BDD!$A$2:$N$567,MATCH($H$23,BDD!$A$1:$P$1,0),FALSE)=L$24,'V11_Presta&amp;Fournisseurs'!L$24,"")</f>
        <v/>
      </c>
      <c r="M55" s="63">
        <f t="shared" si="9"/>
        <v>0</v>
      </c>
      <c r="N55" s="144" t="str">
        <f>VLOOKUP(VLOOKUP(E55,BDD!$A$2:$P$550,15,FALSE),Suppl!$D$64:$E$68,2,FALSE)</f>
        <v>Non renseigné</v>
      </c>
      <c r="O55" s="629"/>
      <c r="P55" s="629"/>
      <c r="Q55" s="629"/>
      <c r="R55" s="629"/>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112"/>
      <c r="AI55" s="30"/>
    </row>
    <row r="56" spans="1:35" ht="30" customHeight="1" x14ac:dyDescent="0.3">
      <c r="A56" s="112"/>
      <c r="B56" s="30"/>
      <c r="C56" s="30" t="str">
        <f t="shared" si="0"/>
        <v>11</v>
      </c>
      <c r="D56" s="32">
        <f t="shared" si="4"/>
        <v>5</v>
      </c>
      <c r="E56" s="32" t="str">
        <f t="shared" si="5"/>
        <v>1154</v>
      </c>
      <c r="F56" s="145" t="s">
        <v>32</v>
      </c>
      <c r="G56" s="146" t="str">
        <f>VLOOKUP(E56,BDD!$A$2:$N$567,MATCH(G$24,BDD!$A$1:$P$1,0),FALSE)</f>
        <v>Une revue périodique (au moins annuelle) des contrats est effectuée avec toutes les parties prenantes (directions métiers, DSI, Direction des achats).</v>
      </c>
      <c r="H56" s="149" t="str">
        <f>IF(VLOOKUP($E56,BDD!$A$2:$N$567,MATCH($H$23,BDD!$A$1:$P$1,0),FALSE)=H$24,'V11_Presta&amp;Fournisseurs'!H$24,"")</f>
        <v/>
      </c>
      <c r="I56" s="150" t="str">
        <f>IF(VLOOKUP($E56,BDD!$A$2:$N$567,MATCH($H$23,BDD!$A$1:$P$1,0),FALSE)=I$24,'V11_Presta&amp;Fournisseurs'!I$24,"")</f>
        <v/>
      </c>
      <c r="J56" s="150" t="str">
        <f>IF(VLOOKUP($E56,BDD!$A$2:$N$567,MATCH($H$23,BDD!$A$1:$P$1,0),FALSE)=J$24,'V11_Presta&amp;Fournisseurs'!J$24,"")</f>
        <v>N3</v>
      </c>
      <c r="K56" s="150" t="str">
        <f>IF(VLOOKUP($E56,BDD!$A$2:$N$567,MATCH($H$23,BDD!$A$1:$P$1,0),FALSE)=K$24,'V11_Presta&amp;Fournisseurs'!K$24,"")</f>
        <v/>
      </c>
      <c r="L56" s="151" t="str">
        <f>IF(VLOOKUP($E56,BDD!$A$2:$N$567,MATCH($H$23,BDD!$A$1:$P$1,0),FALSE)=L$24,'V11_Presta&amp;Fournisseurs'!L$24,"")</f>
        <v/>
      </c>
      <c r="M56" s="63">
        <f t="shared" si="9"/>
        <v>0</v>
      </c>
      <c r="N56" s="146" t="str">
        <f>VLOOKUP(VLOOKUP(E56,BDD!$A$2:$P$550,15,FALSE),Suppl!$D$64:$E$68,2,FALSE)</f>
        <v>Non renseigné</v>
      </c>
      <c r="O56" s="629"/>
      <c r="P56" s="629"/>
      <c r="Q56" s="629"/>
      <c r="R56" s="629"/>
      <c r="S56" s="627">
        <f>IF(N56=Suppl!$E$65,0,IF(N56=Suppl!$E$66,1/2/(COUNTIFS($D:$D,D56,$N:$N,"Exigences"&amp;"*",G:G,"&lt;&gt;0")+COUNTIFS($D:$D,D56,$N:$N,"Non"&amp;"*",G:G,"&lt;&gt;0")),IF(N56=Suppl!$E$67,1/(COUNTIFS($D:$D,D56,$N:$N,"Exigences"&amp;"*",G:G,"&lt;&gt;0")+COUNTIFS($D:$D,D56,$N:$N,"Non"&amp;"*",G:G,"&lt;&gt;0")),0)))</f>
        <v>0</v>
      </c>
      <c r="T56" s="627"/>
      <c r="U56" s="627"/>
      <c r="V56" s="628"/>
      <c r="W56" s="356">
        <f>IFERROR(IF(N56=Suppl!$E$65,0,IF(N56=Suppl!$E$66,1/2/(COUNTIFS($N:$N,"Exigences"&amp;"*")+COUNTIFS($N:$N,"Non"&amp;"*")),IF(N56=Suppl!$E$67,1/(COUNTIFS($N:$N,"Exigences"&amp;"*")+COUNTIFS($N:$N,"Non"&amp;"*")),0))),0)</f>
        <v>0</v>
      </c>
      <c r="X56" s="30"/>
      <c r="Y56" s="30"/>
      <c r="Z56" s="30"/>
      <c r="AA56" s="30"/>
      <c r="AB56" s="30"/>
      <c r="AC56" s="30"/>
      <c r="AD56" s="30"/>
      <c r="AE56" s="30"/>
      <c r="AF56" s="30"/>
      <c r="AG56" s="30"/>
      <c r="AH56" s="112"/>
      <c r="AI56" s="30"/>
    </row>
    <row r="57" spans="1:35" ht="30" customHeight="1" x14ac:dyDescent="0.3">
      <c r="A57" s="112"/>
      <c r="B57" s="30"/>
      <c r="C57" s="30" t="str">
        <f t="shared" si="0"/>
        <v>11</v>
      </c>
      <c r="D57" s="32">
        <f t="shared" si="4"/>
        <v>5</v>
      </c>
      <c r="E57" s="32" t="str">
        <f t="shared" si="5"/>
        <v>1155</v>
      </c>
      <c r="F57" s="143" t="s">
        <v>33</v>
      </c>
      <c r="G57" s="144" t="str">
        <f>VLOOKUP(E57,BDD!$A$2:$N$567,MATCH(G$24,BDD!$A$1:$P$1,0),FALSE)</f>
        <v>Le dispositif prévoit un mode de prévention et de traitement des conflits potentiels.</v>
      </c>
      <c r="H57" s="149" t="str">
        <f>IF(VLOOKUP($E57,BDD!$A$2:$N$567,MATCH($H$23,BDD!$A$1:$P$1,0),FALSE)=H$24,'V11_Presta&amp;Fournisseurs'!H$24,"")</f>
        <v/>
      </c>
      <c r="I57" s="150" t="str">
        <f>IF(VLOOKUP($E57,BDD!$A$2:$N$567,MATCH($H$23,BDD!$A$1:$P$1,0),FALSE)=I$24,'V11_Presta&amp;Fournisseurs'!I$24,"")</f>
        <v/>
      </c>
      <c r="J57" s="150" t="str">
        <f>IF(VLOOKUP($E57,BDD!$A$2:$N$567,MATCH($H$23,BDD!$A$1:$P$1,0),FALSE)=J$24,'V11_Presta&amp;Fournisseurs'!J$24,"")</f>
        <v/>
      </c>
      <c r="K57" s="150" t="str">
        <f>IF(VLOOKUP($E57,BDD!$A$2:$N$567,MATCH($H$23,BDD!$A$1:$P$1,0),FALSE)=K$24,'V11_Presta&amp;Fournisseurs'!K$24,"")</f>
        <v>N4</v>
      </c>
      <c r="L57" s="151" t="str">
        <f>IF(VLOOKUP($E57,BDD!$A$2:$N$567,MATCH($H$23,BDD!$A$1:$P$1,0),FALSE)=L$24,'V11_Presta&amp;Fournisseurs'!L$24,"")</f>
        <v/>
      </c>
      <c r="M57" s="63">
        <f t="shared" si="9"/>
        <v>0</v>
      </c>
      <c r="N57" s="144" t="str">
        <f>VLOOKUP(VLOOKUP(E57,BDD!$A$2:$P$550,15,FALSE),Suppl!$D$64:$E$68,2,FALSE)</f>
        <v>Non renseigné</v>
      </c>
      <c r="O57" s="651"/>
      <c r="P57" s="629"/>
      <c r="Q57" s="629"/>
      <c r="R57" s="629"/>
      <c r="S57" s="627">
        <f>IF(N57=Suppl!$E$65,0,IF(N57=Suppl!$E$66,1/2/(COUNTIFS($D:$D,D57,$N:$N,"Exigences"&amp;"*",G:G,"&lt;&gt;0")+COUNTIFS($D:$D,D57,$N:$N,"Non"&amp;"*",G:G,"&lt;&gt;0")),IF(N57=Suppl!$E$67,1/(COUNTIFS($D:$D,D57,$N:$N,"Exigences"&amp;"*",G:G,"&lt;&gt;0")+COUNTIFS($D:$D,D57,$N:$N,"Non"&amp;"*",G:G,"&lt;&gt;0")),0)))</f>
        <v>0</v>
      </c>
      <c r="T57" s="627"/>
      <c r="U57" s="627"/>
      <c r="V57" s="628"/>
      <c r="W57" s="356">
        <f>IFERROR(IF(N57=Suppl!$E$65,0,IF(N57=Suppl!$E$66,1/2/(COUNTIFS($N:$N,"Exigences"&amp;"*")+COUNTIFS($N:$N,"Non"&amp;"*")),IF(N57=Suppl!$E$67,1/(COUNTIFS($N:$N,"Exigences"&amp;"*")+COUNTIFS($N:$N,"Non"&amp;"*")),0))),0)</f>
        <v>0</v>
      </c>
      <c r="X57" s="30"/>
      <c r="Y57" s="30"/>
      <c r="Z57" s="30"/>
      <c r="AA57" s="30"/>
      <c r="AB57" s="30"/>
      <c r="AC57" s="30"/>
      <c r="AD57" s="30"/>
      <c r="AE57" s="30"/>
      <c r="AF57" s="30"/>
      <c r="AG57" s="30"/>
      <c r="AH57" s="112"/>
      <c r="AI57" s="30"/>
    </row>
    <row r="58" spans="1:35" ht="30" customHeight="1" x14ac:dyDescent="0.3">
      <c r="A58" s="112"/>
      <c r="B58" s="30"/>
      <c r="C58" s="30" t="str">
        <f t="shared" si="0"/>
        <v>11</v>
      </c>
      <c r="D58" s="32">
        <f t="shared" si="4"/>
        <v>5</v>
      </c>
      <c r="E58" s="32" t="str">
        <f t="shared" si="5"/>
        <v>1156</v>
      </c>
      <c r="F58" s="147" t="s">
        <v>34</v>
      </c>
      <c r="G58" s="148" t="str">
        <f>VLOOKUP(E58,BDD!$A$2:$N$567,MATCH(G$24,BDD!$A$1:$P$1,0),FALSE)</f>
        <v>L’analyse de la valeur du service est effectuée (par rapport aux objectifs initiaux).</v>
      </c>
      <c r="H58" s="149" t="str">
        <f>IF(VLOOKUP($E58,BDD!$A$2:$N$567,MATCH($H$23,BDD!$A$1:$P$1,0),FALSE)=H$24,'V11_Presta&amp;Fournisseurs'!H$24,"")</f>
        <v/>
      </c>
      <c r="I58" s="150" t="str">
        <f>IF(VLOOKUP($E58,BDD!$A$2:$N$567,MATCH($H$23,BDD!$A$1:$P$1,0),FALSE)=I$24,'V11_Presta&amp;Fournisseurs'!I$24,"")</f>
        <v/>
      </c>
      <c r="J58" s="150" t="str">
        <f>IF(VLOOKUP($E58,BDD!$A$2:$N$567,MATCH($H$23,BDD!$A$1:$P$1,0),FALSE)=J$24,'V11_Presta&amp;Fournisseurs'!J$24,"")</f>
        <v>N3</v>
      </c>
      <c r="K58" s="150" t="str">
        <f>IF(VLOOKUP($E58,BDD!$A$2:$N$567,MATCH($H$23,BDD!$A$1:$P$1,0),FALSE)=K$24,'V11_Presta&amp;Fournisseurs'!K$24,"")</f>
        <v/>
      </c>
      <c r="L58" s="151" t="str">
        <f>IF(VLOOKUP($E58,BDD!$A$2:$N$567,MATCH($H$23,BDD!$A$1:$P$1,0),FALSE)=L$24,'V11_Presta&amp;Fournisseurs'!L$24,"")</f>
        <v/>
      </c>
      <c r="M58" s="63">
        <f t="shared" si="9"/>
        <v>0</v>
      </c>
      <c r="N58" s="219" t="str">
        <f>VLOOKUP(VLOOKUP(E58,BDD!$A$2:$P$550,15,FALSE),Suppl!$D$64:$E$68,2,FALSE)</f>
        <v>Non renseigné</v>
      </c>
      <c r="O58" s="629"/>
      <c r="P58" s="629"/>
      <c r="Q58" s="629"/>
      <c r="R58" s="629"/>
      <c r="S58" s="627">
        <f>IF(N58=Suppl!$E$65,0,IF(N58=Suppl!$E$66,1/2/(COUNTIFS($D:$D,D58,$N:$N,"Exigences"&amp;"*",G:G,"&lt;&gt;0")+COUNTIFS($D:$D,D58,$N:$N,"Non"&amp;"*",G:G,"&lt;&gt;0")),IF(N58=Suppl!$E$67,1/(COUNTIFS($D:$D,D58,$N:$N,"Exigences"&amp;"*",G:G,"&lt;&gt;0")+COUNTIFS($D:$D,D58,$N:$N,"Non"&amp;"*",G:G,"&lt;&gt;0")),0)))</f>
        <v>0</v>
      </c>
      <c r="T58" s="627"/>
      <c r="U58" s="627"/>
      <c r="V58" s="628"/>
      <c r="W58" s="356">
        <f>IFERROR(IF(N58=Suppl!$E$65,0,IF(N58=Suppl!$E$66,1/2/(COUNTIFS($N:$N,"Exigences"&amp;"*")+COUNTIFS($N:$N,"Non"&amp;"*")),IF(N58=Suppl!$E$67,1/(COUNTIFS($N:$N,"Exigences"&amp;"*")+COUNTIFS($N:$N,"Non"&amp;"*")),0))),0)</f>
        <v>0</v>
      </c>
      <c r="X58" s="30"/>
      <c r="Y58" s="30"/>
      <c r="Z58" s="30"/>
      <c r="AA58" s="30"/>
      <c r="AB58" s="30"/>
      <c r="AC58" s="30"/>
      <c r="AD58" s="30"/>
      <c r="AE58" s="30"/>
      <c r="AF58" s="30"/>
      <c r="AG58" s="30"/>
      <c r="AH58" s="112"/>
      <c r="AI58" s="30"/>
    </row>
    <row r="59" spans="1:35" ht="41.4" x14ac:dyDescent="0.3">
      <c r="A59" s="112"/>
      <c r="B59" s="30"/>
      <c r="C59" s="30" t="str">
        <f t="shared" si="0"/>
        <v>11</v>
      </c>
      <c r="D59" s="32">
        <f t="shared" si="4"/>
        <v>5</v>
      </c>
      <c r="E59" s="32" t="str">
        <f t="shared" si="5"/>
        <v>1157</v>
      </c>
      <c r="F59" s="143" t="s">
        <v>36</v>
      </c>
      <c r="G59" s="144" t="str">
        <f>VLOOKUP(E59,BDD!$A$2:$N$567,MATCH(G$24,BDD!$A$1:$P$1,0),FALSE)</f>
        <v>Pour les contrats de type "as a service" où le paiement se fait à l'usage, un pilotage adapté est mis en place afin de s'assurer que l'évolution des consommations et des coûts reste maîtrisée.</v>
      </c>
      <c r="H59" s="149" t="str">
        <f>IF(VLOOKUP($E59,BDD!$A$2:$N$567,MATCH($H$23,BDD!$A$1:$P$1,0),FALSE)=H$24,'V11_Presta&amp;Fournisseurs'!H$24,"")</f>
        <v/>
      </c>
      <c r="I59" s="150" t="str">
        <f>IF(VLOOKUP($E59,BDD!$A$2:$N$567,MATCH($H$23,BDD!$A$1:$P$1,0),FALSE)=I$24,'V11_Presta&amp;Fournisseurs'!I$24,"")</f>
        <v>N2</v>
      </c>
      <c r="J59" s="150" t="str">
        <f>IF(VLOOKUP($E59,BDD!$A$2:$N$567,MATCH($H$23,BDD!$A$1:$P$1,0),FALSE)=J$24,'V11_Presta&amp;Fournisseurs'!J$24,"")</f>
        <v/>
      </c>
      <c r="K59" s="150" t="str">
        <f>IF(VLOOKUP($E59,BDD!$A$2:$N$567,MATCH($H$23,BDD!$A$1:$P$1,0),FALSE)=K$24,'V11_Presta&amp;Fournisseurs'!K$24,"")</f>
        <v/>
      </c>
      <c r="L59" s="151" t="str">
        <f>IF(VLOOKUP($E59,BDD!$A$2:$N$567,MATCH($H$23,BDD!$A$1:$P$1,0),FALSE)=L$24,'V11_Presta&amp;Fournisseurs'!L$24,"")</f>
        <v/>
      </c>
      <c r="M59" s="63">
        <f t="shared" si="9"/>
        <v>0</v>
      </c>
      <c r="N59" s="144" t="str">
        <f>VLOOKUP(VLOOKUP(E59,BDD!$A$2:$P$550,15,FALSE),Suppl!$D$64:$E$68,2,FALSE)</f>
        <v>Non renseigné</v>
      </c>
      <c r="O59" s="636"/>
      <c r="P59" s="636"/>
      <c r="Q59" s="636"/>
      <c r="R59" s="636"/>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112"/>
      <c r="AI59" s="30"/>
    </row>
    <row r="60" spans="1:35" ht="30" customHeight="1" x14ac:dyDescent="0.3">
      <c r="A60" s="112"/>
      <c r="B60" s="30"/>
      <c r="C60" s="30" t="str">
        <f t="shared" si="0"/>
        <v>11</v>
      </c>
      <c r="D60" s="32">
        <f t="shared" si="4"/>
        <v>6</v>
      </c>
      <c r="E60" s="32" t="str">
        <f t="shared" si="5"/>
        <v>1166</v>
      </c>
      <c r="F60" s="191" t="s">
        <v>556</v>
      </c>
      <c r="G60" s="192" t="str">
        <f>VLOOKUP(E62,BDD!$A$2:$N$567,6,FALSE)</f>
        <v>Clôture et réversibilité</v>
      </c>
      <c r="H60" s="190"/>
      <c r="I60" s="135"/>
      <c r="J60" s="135"/>
      <c r="K60" s="135"/>
      <c r="L60" s="136"/>
      <c r="M60" s="137"/>
      <c r="N60" s="138"/>
      <c r="O60" s="630">
        <v>0</v>
      </c>
      <c r="P60" s="630"/>
      <c r="Q60" s="630"/>
      <c r="R60" s="630"/>
      <c r="S60" s="632">
        <f>SUMIFS(S:S,$D:$D,D60,$N:$N,"Exigences"&amp;"*")</f>
        <v>0</v>
      </c>
      <c r="T60" s="632"/>
      <c r="U60" s="632"/>
      <c r="V60" s="633"/>
      <c r="W60" s="356">
        <f>IFERROR(IF(N60=Suppl!$E$65,0,IF(N60=Suppl!$E$66,1/2/(COUNTIFS($N:$N,"Exigences"&amp;"*")+COUNTIFS($N:$N,"Non"&amp;"*")),IF(N60=Suppl!$E$67,1/(COUNTIFS($N:$N,"Exigences"&amp;"*")+COUNTIFS($N:$N,"Non"&amp;"*")),0))),0)</f>
        <v>0</v>
      </c>
      <c r="X60" s="30"/>
      <c r="Y60" s="30"/>
      <c r="Z60" s="30"/>
      <c r="AA60" s="30"/>
      <c r="AB60" s="30"/>
      <c r="AC60" s="30"/>
      <c r="AD60" s="30"/>
      <c r="AE60" s="30"/>
      <c r="AF60" s="30"/>
      <c r="AG60" s="30"/>
      <c r="AH60" s="112"/>
      <c r="AI60" s="30"/>
    </row>
    <row r="61" spans="1:35" ht="30" customHeight="1" x14ac:dyDescent="0.3">
      <c r="A61" s="112"/>
      <c r="B61" s="30"/>
      <c r="C61" s="30" t="str">
        <f t="shared" si="0"/>
        <v>11</v>
      </c>
      <c r="D61" s="32">
        <f t="shared" si="4"/>
        <v>6</v>
      </c>
      <c r="E61" s="32" t="str">
        <f t="shared" si="5"/>
        <v>1161</v>
      </c>
      <c r="F61" s="211" t="s">
        <v>550</v>
      </c>
      <c r="G61" s="193" t="str">
        <f>VLOOKUP(E63,BDD!$A$2:$N$567,7,FALSE)</f>
        <v>La clôture et la gestion de la réversibilité des services externalisés ont été définies en fonction des enjeux métiers.</v>
      </c>
      <c r="H61" s="139"/>
      <c r="I61" s="139"/>
      <c r="J61" s="139"/>
      <c r="K61" s="139"/>
      <c r="L61" s="140"/>
      <c r="M61" s="141"/>
      <c r="N61" s="142"/>
      <c r="O61" s="631"/>
      <c r="P61" s="631"/>
      <c r="Q61" s="631"/>
      <c r="R61" s="631"/>
      <c r="S61" s="634"/>
      <c r="T61" s="634"/>
      <c r="U61" s="634"/>
      <c r="V61" s="635"/>
      <c r="W61" s="356">
        <f>IFERROR(IF(N61=Suppl!$E$65,0,IF(N61=Suppl!$E$66,1/2/(COUNTIFS($N:$N,"Exigences"&amp;"*")+COUNTIFS($N:$N,"Non"&amp;"*")),IF(N61=Suppl!$E$67,1/(COUNTIFS($N:$N,"Exigences"&amp;"*")+COUNTIFS($N:$N,"Non"&amp;"*")),0))),0)</f>
        <v>0</v>
      </c>
      <c r="X61" s="30"/>
      <c r="Y61" s="30"/>
      <c r="Z61" s="30"/>
      <c r="AA61" s="30"/>
      <c r="AB61" s="30"/>
      <c r="AC61" s="30"/>
      <c r="AD61" s="30"/>
      <c r="AE61" s="30"/>
      <c r="AF61" s="30"/>
      <c r="AG61" s="30"/>
      <c r="AH61" s="112"/>
      <c r="AI61" s="30"/>
    </row>
    <row r="62" spans="1:35" ht="30" customHeight="1" x14ac:dyDescent="0.3">
      <c r="A62" s="112"/>
      <c r="B62" s="30"/>
      <c r="C62" s="30" t="str">
        <f t="shared" si="0"/>
        <v>11</v>
      </c>
      <c r="D62" s="32">
        <f t="shared" si="4"/>
        <v>6</v>
      </c>
      <c r="E62" s="32" t="str">
        <f t="shared" si="5"/>
        <v>1161</v>
      </c>
      <c r="F62" s="143" t="s">
        <v>27</v>
      </c>
      <c r="G62" s="144" t="str">
        <f>VLOOKUP(E62,BDD!$A$2:$N$567,MATCH(G$24,BDD!$A$1:$P$1,0),FALSE)</f>
        <v>La gestion de la connaissance a été organisée pour permettre l’exécution et la réversibilité.</v>
      </c>
      <c r="H62" s="149" t="str">
        <f>IF(VLOOKUP($E62,BDD!$A$2:$N$567,MATCH($H$23,BDD!$A$1:$P$1,0),FALSE)=H$24,'V11_Presta&amp;Fournisseurs'!H$24,"")</f>
        <v/>
      </c>
      <c r="I62" s="150" t="str">
        <f>IF(VLOOKUP($E62,BDD!$A$2:$N$567,MATCH($H$23,BDD!$A$1:$P$1,0),FALSE)=I$24,'V11_Presta&amp;Fournisseurs'!I$24,"")</f>
        <v>N2</v>
      </c>
      <c r="J62" s="150" t="str">
        <f>IF(VLOOKUP($E62,BDD!$A$2:$N$567,MATCH($H$23,BDD!$A$1:$P$1,0),FALSE)=J$24,'V11_Presta&amp;Fournisseurs'!J$24,"")</f>
        <v/>
      </c>
      <c r="K62" s="150" t="str">
        <f>IF(VLOOKUP($E62,BDD!$A$2:$N$567,MATCH($H$23,BDD!$A$1:$P$1,0),FALSE)=K$24,'V11_Presta&amp;Fournisseurs'!K$24,"")</f>
        <v/>
      </c>
      <c r="L62" s="151" t="str">
        <f>IF(VLOOKUP($E62,BDD!$A$2:$N$567,MATCH($H$23,BDD!$A$1:$P$1,0),FALSE)=L$24,'V11_Presta&amp;Fournisseurs'!L$24,"")</f>
        <v/>
      </c>
      <c r="M62" s="63">
        <f t="shared" ref="M62:M65" si="10">IF(N62="Exigences partiellement respectées",1,IF(N62="Exigences respectées",2,0))</f>
        <v>0</v>
      </c>
      <c r="N62" s="144" t="str">
        <f>VLOOKUP(VLOOKUP(E62,BDD!$A$2:$P$550,15,FALSE),Suppl!$D$64:$E$68,2,FALSE)</f>
        <v>Non renseigné</v>
      </c>
      <c r="O62" s="626"/>
      <c r="P62" s="626"/>
      <c r="Q62" s="626"/>
      <c r="R62" s="626"/>
      <c r="S62" s="627">
        <f>IF(N62=Suppl!$E$65,0,IF(N62=Suppl!$E$66,1/2/(COUNTIFS($D:$D,D62,$N:$N,"Exigences"&amp;"*",G:G,"&lt;&gt;0")+COUNTIFS($D:$D,D62,$N:$N,"Non"&amp;"*",G:G,"&lt;&gt;0")),IF(N62=Suppl!$E$67,1/(COUNTIFS($D:$D,D62,$N:$N,"Exigences"&amp;"*",G:G,"&lt;&gt;0")+COUNTIFS($D:$D,D62,$N:$N,"Non"&amp;"*",G:G,"&lt;&gt;0")),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112"/>
      <c r="AI62" s="30"/>
    </row>
    <row r="63" spans="1:35" ht="30" customHeight="1" x14ac:dyDescent="0.3">
      <c r="A63" s="112"/>
      <c r="B63" s="30"/>
      <c r="C63" s="30" t="str">
        <f t="shared" si="0"/>
        <v>11</v>
      </c>
      <c r="D63" s="32">
        <f t="shared" si="4"/>
        <v>6</v>
      </c>
      <c r="E63" s="32" t="str">
        <f t="shared" si="5"/>
        <v>1162</v>
      </c>
      <c r="F63" s="145" t="s">
        <v>28</v>
      </c>
      <c r="G63" s="146" t="str">
        <f>VLOOKUP(E63,BDD!$A$2:$N$567,MATCH(G$24,BDD!$A$1:$P$1,0),FALSE)</f>
        <v>Le contrat inclut une clause décrivant les modalités détaillées de clôture et de réversibilité du service.</v>
      </c>
      <c r="H63" s="149" t="str">
        <f>IF(VLOOKUP($E63,BDD!$A$2:$N$567,MATCH($H$23,BDD!$A$1:$P$1,0),FALSE)=H$24,'V11_Presta&amp;Fournisseurs'!H$24,"")</f>
        <v>N1</v>
      </c>
      <c r="I63" s="150" t="str">
        <f>IF(VLOOKUP($E63,BDD!$A$2:$N$567,MATCH($H$23,BDD!$A$1:$P$1,0),FALSE)=I$24,'V11_Presta&amp;Fournisseurs'!I$24,"")</f>
        <v/>
      </c>
      <c r="J63" s="150" t="str">
        <f>IF(VLOOKUP($E63,BDD!$A$2:$N$567,MATCH($H$23,BDD!$A$1:$P$1,0),FALSE)=J$24,'V11_Presta&amp;Fournisseurs'!J$24,"")</f>
        <v/>
      </c>
      <c r="K63" s="150" t="str">
        <f>IF(VLOOKUP($E63,BDD!$A$2:$N$567,MATCH($H$23,BDD!$A$1:$P$1,0),FALSE)=K$24,'V11_Presta&amp;Fournisseurs'!K$24,"")</f>
        <v/>
      </c>
      <c r="L63" s="151" t="str">
        <f>IF(VLOOKUP($E63,BDD!$A$2:$N$567,MATCH($H$23,BDD!$A$1:$P$1,0),FALSE)=L$24,'V11_Presta&amp;Fournisseurs'!L$24,"")</f>
        <v/>
      </c>
      <c r="M63" s="63">
        <f t="shared" si="10"/>
        <v>0</v>
      </c>
      <c r="N63" s="146" t="str">
        <f>VLOOKUP(VLOOKUP(E63,BDD!$A$2:$P$550,15,FALSE),Suppl!$D$64:$E$68,2,FALSE)</f>
        <v>Non renseigné</v>
      </c>
      <c r="O63" s="629"/>
      <c r="P63" s="629"/>
      <c r="Q63" s="629"/>
      <c r="R63" s="629"/>
      <c r="S63" s="627">
        <f>IF(N63=Suppl!$E$65,0,IF(N63=Suppl!$E$66,1/2/(COUNTIFS($D:$D,D63,$N:$N,"Exigences"&amp;"*",G:G,"&lt;&gt;0")+COUNTIFS($D:$D,D63,$N:$N,"Non"&amp;"*",G:G,"&lt;&gt;0")),IF(N63=Suppl!$E$67,1/(COUNTIFS($D:$D,D63,$N:$N,"Exigences"&amp;"*",G:G,"&lt;&gt;0")+COUNTIFS($D:$D,D63,$N:$N,"Non"&amp;"*",G:G,"&lt;&gt;0")),0)))</f>
        <v>0</v>
      </c>
      <c r="T63" s="627"/>
      <c r="U63" s="627"/>
      <c r="V63" s="628"/>
      <c r="W63" s="356">
        <f>IFERROR(IF(N63=Suppl!$E$65,0,IF(N63=Suppl!$E$66,1/2/(COUNTIFS($N:$N,"Exigences"&amp;"*")+COUNTIFS($N:$N,"Non"&amp;"*")),IF(N63=Suppl!$E$67,1/(COUNTIFS($N:$N,"Exigences"&amp;"*")+COUNTIFS($N:$N,"Non"&amp;"*")),0))),0)</f>
        <v>0</v>
      </c>
      <c r="X63" s="30"/>
      <c r="Y63" s="30"/>
      <c r="Z63" s="30"/>
      <c r="AA63" s="30"/>
      <c r="AB63" s="30"/>
      <c r="AC63" s="30"/>
      <c r="AD63" s="30"/>
      <c r="AE63" s="30"/>
      <c r="AF63" s="30"/>
      <c r="AG63" s="30"/>
      <c r="AH63" s="112"/>
      <c r="AI63" s="30"/>
    </row>
    <row r="64" spans="1:35" ht="30" customHeight="1" x14ac:dyDescent="0.3">
      <c r="A64" s="112"/>
      <c r="B64" s="30"/>
      <c r="C64" s="30" t="str">
        <f t="shared" si="0"/>
        <v>11</v>
      </c>
      <c r="D64" s="32">
        <f t="shared" si="4"/>
        <v>6</v>
      </c>
      <c r="E64" s="32" t="str">
        <f t="shared" si="5"/>
        <v>1163</v>
      </c>
      <c r="F64" s="143" t="s">
        <v>30</v>
      </c>
      <c r="G64" s="144" t="str">
        <f>VLOOKUP(E64,BDD!$A$2:$N$567,MATCH(G$24,BDD!$A$1:$P$1,0),FALSE)</f>
        <v>Lorsque les enjeux métiers le justifient, un plan de continuité d’activité (PCA) a été défini pour pallier les éventuelles défaillances lors de la phase de réversibilité.</v>
      </c>
      <c r="H64" s="149" t="str">
        <f>IF(VLOOKUP($E64,BDD!$A$2:$N$567,MATCH($H$23,BDD!$A$1:$P$1,0),FALSE)=H$24,'V11_Presta&amp;Fournisseurs'!H$24,"")</f>
        <v/>
      </c>
      <c r="I64" s="150" t="str">
        <f>IF(VLOOKUP($E64,BDD!$A$2:$N$567,MATCH($H$23,BDD!$A$1:$P$1,0),FALSE)=I$24,'V11_Presta&amp;Fournisseurs'!I$24,"")</f>
        <v/>
      </c>
      <c r="J64" s="150" t="str">
        <f>IF(VLOOKUP($E64,BDD!$A$2:$N$567,MATCH($H$23,BDD!$A$1:$P$1,0),FALSE)=J$24,'V11_Presta&amp;Fournisseurs'!J$24,"")</f>
        <v>N3</v>
      </c>
      <c r="K64" s="150" t="str">
        <f>IF(VLOOKUP($E64,BDD!$A$2:$N$567,MATCH($H$23,BDD!$A$1:$P$1,0),FALSE)=K$24,'V11_Presta&amp;Fournisseurs'!K$24,"")</f>
        <v/>
      </c>
      <c r="L64" s="151" t="str">
        <f>IF(VLOOKUP($E64,BDD!$A$2:$N$567,MATCH($H$23,BDD!$A$1:$P$1,0),FALSE)=L$24,'V11_Presta&amp;Fournisseurs'!L$24,"")</f>
        <v/>
      </c>
      <c r="M64" s="63">
        <f t="shared" si="10"/>
        <v>0</v>
      </c>
      <c r="N64" s="144" t="str">
        <f>VLOOKUP(VLOOKUP(E64,BDD!$A$2:$P$550,15,FALSE),Suppl!$D$64:$E$68,2,FALSE)</f>
        <v>Non renseigné</v>
      </c>
      <c r="O64" s="629"/>
      <c r="P64" s="629"/>
      <c r="Q64" s="629"/>
      <c r="R64" s="629"/>
      <c r="S64" s="627">
        <f>IF(N64=Suppl!$E$65,0,IF(N64=Suppl!$E$66,1/2/(COUNTIFS($D:$D,D64,$N:$N,"Exigences"&amp;"*",G:G,"&lt;&gt;0")+COUNTIFS($D:$D,D64,$N:$N,"Non"&amp;"*",G:G,"&lt;&gt;0")),IF(N64=Suppl!$E$67,1/(COUNTIFS($D:$D,D64,$N:$N,"Exigences"&amp;"*",G:G,"&lt;&gt;0")+COUNTIFS($D:$D,D64,$N:$N,"Non"&amp;"*",G:G,"&lt;&gt;0")),0)))</f>
        <v>0</v>
      </c>
      <c r="T64" s="627"/>
      <c r="U64" s="627"/>
      <c r="V64" s="628"/>
      <c r="W64" s="356">
        <f>IFERROR(IF(N64=Suppl!$E$65,0,IF(N64=Suppl!$E$66,1/2/(COUNTIFS($N:$N,"Exigences"&amp;"*")+COUNTIFS($N:$N,"Non"&amp;"*")),IF(N64=Suppl!$E$67,1/(COUNTIFS($N:$N,"Exigences"&amp;"*")+COUNTIFS($N:$N,"Non"&amp;"*")),0))),0)</f>
        <v>0</v>
      </c>
      <c r="X64" s="30"/>
      <c r="Y64" s="30"/>
      <c r="Z64" s="30"/>
      <c r="AA64" s="30"/>
      <c r="AB64" s="30"/>
      <c r="AC64" s="30"/>
      <c r="AD64" s="30"/>
      <c r="AE64" s="30"/>
      <c r="AF64" s="30"/>
      <c r="AG64" s="30"/>
      <c r="AH64" s="112"/>
      <c r="AI64" s="30"/>
    </row>
    <row r="65" spans="1:35" ht="30" customHeight="1" x14ac:dyDescent="0.3">
      <c r="A65" s="112"/>
      <c r="B65" s="30"/>
      <c r="C65" s="30" t="str">
        <f t="shared" si="0"/>
        <v>11</v>
      </c>
      <c r="D65" s="32">
        <f t="shared" si="4"/>
        <v>6</v>
      </c>
      <c r="E65" s="32" t="str">
        <f t="shared" si="5"/>
        <v>1164</v>
      </c>
      <c r="F65" s="145" t="s">
        <v>32</v>
      </c>
      <c r="G65" s="146" t="str">
        <f>VLOOKUP(E65,BDD!$A$2:$N$567,MATCH(G$24,BDD!$A$1:$P$1,0),FALSE)</f>
        <v>Les modalités de clôture et de réversibilité sont revues régulièrement.</v>
      </c>
      <c r="H65" s="149" t="str">
        <f>IF(VLOOKUP($E65,BDD!$A$2:$N$567,MATCH($H$23,BDD!$A$1:$P$1,0),FALSE)=H$24,'V11_Presta&amp;Fournisseurs'!H$24,"")</f>
        <v/>
      </c>
      <c r="I65" s="150" t="str">
        <f>IF(VLOOKUP($E65,BDD!$A$2:$N$567,MATCH($H$23,BDD!$A$1:$P$1,0),FALSE)=I$24,'V11_Presta&amp;Fournisseurs'!I$24,"")</f>
        <v/>
      </c>
      <c r="J65" s="150" t="str">
        <f>IF(VLOOKUP($E65,BDD!$A$2:$N$567,MATCH($H$23,BDD!$A$1:$P$1,0),FALSE)=J$24,'V11_Presta&amp;Fournisseurs'!J$24,"")</f>
        <v>N3</v>
      </c>
      <c r="K65" s="150" t="str">
        <f>IF(VLOOKUP($E65,BDD!$A$2:$N$567,MATCH($H$23,BDD!$A$1:$P$1,0),FALSE)=K$24,'V11_Presta&amp;Fournisseurs'!K$24,"")</f>
        <v/>
      </c>
      <c r="L65" s="151" t="str">
        <f>IF(VLOOKUP($E65,BDD!$A$2:$N$567,MATCH($H$23,BDD!$A$1:$P$1,0),FALSE)=L$24,'V11_Presta&amp;Fournisseurs'!L$24,"")</f>
        <v/>
      </c>
      <c r="M65" s="63">
        <f t="shared" si="10"/>
        <v>0</v>
      </c>
      <c r="N65" s="146" t="str">
        <f>VLOOKUP(VLOOKUP(E65,BDD!$A$2:$P$550,15,FALSE),Suppl!$D$64:$E$68,2,FALSE)</f>
        <v>Non renseigné</v>
      </c>
      <c r="O65" s="629"/>
      <c r="P65" s="629"/>
      <c r="Q65" s="629"/>
      <c r="R65" s="629"/>
      <c r="S65" s="627">
        <f>IF(N65=Suppl!$E$65,0,IF(N65=Suppl!$E$66,1/2/(COUNTIFS($D:$D,D65,$N:$N,"Exigences"&amp;"*",G:G,"&lt;&gt;0")+COUNTIFS($D:$D,D65,$N:$N,"Non"&amp;"*",G:G,"&lt;&gt;0")),IF(N65=Suppl!$E$67,1/(COUNTIFS($D:$D,D65,$N:$N,"Exigences"&amp;"*",G:G,"&lt;&gt;0")+COUNTIFS($D:$D,D65,$N:$N,"Non"&amp;"*",G:G,"&lt;&gt;0")),0)))</f>
        <v>0</v>
      </c>
      <c r="T65" s="627"/>
      <c r="U65" s="627"/>
      <c r="V65" s="628"/>
      <c r="W65" s="356">
        <f>IFERROR(IF(N65=Suppl!$E$65,0,IF(N65=Suppl!$E$66,1/2/(COUNTIFS($N:$N,"Exigences"&amp;"*")+COUNTIFS($N:$N,"Non"&amp;"*")),IF(N65=Suppl!$E$67,1/(COUNTIFS($N:$N,"Exigences"&amp;"*")+COUNTIFS($N:$N,"Non"&amp;"*")),0))),0)</f>
        <v>0</v>
      </c>
      <c r="X65" s="30"/>
      <c r="Y65" s="30"/>
      <c r="Z65" s="30"/>
      <c r="AA65" s="30"/>
      <c r="AB65" s="30"/>
      <c r="AC65" s="30"/>
      <c r="AD65" s="30"/>
      <c r="AE65" s="30"/>
      <c r="AF65" s="30"/>
      <c r="AG65" s="30"/>
      <c r="AH65" s="112"/>
      <c r="AI65" s="30"/>
    </row>
    <row r="66" spans="1:35" ht="30" customHeight="1" x14ac:dyDescent="0.3">
      <c r="A66" s="112"/>
      <c r="B66" s="30"/>
      <c r="C66" s="30" t="str">
        <f t="shared" si="0"/>
        <v>11</v>
      </c>
      <c r="D66" s="32">
        <f t="shared" ref="D66:D72" si="11">IF(LEFT(F66,5)="Bonne",D64+1,D65)</f>
        <v>7</v>
      </c>
      <c r="E66" s="32" t="str">
        <f t="shared" ref="E66:E72" si="12">C66&amp;D66&amp;RIGHT(F66,1)</f>
        <v>1177</v>
      </c>
      <c r="F66" s="191" t="s">
        <v>557</v>
      </c>
      <c r="G66" s="192" t="str">
        <f>VLOOKUP(E68,BDD!$A$2:$N$567,6,FALSE)</f>
        <v>Gestion des fournisseurs de matériels et logiciels</v>
      </c>
      <c r="H66" s="190"/>
      <c r="I66" s="135"/>
      <c r="J66" s="135"/>
      <c r="K66" s="135"/>
      <c r="L66" s="136"/>
      <c r="M66" s="137"/>
      <c r="N66" s="138"/>
      <c r="O66" s="630">
        <v>0</v>
      </c>
      <c r="P66" s="630"/>
      <c r="Q66" s="630"/>
      <c r="R66" s="630"/>
      <c r="S66" s="632">
        <f>SUMIFS(S:S,$D:$D,D66,$N:$N,"Exigences"&amp;"*")</f>
        <v>0</v>
      </c>
      <c r="T66" s="632"/>
      <c r="U66" s="632"/>
      <c r="V66" s="633"/>
      <c r="W66" s="356">
        <f>IFERROR(IF(N66=Suppl!$E$65,0,IF(N66=Suppl!$E$66,1/2/(COUNTIFS($N:$N,"Exigences"&amp;"*")+COUNTIFS($N:$N,"Non"&amp;"*")),IF(N66=Suppl!$E$67,1/(COUNTIFS($N:$N,"Exigences"&amp;"*")+COUNTIFS($N:$N,"Non"&amp;"*")),0))),0)</f>
        <v>0</v>
      </c>
      <c r="X66" s="30"/>
      <c r="Y66" s="30"/>
      <c r="Z66" s="30"/>
      <c r="AA66" s="30"/>
      <c r="AB66" s="30"/>
      <c r="AC66" s="30"/>
      <c r="AD66" s="30"/>
      <c r="AE66" s="30"/>
      <c r="AF66" s="30"/>
      <c r="AG66" s="30"/>
      <c r="AH66" s="112"/>
      <c r="AI66" s="30"/>
    </row>
    <row r="67" spans="1:35" ht="30" customHeight="1" x14ac:dyDescent="0.3">
      <c r="A67" s="112"/>
      <c r="B67" s="30"/>
      <c r="C67" s="30" t="str">
        <f t="shared" si="0"/>
        <v>11</v>
      </c>
      <c r="D67" s="32">
        <f t="shared" si="11"/>
        <v>7</v>
      </c>
      <c r="E67" s="32" t="str">
        <f t="shared" si="12"/>
        <v>1171</v>
      </c>
      <c r="F67" s="211" t="s">
        <v>550</v>
      </c>
      <c r="G67" s="193" t="str">
        <f>VLOOKUP(E69,BDD!$A$2:$N$567,7,FALSE)</f>
        <v>La gestion des fournisseurs de matériels et de logiciels est organisée et suivie.</v>
      </c>
      <c r="H67" s="139"/>
      <c r="I67" s="139"/>
      <c r="J67" s="139"/>
      <c r="K67" s="139"/>
      <c r="L67" s="140"/>
      <c r="M67" s="141"/>
      <c r="N67" s="142"/>
      <c r="O67" s="631"/>
      <c r="P67" s="631"/>
      <c r="Q67" s="631"/>
      <c r="R67" s="631"/>
      <c r="S67" s="634"/>
      <c r="T67" s="634"/>
      <c r="U67" s="634"/>
      <c r="V67" s="635"/>
      <c r="W67" s="356">
        <f>IFERROR(IF(N67=Suppl!$E$65,0,IF(N67=Suppl!$E$66,1/2/(COUNTIFS($N:$N,"Exigences"&amp;"*")+COUNTIFS($N:$N,"Non"&amp;"*")),IF(N67=Suppl!$E$67,1/(COUNTIFS($N:$N,"Exigences"&amp;"*")+COUNTIFS($N:$N,"Non"&amp;"*")),0))),0)</f>
        <v>0</v>
      </c>
      <c r="X67" s="30"/>
      <c r="Y67" s="30"/>
      <c r="Z67" s="30"/>
      <c r="AA67" s="30"/>
      <c r="AB67" s="30"/>
      <c r="AC67" s="30"/>
      <c r="AD67" s="30"/>
      <c r="AE67" s="30"/>
      <c r="AF67" s="30"/>
      <c r="AG67" s="30"/>
      <c r="AH67" s="112"/>
      <c r="AI67" s="30"/>
    </row>
    <row r="68" spans="1:35" ht="30" customHeight="1" x14ac:dyDescent="0.3">
      <c r="A68" s="112"/>
      <c r="B68" s="30"/>
      <c r="C68" s="30" t="str">
        <f t="shared" si="0"/>
        <v>11</v>
      </c>
      <c r="D68" s="32">
        <f t="shared" si="11"/>
        <v>7</v>
      </c>
      <c r="E68" s="32" t="str">
        <f t="shared" si="12"/>
        <v>1171</v>
      </c>
      <c r="F68" s="143" t="s">
        <v>27</v>
      </c>
      <c r="G68" s="144" t="str">
        <f>VLOOKUP(E68,BDD!$A$2:$N$567,MATCH(G$24,BDD!$A$1:$P$1,0),FALSE)</f>
        <v>La direction des achats et la direction juridique sont associées aux moments clés de l’acquisition (achat ou location) de matériels et logiciels.</v>
      </c>
      <c r="H68" s="149" t="str">
        <f>IF(VLOOKUP($E68,BDD!$A$2:$N$567,MATCH($H$23,BDD!$A$1:$P$1,0),FALSE)=H$24,'V11_Presta&amp;Fournisseurs'!H$24,"")</f>
        <v>N1</v>
      </c>
      <c r="I68" s="150" t="str">
        <f>IF(VLOOKUP($E68,BDD!$A$2:$N$567,MATCH($H$23,BDD!$A$1:$P$1,0),FALSE)=I$24,'V11_Presta&amp;Fournisseurs'!I$24,"")</f>
        <v/>
      </c>
      <c r="J68" s="150" t="str">
        <f>IF(VLOOKUP($E68,BDD!$A$2:$N$567,MATCH($H$23,BDD!$A$1:$P$1,0),FALSE)=J$24,'V11_Presta&amp;Fournisseurs'!J$24,"")</f>
        <v/>
      </c>
      <c r="K68" s="150" t="str">
        <f>IF(VLOOKUP($E68,BDD!$A$2:$N$567,MATCH($H$23,BDD!$A$1:$P$1,0),FALSE)=K$24,'V11_Presta&amp;Fournisseurs'!K$24,"")</f>
        <v/>
      </c>
      <c r="L68" s="151" t="str">
        <f>IF(VLOOKUP($E68,BDD!$A$2:$N$567,MATCH($H$23,BDD!$A$1:$P$1,0),FALSE)=L$24,'V11_Presta&amp;Fournisseurs'!L$24,"")</f>
        <v/>
      </c>
      <c r="M68" s="63">
        <f t="shared" ref="M68:M72" si="13">IF(N68="Exigences partiellement respectées",1,IF(N68="Exigences respectées",2,0))</f>
        <v>0</v>
      </c>
      <c r="N68" s="144" t="str">
        <f>VLOOKUP(VLOOKUP(E68,BDD!$A$2:$P$550,15,FALSE),Suppl!$D$64:$E$68,2,FALSE)</f>
        <v>Non renseigné</v>
      </c>
      <c r="O68" s="626"/>
      <c r="P68" s="626"/>
      <c r="Q68" s="626"/>
      <c r="R68" s="626"/>
      <c r="S68" s="653">
        <f>IF(N68=Suppl!$E$65,0,IF(N68=Suppl!$E$66,1/2/(COUNTIFS($D:$D,D68,$N:$N,"Exigences"&amp;"*",G:G,"&lt;&gt;0")+COUNTIFS($D:$D,D68,$N:$N,"Non"&amp;"*",G:G,"&lt;&gt;0")),IF(N68=Suppl!$E$67,1/(COUNTIFS($D:$D,D68,$N:$N,"Exigences"&amp;"*",G:G,"&lt;&gt;0")+COUNTIFS($D:$D,D68,$N:$N,"Non"&amp;"*",G:G,"&lt;&gt;0")),0)))</f>
        <v>0</v>
      </c>
      <c r="T68" s="653"/>
      <c r="U68" s="653"/>
      <c r="V68" s="654"/>
      <c r="W68" s="356">
        <f>IFERROR(IF(N68=Suppl!$E$65,0,IF(N68=Suppl!$E$66,1/2/(COUNTIFS($N:$N,"Exigences"&amp;"*")+COUNTIFS($N:$N,"Non"&amp;"*")),IF(N68=Suppl!$E$67,1/(COUNTIFS($N:$N,"Exigences"&amp;"*")+COUNTIFS($N:$N,"Non"&amp;"*")),0))),0)</f>
        <v>0</v>
      </c>
      <c r="X68" s="30"/>
      <c r="Y68" s="30"/>
      <c r="Z68" s="30"/>
      <c r="AA68" s="30"/>
      <c r="AB68" s="30"/>
      <c r="AC68" s="30"/>
      <c r="AD68" s="30"/>
      <c r="AE68" s="30"/>
      <c r="AF68" s="30"/>
      <c r="AG68" s="30"/>
      <c r="AH68" s="112"/>
      <c r="AI68" s="30"/>
    </row>
    <row r="69" spans="1:35" ht="41.4" x14ac:dyDescent="0.3">
      <c r="A69" s="112"/>
      <c r="B69" s="30"/>
      <c r="C69" s="30" t="str">
        <f t="shared" si="0"/>
        <v>11</v>
      </c>
      <c r="D69" s="32">
        <f t="shared" si="11"/>
        <v>7</v>
      </c>
      <c r="E69" s="32" t="str">
        <f t="shared" si="12"/>
        <v>1172</v>
      </c>
      <c r="F69" s="145" t="s">
        <v>28</v>
      </c>
      <c r="G69" s="146" t="str">
        <f>VLOOKUP(E69,BDD!$A$2:$N$567,MATCH(G$24,BDD!$A$1:$P$1,0),FALSE)</f>
        <v>Dans le cadre des projets, les choix des fournisseurs de matériels et logiciels suivent les recommandations en matière d'urbanisme, d'architecture technique de l'organisation et de RSE.</v>
      </c>
      <c r="H69" s="149" t="str">
        <f>IF(VLOOKUP($E69,BDD!$A$2:$N$567,MATCH($H$23,BDD!$A$1:$P$1,0),FALSE)=H$24,'V11_Presta&amp;Fournisseurs'!H$24,"")</f>
        <v/>
      </c>
      <c r="I69" s="150" t="str">
        <f>IF(VLOOKUP($E69,BDD!$A$2:$N$567,MATCH($H$23,BDD!$A$1:$P$1,0),FALSE)=I$24,'V11_Presta&amp;Fournisseurs'!I$24,"")</f>
        <v/>
      </c>
      <c r="J69" s="150" t="str">
        <f>IF(VLOOKUP($E69,BDD!$A$2:$N$567,MATCH($H$23,BDD!$A$1:$P$1,0),FALSE)=J$24,'V11_Presta&amp;Fournisseurs'!J$24,"")</f>
        <v>N3</v>
      </c>
      <c r="K69" s="150" t="str">
        <f>IF(VLOOKUP($E69,BDD!$A$2:$N$567,MATCH($H$23,BDD!$A$1:$P$1,0),FALSE)=K$24,'V11_Presta&amp;Fournisseurs'!K$24,"")</f>
        <v/>
      </c>
      <c r="L69" s="151" t="str">
        <f>IF(VLOOKUP($E69,BDD!$A$2:$N$567,MATCH($H$23,BDD!$A$1:$P$1,0),FALSE)=L$24,'V11_Presta&amp;Fournisseurs'!L$24,"")</f>
        <v/>
      </c>
      <c r="M69" s="63">
        <f t="shared" si="13"/>
        <v>0</v>
      </c>
      <c r="N69" s="146" t="str">
        <f>VLOOKUP(VLOOKUP(E69,BDD!$A$2:$P$550,15,FALSE),Suppl!$D$64:$E$68,2,FALSE)</f>
        <v>Non renseigné</v>
      </c>
      <c r="O69" s="629"/>
      <c r="P69" s="629"/>
      <c r="Q69" s="629"/>
      <c r="R69" s="629"/>
      <c r="S69" s="627">
        <f>IF(N69=Suppl!$E$65,0,IF(N69=Suppl!$E$66,1/2/(COUNTIFS($D:$D,D69,$N:$N,"Exigences"&amp;"*",G:G,"&lt;&gt;0")+COUNTIFS($D:$D,D69,$N:$N,"Non"&amp;"*",G:G,"&lt;&gt;0")),IF(N69=Suppl!$E$67,1/(COUNTIFS($D:$D,D69,$N:$N,"Exigences"&amp;"*",G:G,"&lt;&gt;0")+COUNTIFS($D:$D,D69,$N:$N,"Non"&amp;"*",G:G,"&lt;&gt;0")),0)))</f>
        <v>0</v>
      </c>
      <c r="T69" s="627"/>
      <c r="U69" s="627"/>
      <c r="V69" s="628"/>
      <c r="W69" s="356">
        <f>IFERROR(IF(N69=Suppl!$E$65,0,IF(N69=Suppl!$E$66,1/2/(COUNTIFS($N:$N,"Exigences"&amp;"*")+COUNTIFS($N:$N,"Non"&amp;"*")),IF(N69=Suppl!$E$67,1/(COUNTIFS($N:$N,"Exigences"&amp;"*")+COUNTIFS($N:$N,"Non"&amp;"*")),0))),0)</f>
        <v>0</v>
      </c>
      <c r="X69" s="30"/>
      <c r="Y69" s="30"/>
      <c r="Z69" s="30"/>
      <c r="AA69" s="30"/>
      <c r="AB69" s="30"/>
      <c r="AC69" s="30"/>
      <c r="AD69" s="30"/>
      <c r="AE69" s="30"/>
      <c r="AF69" s="30"/>
      <c r="AG69" s="30"/>
      <c r="AH69" s="112"/>
      <c r="AI69" s="30"/>
    </row>
    <row r="70" spans="1:35" ht="30" customHeight="1" x14ac:dyDescent="0.3">
      <c r="A70" s="112"/>
      <c r="B70" s="30"/>
      <c r="C70" s="30" t="str">
        <f t="shared" si="0"/>
        <v>11</v>
      </c>
      <c r="D70" s="32">
        <f t="shared" si="11"/>
        <v>7</v>
      </c>
      <c r="E70" s="32" t="str">
        <f t="shared" si="12"/>
        <v>1173</v>
      </c>
      <c r="F70" s="143" t="s">
        <v>30</v>
      </c>
      <c r="G70" s="144" t="str">
        <f>VLOOKUP(E70,BDD!$A$2:$N$567,MATCH(G$24,BDD!$A$1:$P$1,0),FALSE)</f>
        <v>Il existe une gestion du parc matériel.</v>
      </c>
      <c r="H70" s="149" t="str">
        <f>IF(VLOOKUP($E70,BDD!$A$2:$N$567,MATCH($H$23,BDD!$A$1:$P$1,0),FALSE)=H$24,'V11_Presta&amp;Fournisseurs'!H$24,"")</f>
        <v>N1</v>
      </c>
      <c r="I70" s="150" t="str">
        <f>IF(VLOOKUP($E70,BDD!$A$2:$N$567,MATCH($H$23,BDD!$A$1:$P$1,0),FALSE)=I$24,'V11_Presta&amp;Fournisseurs'!I$24,"")</f>
        <v/>
      </c>
      <c r="J70" s="150" t="str">
        <f>IF(VLOOKUP($E70,BDD!$A$2:$N$567,MATCH($H$23,BDD!$A$1:$P$1,0),FALSE)=J$24,'V11_Presta&amp;Fournisseurs'!J$24,"")</f>
        <v/>
      </c>
      <c r="K70" s="150" t="str">
        <f>IF(VLOOKUP($E70,BDD!$A$2:$N$567,MATCH($H$23,BDD!$A$1:$P$1,0),FALSE)=K$24,'V11_Presta&amp;Fournisseurs'!K$24,"")</f>
        <v/>
      </c>
      <c r="L70" s="151" t="str">
        <f>IF(VLOOKUP($E70,BDD!$A$2:$N$567,MATCH($H$23,BDD!$A$1:$P$1,0),FALSE)=L$24,'V11_Presta&amp;Fournisseurs'!L$24,"")</f>
        <v/>
      </c>
      <c r="M70" s="63">
        <f t="shared" si="13"/>
        <v>0</v>
      </c>
      <c r="N70" s="144" t="str">
        <f>VLOOKUP(VLOOKUP(E70,BDD!$A$2:$P$550,15,FALSE),Suppl!$D$64:$E$68,2,FALSE)</f>
        <v>Non renseigné</v>
      </c>
      <c r="O70" s="629"/>
      <c r="P70" s="629"/>
      <c r="Q70" s="629"/>
      <c r="R70" s="629"/>
      <c r="S70" s="627">
        <f>IF(N70=Suppl!$E$65,0,IF(N70=Suppl!$E$66,1/2/(COUNTIFS($D:$D,D70,$N:$N,"Exigences"&amp;"*",G:G,"&lt;&gt;0")+COUNTIFS($D:$D,D70,$N:$N,"Non"&amp;"*",G:G,"&lt;&gt;0")),IF(N70=Suppl!$E$67,1/(COUNTIFS($D:$D,D70,$N:$N,"Exigences"&amp;"*",G:G,"&lt;&gt;0")+COUNTIFS($D:$D,D70,$N:$N,"Non"&amp;"*",G:G,"&lt;&gt;0")),0)))</f>
        <v>0</v>
      </c>
      <c r="T70" s="627"/>
      <c r="U70" s="627"/>
      <c r="V70" s="628"/>
      <c r="W70" s="356">
        <f>IFERROR(IF(N70=Suppl!$E$65,0,IF(N70=Suppl!$E$66,1/2/(COUNTIFS($N:$N,"Exigences"&amp;"*")+COUNTIFS($N:$N,"Non"&amp;"*")),IF(N70=Suppl!$E$67,1/(COUNTIFS($N:$N,"Exigences"&amp;"*")+COUNTIFS($N:$N,"Non"&amp;"*")),0))),0)</f>
        <v>0</v>
      </c>
      <c r="X70" s="30"/>
      <c r="Y70" s="30"/>
      <c r="Z70" s="30"/>
      <c r="AA70" s="30"/>
      <c r="AB70" s="30"/>
      <c r="AC70" s="30"/>
      <c r="AD70" s="30"/>
      <c r="AE70" s="30"/>
      <c r="AF70" s="30"/>
      <c r="AG70" s="30"/>
      <c r="AH70" s="112"/>
      <c r="AI70" s="30"/>
    </row>
    <row r="71" spans="1:35" ht="30" customHeight="1" x14ac:dyDescent="0.3">
      <c r="A71" s="112"/>
      <c r="B71" s="30"/>
      <c r="C71" s="30" t="str">
        <f t="shared" si="0"/>
        <v>11</v>
      </c>
      <c r="D71" s="32">
        <f t="shared" si="11"/>
        <v>7</v>
      </c>
      <c r="E71" s="32" t="str">
        <f t="shared" si="12"/>
        <v>1174</v>
      </c>
      <c r="F71" s="145" t="s">
        <v>32</v>
      </c>
      <c r="G71" s="146" t="str">
        <f>VLOOKUP(E71,BDD!$A$2:$N$567,MATCH(G$24,BDD!$A$1:$P$1,0),FALSE)</f>
        <v>Il existe une gestion des actifs logiciels.</v>
      </c>
      <c r="H71" s="149" t="str">
        <f>IF(VLOOKUP($E71,BDD!$A$2:$N$567,MATCH($H$23,BDD!$A$1:$P$1,0),FALSE)=H$24,'V11_Presta&amp;Fournisseurs'!H$24,"")</f>
        <v>N1</v>
      </c>
      <c r="I71" s="150" t="str">
        <f>IF(VLOOKUP($E71,BDD!$A$2:$N$567,MATCH($H$23,BDD!$A$1:$P$1,0),FALSE)=I$24,'V11_Presta&amp;Fournisseurs'!I$24,"")</f>
        <v/>
      </c>
      <c r="J71" s="150" t="str">
        <f>IF(VLOOKUP($E71,BDD!$A$2:$N$567,MATCH($H$23,BDD!$A$1:$P$1,0),FALSE)=J$24,'V11_Presta&amp;Fournisseurs'!J$24,"")</f>
        <v/>
      </c>
      <c r="K71" s="150" t="str">
        <f>IF(VLOOKUP($E71,BDD!$A$2:$N$567,MATCH($H$23,BDD!$A$1:$P$1,0),FALSE)=K$24,'V11_Presta&amp;Fournisseurs'!K$24,"")</f>
        <v/>
      </c>
      <c r="L71" s="151" t="str">
        <f>IF(VLOOKUP($E71,BDD!$A$2:$N$567,MATCH($H$23,BDD!$A$1:$P$1,0),FALSE)=L$24,'V11_Presta&amp;Fournisseurs'!L$24,"")</f>
        <v/>
      </c>
      <c r="M71" s="63">
        <f t="shared" si="13"/>
        <v>0</v>
      </c>
      <c r="N71" s="146" t="str">
        <f>VLOOKUP(VLOOKUP(E71,BDD!$A$2:$P$550,15,FALSE),Suppl!$D$64:$E$68,2,FALSE)</f>
        <v>Non renseigné</v>
      </c>
      <c r="O71" s="629"/>
      <c r="P71" s="629"/>
      <c r="Q71" s="629"/>
      <c r="R71" s="629"/>
      <c r="S71" s="627">
        <f>IF(N71=Suppl!$E$65,0,IF(N71=Suppl!$E$66,1/2/(COUNTIFS($D:$D,D71,$N:$N,"Exigences"&amp;"*",G:G,"&lt;&gt;0")+COUNTIFS($D:$D,D71,$N:$N,"Non"&amp;"*",G:G,"&lt;&gt;0")),IF(N71=Suppl!$E$67,1/(COUNTIFS($D:$D,D71,$N:$N,"Exigences"&amp;"*",G:G,"&lt;&gt;0")+COUNTIFS($D:$D,D71,$N:$N,"Non"&amp;"*",G:G,"&lt;&gt;0")),0)))</f>
        <v>0</v>
      </c>
      <c r="T71" s="627"/>
      <c r="U71" s="627"/>
      <c r="V71" s="628"/>
      <c r="W71" s="356">
        <f>IFERROR(IF(N71=Suppl!$E$65,0,IF(N71=Suppl!$E$66,1/2/(COUNTIFS($N:$N,"Exigences"&amp;"*")+COUNTIFS($N:$N,"Non"&amp;"*")),IF(N71=Suppl!$E$67,1/(COUNTIFS($N:$N,"Exigences"&amp;"*")+COUNTIFS($N:$N,"Non"&amp;"*")),0))),0)</f>
        <v>0</v>
      </c>
      <c r="X71" s="30"/>
      <c r="Y71" s="30"/>
      <c r="Z71" s="30"/>
      <c r="AA71" s="30"/>
      <c r="AB71" s="30"/>
      <c r="AC71" s="30"/>
      <c r="AD71" s="30"/>
      <c r="AE71" s="30"/>
      <c r="AF71" s="30"/>
      <c r="AG71" s="30"/>
      <c r="AH71" s="112"/>
      <c r="AI71" s="30"/>
    </row>
    <row r="72" spans="1:35" ht="30" customHeight="1" x14ac:dyDescent="0.3">
      <c r="A72" s="112"/>
      <c r="B72" s="30"/>
      <c r="C72" s="30" t="str">
        <f t="shared" si="0"/>
        <v>11</v>
      </c>
      <c r="D72" s="32">
        <f t="shared" si="11"/>
        <v>7</v>
      </c>
      <c r="E72" s="32" t="str">
        <f t="shared" si="12"/>
        <v>1175</v>
      </c>
      <c r="F72" s="143" t="s">
        <v>33</v>
      </c>
      <c r="G72" s="144" t="str">
        <f>VLOOKUP(E72,BDD!$A$2:$N$567,MATCH(G$24,BDD!$A$1:$P$1,0),FALSE)</f>
        <v>La gestion des versions (versioning) et l'anticipation de l’obsolescence des matériels et logiciels sont organisées.</v>
      </c>
      <c r="H72" s="149" t="str">
        <f>IF(VLOOKUP($E72,BDD!$A$2:$N$567,MATCH($H$23,BDD!$A$1:$P$1,0),FALSE)=H$24,'V11_Presta&amp;Fournisseurs'!H$24,"")</f>
        <v/>
      </c>
      <c r="I72" s="150" t="str">
        <f>IF(VLOOKUP($E72,BDD!$A$2:$N$567,MATCH($H$23,BDD!$A$1:$P$1,0),FALSE)=I$24,'V11_Presta&amp;Fournisseurs'!I$24,"")</f>
        <v>N2</v>
      </c>
      <c r="J72" s="150" t="str">
        <f>IF(VLOOKUP($E72,BDD!$A$2:$N$567,MATCH($H$23,BDD!$A$1:$P$1,0),FALSE)=J$24,'V11_Presta&amp;Fournisseurs'!J$24,"")</f>
        <v/>
      </c>
      <c r="K72" s="150" t="str">
        <f>IF(VLOOKUP($E72,BDD!$A$2:$N$567,MATCH($H$23,BDD!$A$1:$P$1,0),FALSE)=K$24,'V11_Presta&amp;Fournisseurs'!K$24,"")</f>
        <v/>
      </c>
      <c r="L72" s="151" t="str">
        <f>IF(VLOOKUP($E72,BDD!$A$2:$N$567,MATCH($H$23,BDD!$A$1:$P$1,0),FALSE)=L$24,'V11_Presta&amp;Fournisseurs'!L$24,"")</f>
        <v/>
      </c>
      <c r="M72" s="63">
        <f t="shared" si="13"/>
        <v>0</v>
      </c>
      <c r="N72" s="144" t="str">
        <f>VLOOKUP(VLOOKUP(E72,BDD!$A$2:$P$550,15,FALSE),Suppl!$D$64:$E$68,2,FALSE)</f>
        <v>Non renseigné</v>
      </c>
      <c r="O72" s="647"/>
      <c r="P72" s="636"/>
      <c r="Q72" s="636"/>
      <c r="R72" s="636"/>
      <c r="S72" s="624">
        <f>IF(N72=Suppl!$E$65,0,IF(N72=Suppl!$E$66,1/2/(COUNTIFS($D:$D,D72,$N:$N,"Exigences"&amp;"*",G:G,"&lt;&gt;0")+COUNTIFS($D:$D,D72,$N:$N,"Non"&amp;"*",G:G,"&lt;&gt;0")),IF(N72=Suppl!$E$67,1/(COUNTIFS($D:$D,D72,$N:$N,"Exigences"&amp;"*",G:G,"&lt;&gt;0")+COUNTIFS($D:$D,D72,$N:$N,"Non"&amp;"*",G:G,"&lt;&gt;0")),0)))</f>
        <v>0</v>
      </c>
      <c r="T72" s="624"/>
      <c r="U72" s="624"/>
      <c r="V72" s="625"/>
      <c r="W72" s="356">
        <f>IFERROR(IF(N72=Suppl!$E$65,0,IF(N72=Suppl!$E$66,1/2/(COUNTIFS($N:$N,"Exigences"&amp;"*")+COUNTIFS($N:$N,"Non"&amp;"*")),IF(N72=Suppl!$E$67,1/(COUNTIFS($N:$N,"Exigences"&amp;"*")+COUNTIFS($N:$N,"Non"&amp;"*")),0))),0)</f>
        <v>0</v>
      </c>
      <c r="X72" s="30"/>
      <c r="Y72" s="30"/>
      <c r="Z72" s="30"/>
      <c r="AA72" s="30"/>
      <c r="AB72" s="30"/>
      <c r="AC72" s="30"/>
      <c r="AD72" s="30"/>
      <c r="AE72" s="30"/>
      <c r="AF72" s="30"/>
      <c r="AG72" s="30"/>
      <c r="AH72" s="112"/>
      <c r="AI72" s="30"/>
    </row>
    <row r="73" spans="1:35" ht="30" customHeight="1" x14ac:dyDescent="0.3">
      <c r="A73" s="112"/>
      <c r="B73" s="30"/>
      <c r="C73" s="30"/>
      <c r="D73" s="32"/>
      <c r="E73" s="32"/>
      <c r="F73" s="30"/>
      <c r="G73" s="32"/>
      <c r="H73" s="32"/>
      <c r="I73" s="32"/>
      <c r="J73" s="32"/>
      <c r="K73" s="32"/>
      <c r="L73" s="32"/>
      <c r="M73" s="32"/>
      <c r="N73" s="30"/>
      <c r="O73" s="30"/>
      <c r="P73" s="30"/>
      <c r="Q73" s="30"/>
      <c r="R73" s="30"/>
      <c r="S73" s="30"/>
      <c r="T73" s="30"/>
      <c r="U73" s="30"/>
      <c r="V73" s="30"/>
      <c r="W73" s="33"/>
      <c r="X73" s="30"/>
      <c r="Y73" s="30"/>
      <c r="Z73" s="30"/>
      <c r="AA73" s="30"/>
      <c r="AB73" s="30"/>
      <c r="AC73" s="30"/>
      <c r="AD73" s="30"/>
      <c r="AE73" s="30"/>
      <c r="AF73" s="30"/>
      <c r="AG73" s="30"/>
      <c r="AH73" s="112"/>
      <c r="AI73" s="30"/>
    </row>
    <row r="74" spans="1:35" ht="30" customHeight="1" x14ac:dyDescent="0.3">
      <c r="A74" s="112" t="s">
        <v>164</v>
      </c>
      <c r="B74" s="112"/>
      <c r="C74" s="112"/>
      <c r="D74" s="112"/>
      <c r="E74" s="112"/>
      <c r="F74" s="112"/>
      <c r="G74" s="118"/>
      <c r="H74" s="118"/>
      <c r="I74" s="118"/>
      <c r="J74" s="118"/>
      <c r="K74" s="118"/>
      <c r="L74" s="118"/>
      <c r="M74" s="118"/>
      <c r="N74" s="112"/>
      <c r="O74" s="112"/>
      <c r="P74" s="112"/>
      <c r="Q74" s="112"/>
      <c r="R74" s="112"/>
      <c r="S74" s="112"/>
      <c r="T74" s="112"/>
      <c r="U74" s="112"/>
      <c r="V74" s="112"/>
      <c r="W74" s="121"/>
      <c r="X74" s="112"/>
      <c r="Y74" s="112"/>
      <c r="Z74" s="112"/>
      <c r="AA74" s="112"/>
      <c r="AB74" s="112"/>
      <c r="AC74" s="112"/>
      <c r="AD74" s="112"/>
      <c r="AE74" s="112"/>
      <c r="AF74" s="112"/>
      <c r="AG74" s="112"/>
      <c r="AH74" s="112" t="s">
        <v>164</v>
      </c>
      <c r="AI74" s="30"/>
    </row>
  </sheetData>
  <sheetProtection algorithmName="SHA-512" hashValue="0OnW3hIoQwclsmrBcMe/PYSK7aO+qCBPR9IPAPrj+KC+6JCTi0WbQ8t7Bz7YmBz/Xt/z2ESKwzyY9USjPWBdSA==" saltValue="AeJK4o9IsEgU6pNY4N8sFw==" spinCount="100000" sheet="1" scenarios="1"/>
  <protectedRanges>
    <protectedRange algorithmName="SHA-512" hashValue="ovKORbp8VisJou+piSgFzTrSreLgS7IlmVwKbGHTROFHm7MY/Vp4PR9gLc4QgnZhS9DlyLsOu0XuFGM/3H2Vkw==" saltValue="aAIEI6H5DdJy0/e8k9R5gA==" spinCount="100000" sqref="AA4:AB4" name="Plage1_1"/>
    <protectedRange algorithmName="SHA-512" hashValue="ovKORbp8VisJou+piSgFzTrSreLgS7IlmVwKbGHTROFHm7MY/Vp4PR9gLc4QgnZhS9DlyLsOu0XuFGM/3H2Vkw==" saltValue="aAIEI6H5DdJy0/e8k9R5gA==" spinCount="100000" sqref="O20:R20" name="Plage1_2"/>
  </protectedRanges>
  <mergeCells count="89">
    <mergeCell ref="AD7:AD10"/>
    <mergeCell ref="O21:R21"/>
    <mergeCell ref="O22:R22"/>
    <mergeCell ref="O24:R24"/>
    <mergeCell ref="S24:V24"/>
    <mergeCell ref="O20:R20"/>
    <mergeCell ref="O25:R26"/>
    <mergeCell ref="S25:V26"/>
    <mergeCell ref="O27:R27"/>
    <mergeCell ref="S27:V27"/>
    <mergeCell ref="O28:R28"/>
    <mergeCell ref="S28:V28"/>
    <mergeCell ref="O29:R30"/>
    <mergeCell ref="S29:V30"/>
    <mergeCell ref="O31:R31"/>
    <mergeCell ref="S31:V31"/>
    <mergeCell ref="O37:R38"/>
    <mergeCell ref="S37:V38"/>
    <mergeCell ref="O32:R32"/>
    <mergeCell ref="S32:V32"/>
    <mergeCell ref="O33:R33"/>
    <mergeCell ref="S33:V33"/>
    <mergeCell ref="O34:R34"/>
    <mergeCell ref="S34:V34"/>
    <mergeCell ref="O39:R39"/>
    <mergeCell ref="S39:V39"/>
    <mergeCell ref="O40:R40"/>
    <mergeCell ref="S40:V40"/>
    <mergeCell ref="O35:R35"/>
    <mergeCell ref="S35:V35"/>
    <mergeCell ref="O36:R36"/>
    <mergeCell ref="S36:V36"/>
    <mergeCell ref="O44:R45"/>
    <mergeCell ref="S44:V45"/>
    <mergeCell ref="O41:R41"/>
    <mergeCell ref="S41:V41"/>
    <mergeCell ref="O42:R42"/>
    <mergeCell ref="S42:V42"/>
    <mergeCell ref="O43:R43"/>
    <mergeCell ref="S43:V43"/>
    <mergeCell ref="O49:R49"/>
    <mergeCell ref="S49:V49"/>
    <mergeCell ref="O50:R50"/>
    <mergeCell ref="S50:V50"/>
    <mergeCell ref="O46:R46"/>
    <mergeCell ref="S46:V46"/>
    <mergeCell ref="O47:R47"/>
    <mergeCell ref="S47:V47"/>
    <mergeCell ref="O48:R48"/>
    <mergeCell ref="S48:V48"/>
    <mergeCell ref="O51:R52"/>
    <mergeCell ref="S51:V52"/>
    <mergeCell ref="O53:R53"/>
    <mergeCell ref="S53:V53"/>
    <mergeCell ref="O60:R61"/>
    <mergeCell ref="S60:V61"/>
    <mergeCell ref="O54:R54"/>
    <mergeCell ref="S54:V54"/>
    <mergeCell ref="O55:R55"/>
    <mergeCell ref="S55:V55"/>
    <mergeCell ref="O56:R56"/>
    <mergeCell ref="S56:V56"/>
    <mergeCell ref="O57:R57"/>
    <mergeCell ref="S57:V57"/>
    <mergeCell ref="O58:R58"/>
    <mergeCell ref="S58:V58"/>
    <mergeCell ref="O59:R59"/>
    <mergeCell ref="S59:V59"/>
    <mergeCell ref="S66:V67"/>
    <mergeCell ref="O62:R62"/>
    <mergeCell ref="S62:V62"/>
    <mergeCell ref="O63:R63"/>
    <mergeCell ref="S63:V63"/>
    <mergeCell ref="G38:N38"/>
    <mergeCell ref="O71:R71"/>
    <mergeCell ref="S71:V71"/>
    <mergeCell ref="O72:R72"/>
    <mergeCell ref="S72:V72"/>
    <mergeCell ref="O68:R68"/>
    <mergeCell ref="S68:V68"/>
    <mergeCell ref="O69:R69"/>
    <mergeCell ref="S69:V69"/>
    <mergeCell ref="O70:R70"/>
    <mergeCell ref="S70:V70"/>
    <mergeCell ref="O64:R64"/>
    <mergeCell ref="S64:V64"/>
    <mergeCell ref="O65:R65"/>
    <mergeCell ref="S65:V65"/>
    <mergeCell ref="O66:R67"/>
  </mergeCells>
  <conditionalFormatting sqref="G5:G11 G22 G13:G19">
    <cfRule type="expression" dxfId="35" priority="12">
      <formula>$G5&lt;&gt;""</formula>
    </cfRule>
  </conditionalFormatting>
  <conditionalFormatting sqref="H27:L37 H39:L72">
    <cfRule type="expression" dxfId="34" priority="16">
      <formula>AND($N27="Non évalué",H27&lt;&gt;"")</formula>
    </cfRule>
    <cfRule type="expression" dxfId="33" priority="17">
      <formula>AND($N27="Exigences non respectées",H27&lt;&gt;"")</formula>
    </cfRule>
    <cfRule type="expression" dxfId="32" priority="18">
      <formula>AND($N27="Exigences partiellement respectées",H27&lt;&gt;"")</formula>
    </cfRule>
    <cfRule type="expression" dxfId="31" priority="19">
      <formula>AND($N27="Exigences respectées",H27&lt;&gt;"")</formula>
    </cfRule>
  </conditionalFormatting>
  <conditionalFormatting sqref="O8:U17">
    <cfRule type="cellIs" dxfId="30" priority="3" operator="equal">
      <formula>3</formula>
    </cfRule>
    <cfRule type="cellIs" dxfId="29" priority="4" operator="equal">
      <formula>2</formula>
    </cfRule>
    <cfRule type="cellIs" dxfId="28" priority="5" operator="equal">
      <formula>1</formula>
    </cfRule>
  </conditionalFormatting>
  <conditionalFormatting sqref="G20:G21">
    <cfRule type="expression" dxfId="27" priority="2">
      <formula>$G20&lt;&gt;""</formula>
    </cfRule>
  </conditionalFormatting>
  <conditionalFormatting sqref="O20:R20">
    <cfRule type="cellIs" dxfId="26"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CB78E79-7B4D-4950-893A-8A2D1F6E8A5D}">
          <x14:formula1>
            <xm:f>Suppl!$E$65:$E$69</xm:f>
          </x14:formula1>
          <xm:sqref>W17 W8:W14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7E6EF-5029-4C35-B3ED-4F9DC513B829}">
  <sheetPr codeName="Feuil8">
    <tabColor theme="4" tint="0.79998168889431442"/>
  </sheetPr>
  <dimension ref="A1"/>
  <sheetViews>
    <sheetView workbookViewId="0">
      <selection activeCell="E25" sqref="E25"/>
    </sheetView>
  </sheetViews>
  <sheetFormatPr baseColWidth="10" defaultRowHeight="14.4" x14ac:dyDescent="0.3"/>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6A78-9B94-43B0-950E-8CB7DBFFE9D3}">
  <sheetPr codeName="Feuil50">
    <tabColor rgb="FF69625F"/>
  </sheetPr>
  <dimension ref="A1:P118"/>
  <sheetViews>
    <sheetView showGridLines="0" showRowColHeaders="0" zoomScale="67" zoomScaleNormal="67" workbookViewId="0">
      <selection activeCell="J95" sqref="J95"/>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109"/>
      <c r="B1" s="231" t="s">
        <v>569</v>
      </c>
      <c r="C1" s="110"/>
      <c r="D1" s="110"/>
      <c r="E1" s="110"/>
      <c r="F1" s="110"/>
      <c r="G1" s="109"/>
      <c r="H1" s="111"/>
      <c r="I1" s="111"/>
      <c r="J1" s="232" t="str">
        <f>VLOOKUP($E$12,BDD!$A$2:$N$567,3,FALSE)</f>
        <v>Budget &amp; performance</v>
      </c>
      <c r="K1" s="111"/>
      <c r="L1" s="109"/>
      <c r="M1" s="109"/>
      <c r="N1" s="109"/>
      <c r="O1" s="109"/>
      <c r="P1" s="109"/>
    </row>
    <row r="2" spans="1:16" ht="45" customHeight="1" x14ac:dyDescent="0.3">
      <c r="A2" s="109"/>
      <c r="B2" s="109"/>
      <c r="C2" s="109"/>
      <c r="D2" s="109"/>
      <c r="E2" s="109"/>
      <c r="F2" s="109"/>
      <c r="G2" s="109"/>
      <c r="H2" s="109"/>
      <c r="I2" s="109"/>
      <c r="J2" s="114" t="str">
        <f>VLOOKUP($E$12,BDD!$A$2:$N$567,4,FALSE)</f>
        <v>Piloter la performance économique, opérationnelle et écologique du SI.</v>
      </c>
      <c r="K2" s="109"/>
      <c r="L2" s="109"/>
      <c r="M2" s="109"/>
      <c r="N2" s="109"/>
      <c r="O2" s="109"/>
      <c r="P2" s="109"/>
    </row>
    <row r="3" spans="1:16" ht="18" x14ac:dyDescent="0.35">
      <c r="A3" s="109"/>
      <c r="B3" s="68"/>
      <c r="C3" s="68"/>
      <c r="D3" s="68"/>
      <c r="E3" s="68"/>
      <c r="F3" s="68"/>
      <c r="G3" s="69" t="str">
        <f>IF(Suppl!B64=2,"Le vecteur n'est pas utilisé","")</f>
        <v/>
      </c>
      <c r="H3" s="69"/>
      <c r="I3" s="69"/>
      <c r="J3" s="69"/>
      <c r="K3" s="69"/>
      <c r="L3" s="70"/>
      <c r="M3" s="68"/>
      <c r="N3" s="68"/>
      <c r="O3" s="68"/>
      <c r="P3" s="109"/>
    </row>
    <row r="4" spans="1:16" x14ac:dyDescent="0.3">
      <c r="A4" s="109"/>
      <c r="B4" s="68"/>
      <c r="C4" s="68"/>
      <c r="D4" s="68"/>
      <c r="E4" s="68"/>
      <c r="F4" s="68"/>
      <c r="G4" s="68"/>
      <c r="H4" s="68"/>
      <c r="I4" s="68"/>
      <c r="J4" s="68"/>
      <c r="K4" s="68"/>
      <c r="L4" s="68"/>
      <c r="M4" s="68"/>
      <c r="N4" s="68"/>
      <c r="O4" s="68"/>
      <c r="P4" s="109"/>
    </row>
    <row r="5" spans="1:16" ht="25.8" x14ac:dyDescent="0.5">
      <c r="A5" s="229"/>
      <c r="B5" s="74"/>
      <c r="C5" s="68" t="str">
        <f>IF(LEFT(RIGHT($B$1,2),1)=" ",RIGHT($B$1,1),RIGHT($B$1,2))</f>
        <v>12</v>
      </c>
      <c r="D5" s="68">
        <f>IF(LEFT(F5,14)="Bonne pratique",D4+1,D4)</f>
        <v>1</v>
      </c>
      <c r="E5" s="71"/>
      <c r="F5" s="208" t="s">
        <v>499</v>
      </c>
      <c r="G5" s="75"/>
      <c r="H5" s="205"/>
      <c r="I5" s="73"/>
      <c r="J5" s="73" t="str">
        <f>VLOOKUP(E12,BDD!$A$2:$N$567,6,FALSE)</f>
        <v>Objectifs de performance</v>
      </c>
      <c r="K5" s="72"/>
      <c r="L5" s="75"/>
      <c r="M5" s="75"/>
      <c r="N5" s="75"/>
      <c r="O5" s="74"/>
      <c r="P5" s="229"/>
    </row>
    <row r="6" spans="1:16" x14ac:dyDescent="0.3">
      <c r="A6" s="109"/>
      <c r="B6" s="68"/>
      <c r="C6" s="68" t="str">
        <f t="shared" ref="C6:C69" si="0">IF(LEFT(RIGHT($B$1,2),1)=" ",RIGHT($B$1,1),RIGHT($B$1,2))</f>
        <v>12</v>
      </c>
      <c r="D6" s="68">
        <f>IF(LEFT(F6,14)="Bonne pratique",D5+1,D5)</f>
        <v>1</v>
      </c>
      <c r="E6" s="68"/>
      <c r="F6" s="68"/>
      <c r="G6" s="68"/>
      <c r="H6" s="68"/>
      <c r="I6" s="68"/>
      <c r="J6" s="68"/>
      <c r="K6" s="68"/>
      <c r="L6" s="68"/>
      <c r="M6" s="68"/>
      <c r="N6" s="68"/>
      <c r="O6" s="68"/>
      <c r="P6" s="109"/>
    </row>
    <row r="7" spans="1:16" ht="23.4" customHeight="1" x14ac:dyDescent="0.35">
      <c r="A7" s="230"/>
      <c r="B7" s="76"/>
      <c r="C7" s="68" t="str">
        <f t="shared" si="0"/>
        <v>12</v>
      </c>
      <c r="D7" s="68">
        <f t="shared" ref="D7:D67" si="1">IF(LEFT(F7,14)="Bonne pratique",D6+1,D6)</f>
        <v>1</v>
      </c>
      <c r="E7" s="76"/>
      <c r="F7" s="76"/>
      <c r="G7" s="76"/>
      <c r="H7" s="76"/>
      <c r="I7" s="77"/>
      <c r="J7" s="207" t="str">
        <f>IFERROR(_xlfn.TEXTBEFORE(VLOOKUP(E12,BDD!$A$2:$N$567,7,FALSE)," ",21),VLOOKUP(E12,BDD!$A$2:$N$567,7,FALSE))</f>
        <v>La DSI a défini ses objectifs prioritaires en mettant en évidence leur contribution à ceux de l'entreprise et en les structurant,</v>
      </c>
      <c r="K7" s="77"/>
      <c r="L7" s="76"/>
      <c r="M7" s="76"/>
      <c r="N7" s="76"/>
      <c r="O7" s="76"/>
      <c r="P7" s="230"/>
    </row>
    <row r="8" spans="1:16" ht="18" x14ac:dyDescent="0.35">
      <c r="A8" s="109"/>
      <c r="B8" s="68"/>
      <c r="C8" s="68" t="str">
        <f t="shared" si="0"/>
        <v>12</v>
      </c>
      <c r="D8" s="68">
        <f t="shared" si="1"/>
        <v>1</v>
      </c>
      <c r="E8" s="68"/>
      <c r="F8" s="68"/>
      <c r="G8" s="68"/>
      <c r="H8" s="68"/>
      <c r="I8" s="68"/>
      <c r="J8" s="207" t="str">
        <f>IFERROR(_xlfn.TEXTAFTER(VLOOKUP(E12,BDD!$A$2:$N$567,7,FALSE)," ",21),"")</f>
        <v>par exemple selon les volets de l'IT SCORECARD définis par l'ISACA France.</v>
      </c>
      <c r="K8" s="68"/>
      <c r="L8" s="68"/>
      <c r="M8" s="68"/>
      <c r="N8" s="68"/>
      <c r="O8" s="68"/>
      <c r="P8" s="109"/>
    </row>
    <row r="9" spans="1:16" x14ac:dyDescent="0.3">
      <c r="A9" s="109"/>
      <c r="B9" s="68"/>
      <c r="C9" s="68" t="str">
        <f t="shared" si="0"/>
        <v>12</v>
      </c>
      <c r="D9" s="68">
        <f t="shared" si="1"/>
        <v>1</v>
      </c>
      <c r="E9" s="68"/>
      <c r="F9" s="68"/>
      <c r="G9" s="78"/>
      <c r="H9" s="78"/>
      <c r="I9" s="78"/>
      <c r="J9" s="78"/>
      <c r="K9" s="78"/>
      <c r="L9" s="78"/>
      <c r="M9" s="618" t="s">
        <v>92</v>
      </c>
      <c r="N9" s="618"/>
      <c r="O9" s="68"/>
      <c r="P9" s="109"/>
    </row>
    <row r="10" spans="1:16" ht="33" x14ac:dyDescent="0.3">
      <c r="A10" s="109"/>
      <c r="B10" s="68"/>
      <c r="C10" s="68" t="str">
        <f t="shared" si="0"/>
        <v>12</v>
      </c>
      <c r="D10" s="68">
        <f t="shared" si="1"/>
        <v>1</v>
      </c>
      <c r="E10" s="68"/>
      <c r="F10" s="79"/>
      <c r="G10" s="80" t="s">
        <v>561</v>
      </c>
      <c r="H10" s="80" t="s">
        <v>82</v>
      </c>
      <c r="I10" s="126" t="s">
        <v>21</v>
      </c>
      <c r="J10" s="80" t="s">
        <v>84</v>
      </c>
      <c r="K10" s="80" t="s">
        <v>549</v>
      </c>
      <c r="L10" s="78"/>
      <c r="M10" s="81" t="s">
        <v>86</v>
      </c>
      <c r="N10" s="82" t="s">
        <v>87</v>
      </c>
      <c r="O10" s="68"/>
      <c r="P10" s="109"/>
    </row>
    <row r="11" spans="1:16" x14ac:dyDescent="0.3">
      <c r="A11" s="109"/>
      <c r="B11" s="68"/>
      <c r="C11" s="68" t="str">
        <f t="shared" si="0"/>
        <v>12</v>
      </c>
      <c r="D11" s="68">
        <f t="shared" si="1"/>
        <v>1</v>
      </c>
      <c r="E11" s="68"/>
      <c r="F11" s="68"/>
      <c r="G11" s="83"/>
      <c r="H11" s="83"/>
      <c r="I11" s="83"/>
      <c r="J11" s="68"/>
      <c r="K11" s="83"/>
      <c r="L11" s="68"/>
      <c r="M11" s="68"/>
      <c r="N11" s="68"/>
      <c r="O11" s="68"/>
      <c r="P11" s="109"/>
    </row>
    <row r="12" spans="1:16" ht="130.05000000000001" customHeight="1" x14ac:dyDescent="0.3">
      <c r="A12" s="109"/>
      <c r="B12" s="68"/>
      <c r="C12" s="68" t="str">
        <f t="shared" si="0"/>
        <v>12</v>
      </c>
      <c r="D12" s="68">
        <f t="shared" si="1"/>
        <v>1</v>
      </c>
      <c r="E12" s="84" t="str">
        <f>C12&amp;D12&amp;RIGHT(F12,1)</f>
        <v>1211</v>
      </c>
      <c r="F12" s="66" t="s">
        <v>27</v>
      </c>
      <c r="G12" s="67" t="str">
        <f>IFERROR(IF(VLOOKUP($E12,BDD!$A$1:$S$567,MATCH(G$10,BDD!$A$1:$P$1,0),FALSE)=0,"",VLOOKUP($E12,BDD!$A$1:$S$567,MATCH(G$10,BDD!$A$1:$P$1,0),FALSE)),"")</f>
        <v>Les objectifs de la DSI sont définis conjointement avec les métiers, notamment en ce qui concerne la performance des processus informatiques (build, run, évolutions).</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
      <c r="L12" s="68"/>
      <c r="M12" s="87"/>
      <c r="N12" s="87"/>
      <c r="O12" s="68"/>
      <c r="P12" s="109"/>
    </row>
    <row r="13" spans="1:16" ht="130.05000000000001" customHeight="1" x14ac:dyDescent="0.3">
      <c r="A13" s="109"/>
      <c r="B13" s="68"/>
      <c r="C13" s="68" t="str">
        <f t="shared" si="0"/>
        <v>12</v>
      </c>
      <c r="D13" s="68">
        <f t="shared" si="1"/>
        <v>1</v>
      </c>
      <c r="E13" s="84" t="str">
        <f t="shared" ref="E13:E82" si="2">C13&amp;D13&amp;RIGHT(F13,1)</f>
        <v>1212</v>
      </c>
      <c r="F13" s="94" t="s">
        <v>28</v>
      </c>
      <c r="G13" s="65" t="str">
        <f>IFERROR(IF(VLOOKUP($E13,BDD!$A$1:$S$567,MATCH(G$10,BDD!$A$1:$P$1,0),FALSE)=0,"",VLOOKUP($E13,BDD!$A$1:$S$567,MATCH(G$10,BDD!$A$1:$P$1,0),FALSE)),"")</f>
        <v>Les objectifs de la DSI sont définis conjointement avec les clients, notamment en ce qui concerne la maîtrise des coûts des services informatiques fournis.</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c>
      <c r="L13" s="68"/>
      <c r="M13" s="90"/>
      <c r="N13" s="90"/>
      <c r="O13" s="68"/>
      <c r="P13" s="109"/>
    </row>
    <row r="14" spans="1:16" ht="130.05000000000001" customHeight="1" x14ac:dyDescent="0.3">
      <c r="A14" s="109"/>
      <c r="B14" s="68"/>
      <c r="C14" s="68" t="str">
        <f t="shared" si="0"/>
        <v>12</v>
      </c>
      <c r="D14" s="68">
        <f t="shared" si="1"/>
        <v>1</v>
      </c>
      <c r="E14" s="84" t="str">
        <f t="shared" si="2"/>
        <v>1213</v>
      </c>
      <c r="F14" s="66" t="s">
        <v>30</v>
      </c>
      <c r="G14" s="67" t="str">
        <f>IFERROR(IF(VLOOKUP($E14,BDD!$A$1:$S$567,MATCH(G$10,BDD!$A$1:$P$1,0),FALSE)=0,"",VLOOKUP($E14,BDD!$A$1:$S$567,MATCH(G$10,BDD!$A$1:$P$1,0),FALSE)),"")</f>
        <v>Les objectifs de la DSI sont définis conjointement avec les clients, notamment en ce qui concerne la gestion des compétences informatiques et la préparation du futur.</v>
      </c>
      <c r="H14" s="85" t="str">
        <f>IF(VLOOKUP(E14,BDD!$A$1:$S$567,15,FALSE)=0,"Critère non évalué","")</f>
        <v>Critère non évalué</v>
      </c>
      <c r="I14" s="66" t="str">
        <f>IFERROR(IF(VLOOKUP($E14,BDD!$A$1:$S$567,MATCH(I$10,BDD!$A$1:$P$1,0),FALSE)=0,"",VLOOKUP($E14,BDD!$A$1:$S$567,MATCH(I$10,BDD!$A$1:$P$1,0),FALSE)),"")</f>
        <v>N3</v>
      </c>
      <c r="J14" s="86"/>
      <c r="K14" s="67" t="str">
        <f>IFERROR(IF(VLOOKUP($E14,BDD!$A$1:$S$567,MATCH(K$10,BDD!$A$1:$P$1,0),FALSE)=0,"",VLOOKUP($E14,BDD!$A$1:$S$567,MATCH(K$10,BDD!$A$1:$P$1,0),FALSE)),"")</f>
        <v/>
      </c>
      <c r="L14" s="68"/>
      <c r="M14" s="87"/>
      <c r="N14" s="87"/>
      <c r="O14" s="68"/>
      <c r="P14" s="109"/>
    </row>
    <row r="15" spans="1:16" ht="130.05000000000001" customHeight="1" x14ac:dyDescent="0.3">
      <c r="A15" s="109"/>
      <c r="B15" s="68"/>
      <c r="C15" s="68" t="str">
        <f t="shared" si="0"/>
        <v>12</v>
      </c>
      <c r="D15" s="68">
        <f t="shared" si="1"/>
        <v>1</v>
      </c>
      <c r="E15" s="84" t="str">
        <f t="shared" si="2"/>
        <v>1214</v>
      </c>
      <c r="F15" s="64" t="s">
        <v>32</v>
      </c>
      <c r="G15" s="65" t="str">
        <f>IFERROR(IF(VLOOKUP($E15,BDD!$A$1:$S$567,MATCH(G$10,BDD!$A$1:$P$1,0),FALSE)=0,"",VLOOKUP($E15,BDD!$A$1:$S$567,MATCH(G$10,BDD!$A$1:$P$1,0),FALSE)),"")</f>
        <v>Les objectifs de la DSI sont définis conjointement avec les clients, notamment en ce qui concerne l’identification et la gestion des risques liés aux systèmes d’information.</v>
      </c>
      <c r="H15" s="88" t="str">
        <f>IF(VLOOKUP(E15,BDD!$A$1:$S$567,15,FALSE)=0,"Critère non évalué","")</f>
        <v>Critère non évalué</v>
      </c>
      <c r="I15" s="64" t="str">
        <f>IFERROR(IF(VLOOKUP($E15,BDD!$A$1:$S$567,MATCH(I$10,BDD!$A$1:$P$1,0),FALSE)=0,"",VLOOKUP($E15,BDD!$A$1:$S$567,MATCH(I$10,BDD!$A$1:$P$1,0),FALSE)),"")</f>
        <v>N3</v>
      </c>
      <c r="J15" s="91"/>
      <c r="K15" s="65" t="str">
        <f>IFERROR(IF(VLOOKUP($E15,BDD!$A$1:$S$567,MATCH(K$10,BDD!$A$1:$P$1,0),FALSE)=0,"",VLOOKUP($E15,BDD!$A$1:$S$567,MATCH(K$10,BDD!$A$1:$P$1,0),FALSE)),"")</f>
        <v/>
      </c>
      <c r="L15" s="68"/>
      <c r="M15" s="90"/>
      <c r="N15" s="90"/>
      <c r="O15" s="68"/>
      <c r="P15" s="109"/>
    </row>
    <row r="16" spans="1:16" ht="130.05000000000001" customHeight="1" x14ac:dyDescent="0.3">
      <c r="A16" s="109"/>
      <c r="B16" s="68"/>
      <c r="C16" s="68" t="str">
        <f t="shared" si="0"/>
        <v>12</v>
      </c>
      <c r="D16" s="68">
        <f t="shared" si="1"/>
        <v>1</v>
      </c>
      <c r="E16" s="84" t="str">
        <f t="shared" si="2"/>
        <v>1215</v>
      </c>
      <c r="F16" s="66" t="s">
        <v>33</v>
      </c>
      <c r="G16" s="67" t="str">
        <f>IFERROR(IF(VLOOKUP($E16,BDD!$A$1:$S$567,MATCH(G$10,BDD!$A$1:$P$1,0),FALSE)=0,"",VLOOKUP($E16,BDD!$A$1:$S$567,MATCH(G$10,BDD!$A$1:$P$1,0),FALSE)),"")</f>
        <v>Les objectifs de la DSI sont définis conjointement avec les clients, notamment en ce qui concerne les enjeux de conformité et de responsabilité sociétale et environnementale (RSE).</v>
      </c>
      <c r="H16" s="85" t="str">
        <f>IF(VLOOKUP(E16,BDD!$A$1:$S$567,15,FALSE)=0,"Critère non évalué","")</f>
        <v>Critère non évalué</v>
      </c>
      <c r="I16" s="66" t="str">
        <f>IFERROR(IF(VLOOKUP($E16,BDD!$A$1:$S$567,MATCH(I$10,BDD!$A$1:$P$1,0),FALSE)=0,"",VLOOKUP($E16,BDD!$A$1:$S$567,MATCH(I$10,BDD!$A$1:$P$1,0),FALSE)),"")</f>
        <v>N4</v>
      </c>
      <c r="J16" s="86"/>
      <c r="K16" s="67" t="str">
        <f>IFERROR(IF(VLOOKUP($E16,BDD!$A$1:$S$567,MATCH(K$10,BDD!$A$1:$P$1,0),FALSE)=0,"",VLOOKUP($E16,BDD!$A$1:$S$567,MATCH(K$10,BDD!$A$1:$P$1,0),FALSE)),"")</f>
        <v/>
      </c>
      <c r="L16" s="68"/>
      <c r="M16" s="82"/>
      <c r="N16" s="82"/>
      <c r="O16" s="68"/>
      <c r="P16" s="109"/>
    </row>
    <row r="17" spans="1:16" ht="130.05000000000001" customHeight="1" x14ac:dyDescent="0.3">
      <c r="A17" s="109"/>
      <c r="B17" s="68"/>
      <c r="C17" s="68" t="str">
        <f t="shared" si="0"/>
        <v>12</v>
      </c>
      <c r="D17" s="68">
        <f t="shared" si="1"/>
        <v>1</v>
      </c>
      <c r="E17" s="84" t="str">
        <f t="shared" si="2"/>
        <v>1216</v>
      </c>
      <c r="F17" s="64" t="s">
        <v>34</v>
      </c>
      <c r="G17" s="65" t="str">
        <f>IFERROR(IF(VLOOKUP($E17,BDD!$A$1:$S$567,MATCH(G$10,BDD!$A$1:$P$1,0),FALSE)=0,"",VLOOKUP($E17,BDD!$A$1:$S$567,MATCH(G$10,BDD!$A$1:$P$1,0),FALSE)),"")</f>
        <v>Les objectifs de la DSI sont définis conjointement avec les clients, notamment en ce qui concerne sa contribution à la génération de valeur pour l’entreprise.</v>
      </c>
      <c r="H17" s="92" t="str">
        <f>IF(VLOOKUP(E17,BDD!$A$1:$S$567,15,FALSE)=0,"Critère non évalué","")</f>
        <v>Critère non évalué</v>
      </c>
      <c r="I17" s="64" t="str">
        <f>IFERROR(IF(VLOOKUP($E17,BDD!$A$1:$S$567,MATCH(I$10,BDD!$A$1:$P$1,0),FALSE)=0,"",VLOOKUP($E17,BDD!$A$1:$S$567,MATCH(I$10,BDD!$A$1:$P$1,0),FALSE)),"")</f>
        <v>N5</v>
      </c>
      <c r="J17" s="89"/>
      <c r="K17" s="65" t="str">
        <f>IFERROR(IF(VLOOKUP($E17,BDD!$A$1:$S$567,MATCH(K$10,BDD!$A$1:$P$1,0),FALSE)=0,"",VLOOKUP($E17,BDD!$A$1:$S$567,MATCH(K$10,BDD!$A$1:$P$1,0),FALSE)),"")</f>
        <v/>
      </c>
      <c r="L17" s="68"/>
      <c r="M17" s="90"/>
      <c r="N17" s="90"/>
      <c r="O17" s="68"/>
      <c r="P17" s="109"/>
    </row>
    <row r="18" spans="1:16" ht="130.05000000000001" customHeight="1" x14ac:dyDescent="0.3">
      <c r="A18" s="109"/>
      <c r="B18" s="68"/>
      <c r="C18" s="68" t="str">
        <f t="shared" si="0"/>
        <v>12</v>
      </c>
      <c r="D18" s="68">
        <f t="shared" si="1"/>
        <v>1</v>
      </c>
      <c r="E18" s="84" t="str">
        <f t="shared" si="2"/>
        <v>1217</v>
      </c>
      <c r="F18" s="66" t="s">
        <v>36</v>
      </c>
      <c r="G18" s="67" t="str">
        <f>IFERROR(IF(VLOOKUP($E18,BDD!$A$1:$S$567,MATCH(G$10,BDD!$A$1:$P$1,0),FALSE)=0,"",VLOOKUP($E18,BDD!$A$1:$S$567,MATCH(G$10,BDD!$A$1:$P$1,0),FALSE)),"")</f>
        <v>Les objectifs de la DSI sont communiqués à toutes les parties prenantes (collaborateurs de la DSI, clients internes ou externes, comités de direction des autres directions, direction générale, partenaires, etc.).</v>
      </c>
      <c r="H18" s="85" t="str">
        <f>IF(VLOOKUP(E18,BDD!$A$1:$S$567,15,FALSE)=0,"Critère non évalué","")</f>
        <v>Critère non évalué</v>
      </c>
      <c r="I18" s="66" t="str">
        <f>IFERROR(IF(VLOOKUP($E18,BDD!$A$1:$S$567,MATCH(I$10,BDD!$A$1:$P$1,0),FALSE)=0,"",VLOOKUP($E18,BDD!$A$1:$S$567,MATCH(I$10,BDD!$A$1:$P$1,0),FALSE)),"")</f>
        <v>N1</v>
      </c>
      <c r="J18" s="86"/>
      <c r="K18" s="67" t="str">
        <f>IFERROR(IF(VLOOKUP($E18,BDD!$A$1:$S$567,MATCH(K$10,BDD!$A$1:$P$1,0),FALSE)=0,"",VLOOKUP($E18,BDD!$A$1:$S$567,MATCH(K$10,BDD!$A$1:$P$1,0),FALSE)),"")</f>
        <v/>
      </c>
      <c r="L18" s="68"/>
      <c r="M18" s="82"/>
      <c r="N18" s="82"/>
      <c r="O18" s="68"/>
      <c r="P18" s="109"/>
    </row>
    <row r="19" spans="1:16" ht="130.05000000000001" customHeight="1" x14ac:dyDescent="0.3">
      <c r="A19" s="109"/>
      <c r="B19" s="68"/>
      <c r="C19" s="68" t="str">
        <f t="shared" si="0"/>
        <v>12</v>
      </c>
      <c r="D19" s="68">
        <f t="shared" ref="D19" si="3">IF(LEFT(F19,14)="Bonne pratique",D18+1,D18)</f>
        <v>1</v>
      </c>
      <c r="E19" s="84" t="str">
        <f t="shared" ref="E19" si="4">C19&amp;D19&amp;RIGHT(F19,1)</f>
        <v>1218</v>
      </c>
      <c r="F19" s="64" t="s">
        <v>641</v>
      </c>
      <c r="G19" s="96" t="str">
        <f>IFERROR(IF(VLOOKUP($E19,BDD!$A$1:$S$567,MATCH(G$10,BDD!$A$1:$P$1,0),FALSE)=0,"",VLOOKUP($E19,BDD!$A$1:$S$567,MATCH(G$10,BDD!$A$1:$P$1,0),FALSE)),"")</f>
        <v>Les objectifs sont revus régulièrement (au moins annuellement) à partir des mesures observées et de leur niveau d'atteinte, et au regard de la stratégie de l'entreprise et de son évolution.</v>
      </c>
      <c r="H19" s="92" t="str">
        <f>IF(VLOOKUP(E19,BDD!$A$1:$S$567,15,FALSE)=0,"Critère non évalué","")</f>
        <v>Critère non évalué</v>
      </c>
      <c r="I19" s="64" t="str">
        <f>IFERROR(IF(VLOOKUP($E19,BDD!$A$1:$S$567,MATCH(I$10,BDD!$A$1:$P$1,0),FALSE)=0,"",VLOOKUP($E19,BDD!$A$1:$S$567,MATCH(I$10,BDD!$A$1:$P$1,0),FALSE)),"")</f>
        <v>N2</v>
      </c>
      <c r="J19" s="206"/>
      <c r="K19" s="96" t="str">
        <f>IFERROR(IF(VLOOKUP($E19,BDD!$A$1:$S$567,MATCH(K$10,BDD!$A$1:$P$1,0),FALSE)=0,"",VLOOKUP($E19,BDD!$A$1:$S$567,MATCH(K$10,BDD!$A$1:$P$1,0),FALSE)),"")</f>
        <v/>
      </c>
      <c r="L19" s="68"/>
      <c r="M19" s="90"/>
      <c r="N19" s="90"/>
      <c r="O19" s="68"/>
      <c r="P19" s="109"/>
    </row>
    <row r="20" spans="1:16" x14ac:dyDescent="0.3">
      <c r="A20" s="109"/>
      <c r="B20" s="68"/>
      <c r="C20" s="68" t="str">
        <f t="shared" si="0"/>
        <v>12</v>
      </c>
      <c r="D20" s="68">
        <f>IF(LEFT(F20,14)="Bonne pratique",D19+1,D19)</f>
        <v>1</v>
      </c>
      <c r="E20" s="84" t="str">
        <f t="shared" si="2"/>
        <v>121</v>
      </c>
      <c r="F20" s="68"/>
      <c r="G20" s="68"/>
      <c r="H20" s="68"/>
      <c r="I20" s="68"/>
      <c r="J20" s="68"/>
      <c r="K20" s="68"/>
      <c r="L20" s="68"/>
      <c r="M20" s="68"/>
      <c r="N20" s="68"/>
      <c r="O20" s="68"/>
      <c r="P20" s="109"/>
    </row>
    <row r="21" spans="1:16" ht="30" x14ac:dyDescent="0.5">
      <c r="A21" s="229"/>
      <c r="B21" s="74"/>
      <c r="C21" s="68" t="str">
        <f t="shared" si="0"/>
        <v>12</v>
      </c>
      <c r="D21" s="68">
        <f t="shared" si="1"/>
        <v>2</v>
      </c>
      <c r="E21" s="84" t="str">
        <f t="shared" si="2"/>
        <v>1222</v>
      </c>
      <c r="F21" s="208" t="s">
        <v>500</v>
      </c>
      <c r="G21" s="75"/>
      <c r="H21" s="205"/>
      <c r="I21" s="73"/>
      <c r="J21" s="73" t="str">
        <f>VLOOKUP(E28,BDD!$A$2:$N$567,6,FALSE)</f>
        <v>Indicateurs</v>
      </c>
      <c r="K21" s="72"/>
      <c r="L21" s="75"/>
      <c r="M21" s="75"/>
      <c r="N21" s="75"/>
      <c r="O21" s="74"/>
      <c r="P21" s="229"/>
    </row>
    <row r="22" spans="1:16" x14ac:dyDescent="0.3">
      <c r="A22" s="109"/>
      <c r="B22" s="68"/>
      <c r="C22" s="68" t="str">
        <f t="shared" si="0"/>
        <v>12</v>
      </c>
      <c r="D22" s="68">
        <f t="shared" si="1"/>
        <v>2</v>
      </c>
      <c r="E22" s="84" t="str">
        <f t="shared" si="2"/>
        <v>122</v>
      </c>
      <c r="F22" s="68"/>
      <c r="G22" s="68"/>
      <c r="H22" s="68"/>
      <c r="I22" s="68"/>
      <c r="J22" s="68"/>
      <c r="K22" s="68"/>
      <c r="L22" s="68"/>
      <c r="M22" s="68"/>
      <c r="N22" s="68"/>
      <c r="O22" s="68"/>
      <c r="P22" s="109"/>
    </row>
    <row r="23" spans="1:16" ht="18" x14ac:dyDescent="0.35">
      <c r="A23" s="230"/>
      <c r="B23" s="76"/>
      <c r="C23" s="68" t="str">
        <f t="shared" si="0"/>
        <v>12</v>
      </c>
      <c r="D23" s="68">
        <f t="shared" si="1"/>
        <v>2</v>
      </c>
      <c r="E23" s="84" t="str">
        <f t="shared" si="2"/>
        <v>122</v>
      </c>
      <c r="F23" s="76"/>
      <c r="G23" s="76"/>
      <c r="H23" s="76"/>
      <c r="I23" s="77"/>
      <c r="J23" s="207" t="str">
        <f>IFERROR(_xlfn.TEXTBEFORE(VLOOKUP(E28,BDD!$A$2:$N$567,7,FALSE)," ",30),VLOOKUP(E28,BDD!$A$2:$N$567,7,FALSE))</f>
        <v>Des indicateurs de mesure de la performance du SI sont définis et le niveau d'atteinte des objectifs de la DSI est suivi et partagé régulièrement avec les parties prenantes.</v>
      </c>
      <c r="K23" s="77"/>
      <c r="L23" s="76"/>
      <c r="M23" s="76"/>
      <c r="N23" s="76"/>
      <c r="O23" s="76"/>
      <c r="P23" s="230"/>
    </row>
    <row r="24" spans="1:16" ht="18" x14ac:dyDescent="0.35">
      <c r="A24" s="109"/>
      <c r="B24" s="68"/>
      <c r="C24" s="68" t="str">
        <f t="shared" si="0"/>
        <v>12</v>
      </c>
      <c r="D24" s="68">
        <f t="shared" si="1"/>
        <v>2</v>
      </c>
      <c r="E24" s="84" t="str">
        <f t="shared" si="2"/>
        <v>122</v>
      </c>
      <c r="F24" s="68"/>
      <c r="G24" s="68"/>
      <c r="H24" s="68"/>
      <c r="I24" s="68"/>
      <c r="J24" s="207" t="str">
        <f>IFERROR(_xlfn.TEXTAFTER(VLOOKUP(E28,BDD!$A$2:$N$567,7,FALSE)," ",30),"")</f>
        <v/>
      </c>
      <c r="K24" s="68"/>
      <c r="L24" s="68"/>
      <c r="M24" s="68"/>
      <c r="N24" s="68"/>
      <c r="O24" s="68"/>
      <c r="P24" s="109"/>
    </row>
    <row r="25" spans="1:16" x14ac:dyDescent="0.3">
      <c r="A25" s="109"/>
      <c r="B25" s="68"/>
      <c r="C25" s="68" t="str">
        <f t="shared" si="0"/>
        <v>12</v>
      </c>
      <c r="D25" s="68">
        <f t="shared" si="1"/>
        <v>2</v>
      </c>
      <c r="E25" s="84" t="str">
        <f t="shared" si="2"/>
        <v>122</v>
      </c>
      <c r="F25" s="68"/>
      <c r="G25" s="68"/>
      <c r="H25" s="68"/>
      <c r="I25" s="68"/>
      <c r="J25" s="78"/>
      <c r="K25" s="68"/>
      <c r="L25" s="68"/>
      <c r="M25" s="619" t="s">
        <v>92</v>
      </c>
      <c r="N25" s="619"/>
      <c r="O25" s="68"/>
      <c r="P25" s="109"/>
    </row>
    <row r="26" spans="1:16" ht="33" x14ac:dyDescent="0.3">
      <c r="A26" s="109"/>
      <c r="B26" s="68"/>
      <c r="C26" s="68" t="str">
        <f t="shared" si="0"/>
        <v>12</v>
      </c>
      <c r="D26" s="68">
        <f t="shared" si="1"/>
        <v>2</v>
      </c>
      <c r="E26" s="84" t="str">
        <f t="shared" si="2"/>
        <v>122</v>
      </c>
      <c r="F26" s="93"/>
      <c r="G26" s="80" t="s">
        <v>561</v>
      </c>
      <c r="H26" s="80" t="s">
        <v>82</v>
      </c>
      <c r="I26" s="80" t="s">
        <v>83</v>
      </c>
      <c r="J26" s="80" t="s">
        <v>84</v>
      </c>
      <c r="K26" s="80" t="s">
        <v>85</v>
      </c>
      <c r="L26" s="78"/>
      <c r="M26" s="81" t="s">
        <v>86</v>
      </c>
      <c r="N26" s="82" t="s">
        <v>87</v>
      </c>
      <c r="O26" s="68"/>
      <c r="P26" s="109"/>
    </row>
    <row r="27" spans="1:16" x14ac:dyDescent="0.3">
      <c r="A27" s="109"/>
      <c r="B27" s="68"/>
      <c r="C27" s="68" t="str">
        <f t="shared" si="0"/>
        <v>12</v>
      </c>
      <c r="D27" s="68">
        <f t="shared" si="1"/>
        <v>2</v>
      </c>
      <c r="E27" s="84" t="str">
        <f t="shared" si="2"/>
        <v>122</v>
      </c>
      <c r="F27" s="68"/>
      <c r="G27" s="83"/>
      <c r="H27" s="83"/>
      <c r="I27" s="83"/>
      <c r="J27" s="68"/>
      <c r="K27" s="83"/>
      <c r="L27" s="68"/>
      <c r="M27" s="68"/>
      <c r="N27" s="68"/>
      <c r="O27" s="68"/>
      <c r="P27" s="109"/>
    </row>
    <row r="28" spans="1:16" ht="130.05000000000001" customHeight="1" x14ac:dyDescent="0.3">
      <c r="A28" s="109"/>
      <c r="B28" s="68"/>
      <c r="C28" s="68" t="str">
        <f t="shared" si="0"/>
        <v>12</v>
      </c>
      <c r="D28" s="68">
        <f t="shared" si="1"/>
        <v>2</v>
      </c>
      <c r="E28" s="84" t="str">
        <f t="shared" si="2"/>
        <v>1221</v>
      </c>
      <c r="F28" s="66" t="s">
        <v>27</v>
      </c>
      <c r="G28" s="67" t="str">
        <f>IFERROR(IF(VLOOKUP($E28,BDD!$A$1:$S$567,MATCH(G$10,BDD!$A$1:$P$1,0),FALSE)=0,"",VLOOKUP($E28,BDD!$A$1:$S$567,MATCH(G$10,BDD!$A$1:$P$1,0),FALSE)),"")</f>
        <v>Des indicateurs de mesure de la performance (quantitatifs et qualitatifs) sont formalisés dans des tableaux de bord. Ils permettent de mesurer le niveau d'atteinte des objectifs du numérique.</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xml:space="preserve">• L’IT SCORECARD publié par ISACA France peut être utilisé pour trouver des exemples d’indicateurs.
• Ces indicateurs sont formellement définis. Pour les aspects quantitatifs, les données servant à la mesure de l'indicateur doivent être extraites, si possible de façon automatisée, du ou des SI existants. </v>
      </c>
      <c r="L28" s="68"/>
      <c r="M28" s="87"/>
      <c r="N28" s="87"/>
      <c r="O28" s="68"/>
      <c r="P28" s="109"/>
    </row>
    <row r="29" spans="1:16" ht="130.05000000000001" customHeight="1" x14ac:dyDescent="0.3">
      <c r="A29" s="109"/>
      <c r="B29" s="68"/>
      <c r="C29" s="68" t="str">
        <f t="shared" si="0"/>
        <v>12</v>
      </c>
      <c r="D29" s="68">
        <f t="shared" si="1"/>
        <v>2</v>
      </c>
      <c r="E29" s="84" t="str">
        <f t="shared" si="2"/>
        <v>1222</v>
      </c>
      <c r="F29" s="94" t="s">
        <v>28</v>
      </c>
      <c r="G29" s="65" t="str">
        <f>IFERROR(IF(VLOOKUP($E29,BDD!$A$1:$S$567,MATCH(G$10,BDD!$A$1:$P$1,0),FALSE)=0,"",VLOOKUP($E29,BDD!$A$1:$S$567,MATCH(G$10,BDD!$A$1:$P$1,0),FALSE)),"")</f>
        <v>Des valeurs cibles d'amélioration ou des seuils d'alerte sont associés aux indicateurs de mesure de la performance.</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Les indicateurs doivent permettre de mesurer : 
- les engagements de service négociés avec les métiers (performance) ; 
- la satisfaction des utilisateurs (perception) ; 
- la performance environnementale du numérique ; 
- le niveau de conformité par rapport aux exigences réglementaires, aux engagements contractuels et aux politiques internes (sécurité, RSE, architecture, etc.).</v>
      </c>
      <c r="L29" s="68"/>
      <c r="M29" s="90"/>
      <c r="N29" s="90"/>
      <c r="O29" s="68"/>
      <c r="P29" s="109"/>
    </row>
    <row r="30" spans="1:16" ht="130.05000000000001" customHeight="1" x14ac:dyDescent="0.3">
      <c r="A30" s="109"/>
      <c r="B30" s="68"/>
      <c r="C30" s="68" t="str">
        <f t="shared" si="0"/>
        <v>12</v>
      </c>
      <c r="D30" s="68">
        <f t="shared" si="1"/>
        <v>2</v>
      </c>
      <c r="E30" s="84" t="str">
        <f t="shared" si="2"/>
        <v>1223</v>
      </c>
      <c r="F30" s="66" t="s">
        <v>30</v>
      </c>
      <c r="G30" s="67" t="str">
        <f>IFERROR(IF(VLOOKUP($E30,BDD!$A$1:$S$567,MATCH(G$10,BDD!$A$1:$P$1,0),FALSE)=0,"",VLOOKUP($E30,BDD!$A$1:$S$567,MATCH(G$10,BDD!$A$1:$P$1,0),FALSE)),"")</f>
        <v>Des moyens de mesure et de contrôle de l’atteinte des objectifs (définition d’indicateurs, mesures régulières) sont en place au niveau de la DSI avec les parties prenantes concernées.</v>
      </c>
      <c r="H30" s="85" t="str">
        <f>IF(VLOOKUP(E30,BDD!$A$1:$S$567,15,FALSE)=0,"Critère non évalué","")</f>
        <v>Critère non évalué</v>
      </c>
      <c r="I30" s="66" t="str">
        <f>IFERROR(IF(VLOOKUP($E30,BDD!$A$1:$S$567,MATCH(I$10,BDD!$A$1:$P$1,0),FALSE)=0,"",VLOOKUP($E30,BDD!$A$1:$S$567,MATCH(I$10,BDD!$A$1:$P$1,0),FALSE)),"")</f>
        <v>N2</v>
      </c>
      <c r="J30" s="86"/>
      <c r="K30" s="67" t="str">
        <f>IFERROR(IF(VLOOKUP($E30,BDD!$A$1:$S$567,MATCH(K$10,BDD!$A$1:$P$1,0),FALSE)=0,"",VLOOKUP($E30,BDD!$A$1:$S$567,MATCH(K$10,BDD!$A$1:$P$1,0),FALSE)),"")</f>
        <v>• La DSI analyse les résultats de ces indicateurs et leur écart par rapport aux objectifs afin de mettre en œuvre les actions correctives éventuelles.</v>
      </c>
      <c r="L30" s="68"/>
      <c r="M30" s="87"/>
      <c r="N30" s="87"/>
      <c r="O30" s="68"/>
      <c r="P30" s="109"/>
    </row>
    <row r="31" spans="1:16" ht="130.05000000000001" customHeight="1" x14ac:dyDescent="0.3">
      <c r="A31" s="109"/>
      <c r="B31" s="68"/>
      <c r="C31" s="68" t="str">
        <f t="shared" si="0"/>
        <v>12</v>
      </c>
      <c r="D31" s="68">
        <f t="shared" si="1"/>
        <v>2</v>
      </c>
      <c r="E31" s="84" t="str">
        <f t="shared" si="2"/>
        <v>1224</v>
      </c>
      <c r="F31" s="64" t="s">
        <v>32</v>
      </c>
      <c r="G31" s="65" t="str">
        <f>IFERROR(IF(VLOOKUP($E31,BDD!$A$1:$S$567,MATCH(G$10,BDD!$A$1:$P$1,0),FALSE)=0,"",VLOOKUP($E31,BDD!$A$1:$S$567,MATCH(G$10,BDD!$A$1:$P$1,0),FALSE)),"")</f>
        <v>Les indicateurs de mesure de la performance sont revus et mis à jour régulièrement (changements de stratégie ou d’objectifs de l'entreprise ou de la DSI) afin de permettre des améliorations de cette mesure.</v>
      </c>
      <c r="H31" s="88" t="str">
        <f>IF(VLOOKUP(E31,BDD!$A$1:$S$567,15,FALSE)=0,"Critère non évalué","")</f>
        <v>Critère non évalué</v>
      </c>
      <c r="I31" s="64" t="str">
        <f>IFERROR(IF(VLOOKUP($E31,BDD!$A$1:$S$567,MATCH(I$10,BDD!$A$1:$P$1,0),FALSE)=0,"",VLOOKUP($E31,BDD!$A$1:$S$567,MATCH(I$10,BDD!$A$1:$P$1,0),FALSE)),"")</f>
        <v>N4</v>
      </c>
      <c r="J31" s="91"/>
      <c r="K31" s="65" t="str">
        <f>IFERROR(IF(VLOOKUP($E31,BDD!$A$1:$S$567,MATCH(K$10,BDD!$A$1:$P$1,0),FALSE)=0,"",VLOOKUP($E31,BDD!$A$1:$S$567,MATCH(K$10,BDD!$A$1:$P$1,0),FALSE)),"")</f>
        <v>• Les règles de gestion des indicateurs doivent résulter de règles de gestion communes et partagées pour constituer une base de décision et alimenter les décisions.</v>
      </c>
      <c r="L31" s="68"/>
      <c r="M31" s="90"/>
      <c r="N31" s="90"/>
      <c r="O31" s="68"/>
      <c r="P31" s="109"/>
    </row>
    <row r="32" spans="1:16" ht="130.05000000000001" customHeight="1" x14ac:dyDescent="0.3">
      <c r="A32" s="109"/>
      <c r="B32" s="68"/>
      <c r="C32" s="68" t="str">
        <f t="shared" si="0"/>
        <v>12</v>
      </c>
      <c r="D32" s="68">
        <f t="shared" si="1"/>
        <v>2</v>
      </c>
      <c r="E32" s="84" t="str">
        <f t="shared" si="2"/>
        <v>1225</v>
      </c>
      <c r="F32" s="66" t="s">
        <v>33</v>
      </c>
      <c r="G32" s="67" t="str">
        <f>IFERROR(IF(VLOOKUP($E32,BDD!$A$1:$S$567,MATCH(G$10,BDD!$A$1:$P$1,0),FALSE)=0,"",VLOOKUP($E32,BDD!$A$1:$S$567,MATCH(G$10,BDD!$A$1:$P$1,0),FALSE)),"")</f>
        <v>Les indicateurs de performance sont consolidés dans des tableaux de bord qui sont partagés régulièrement avec les parties prenantes et la direction générale dans un format adapté en faisant apparaître la contribution de chacun.</v>
      </c>
      <c r="H32" s="85" t="str">
        <f>IF(VLOOKUP(E32,BDD!$A$1:$S$567,15,FALSE)=0,"Critère non évalué","")</f>
        <v>Critère non évalué</v>
      </c>
      <c r="I32" s="66" t="str">
        <f>IFERROR(IF(VLOOKUP($E32,BDD!$A$1:$S$567,MATCH(I$10,BDD!$A$1:$P$1,0),FALSE)=0,"",VLOOKUP($E32,BDD!$A$1:$S$567,MATCH(I$10,BDD!$A$1:$P$1,0),FALSE)),"")</f>
        <v>N5</v>
      </c>
      <c r="J32" s="86"/>
      <c r="K32" s="67" t="str">
        <f>IFERROR(IF(VLOOKUP($E32,BDD!$A$1:$S$567,MATCH(K$10,BDD!$A$1:$P$1,0),FALSE)=0,"",VLOOKUP($E32,BDD!$A$1:$S$567,MATCH(K$10,BDD!$A$1:$P$1,0),FALSE)),"")</f>
        <v>• Dans un but de transparence et d'amélioration de la communication, la DSI publie et partage périodiquement, avec les parties prenantes et la direction générale, des tableaux de bord restituant de façon synthétique les niveaux et les tendances de ces indicateurs.
• La publication doit être faite « au fil de l'eau » pour donner une vision la plus à jour possible de la performance.
• Ces tableaux de bord peuvent être également partagés avec les collaborateurs de la DSI à des fins de management.</v>
      </c>
      <c r="L32" s="68"/>
      <c r="M32" s="82"/>
      <c r="N32" s="82"/>
      <c r="O32" s="68"/>
      <c r="P32" s="109"/>
    </row>
    <row r="33" spans="1:16" ht="130.05000000000001" hidden="1" customHeight="1" x14ac:dyDescent="0.3">
      <c r="A33" s="109"/>
      <c r="B33" s="68"/>
      <c r="C33" s="68" t="str">
        <f t="shared" si="0"/>
        <v>12</v>
      </c>
      <c r="D33" s="68">
        <f t="shared" si="1"/>
        <v>2</v>
      </c>
      <c r="E33" s="84" t="str">
        <f t="shared" si="2"/>
        <v>1226</v>
      </c>
      <c r="F33" s="64" t="s">
        <v>34</v>
      </c>
      <c r="G33" s="65" t="str">
        <f>IFERROR(IF(VLOOKUP($E33,BDD!$A$1:$S$567,MATCH(G$10,BDD!$A$1:$P$1,0),FALSE)=0,"",VLOOKUP($E33,BDD!$A$1:$S$567,MATCH(G$10,BDD!$A$1:$P$1,0),FALSE)),"")</f>
        <v/>
      </c>
      <c r="H33" s="92" t="str">
        <f>IF(VLOOKUP(E33,BDD!$A$1:$S$567,15,FALSE)=0,"Critère non évalué","")</f>
        <v/>
      </c>
      <c r="I33" s="64" t="str">
        <f>IFERROR(IF(VLOOKUP($E33,BDD!$A$1:$S$567,MATCH(I$10,BDD!$A$1:$P$1,0),FALSE)=0,"",VLOOKUP($E33,BDD!$A$1:$S$567,MATCH(I$10,BDD!$A$1:$P$1,0),FALSE)),"")</f>
        <v/>
      </c>
      <c r="J33" s="89"/>
      <c r="K33" s="65" t="str">
        <f>IFERROR(IF(VLOOKUP($E33,BDD!$A$1:$S$567,MATCH(K$10,BDD!$A$1:$P$1,0),FALSE)=0,"",VLOOKUP($E33,BDD!$A$1:$S$567,MATCH(K$10,BDD!$A$1:$P$1,0),FALSE)),"")</f>
        <v/>
      </c>
      <c r="L33" s="68"/>
      <c r="M33" s="90"/>
      <c r="N33" s="90"/>
      <c r="O33" s="68"/>
      <c r="P33" s="109"/>
    </row>
    <row r="34" spans="1:16" ht="130.05000000000001" hidden="1" customHeight="1" x14ac:dyDescent="0.3">
      <c r="A34" s="109"/>
      <c r="B34" s="68"/>
      <c r="C34" s="68" t="str">
        <f t="shared" si="0"/>
        <v>12</v>
      </c>
      <c r="D34" s="68">
        <f t="shared" si="1"/>
        <v>2</v>
      </c>
      <c r="E34" s="84" t="str">
        <f t="shared" si="2"/>
        <v>1227</v>
      </c>
      <c r="F34" s="66" t="s">
        <v>36</v>
      </c>
      <c r="G34" s="67" t="str">
        <f>IFERROR(IF(VLOOKUP($E34,BDD!$A$1:$S$567,MATCH(G$10,BDD!$A$1:$P$1,0),FALSE)=0,"",VLOOKUP($E34,BDD!$A$1:$S$567,MATCH(G$10,BDD!$A$1:$P$1,0),FALSE)),"")</f>
        <v/>
      </c>
      <c r="H34" s="85" t="str">
        <f>IF(VLOOKUP(E34,BDD!$A$1:$S$567,15,FALSE)=0,"Critère non évalué","")</f>
        <v/>
      </c>
      <c r="I34" s="66" t="str">
        <f>IFERROR(IF(VLOOKUP($E34,BDD!$A$1:$S$567,MATCH(I$10,BDD!$A$1:$P$1,0),FALSE)=0,"",VLOOKUP($E34,BDD!$A$1:$S$567,MATCH(I$10,BDD!$A$1:$P$1,0),FALSE)),"")</f>
        <v/>
      </c>
      <c r="J34" s="86"/>
      <c r="K34" s="67" t="str">
        <f>IFERROR(IF(VLOOKUP($E34,BDD!$A$1:$S$567,MATCH(K$10,BDD!$A$1:$P$1,0),FALSE)=0,"",VLOOKUP($E34,BDD!$A$1:$S$567,MATCH(K$10,BDD!$A$1:$P$1,0),FALSE)),"")</f>
        <v/>
      </c>
      <c r="L34" s="68"/>
      <c r="M34" s="82"/>
      <c r="N34" s="82"/>
      <c r="O34" s="68"/>
      <c r="P34" s="109"/>
    </row>
    <row r="35" spans="1:16" ht="18" x14ac:dyDescent="0.35">
      <c r="A35" s="109"/>
      <c r="B35" s="68"/>
      <c r="C35" s="68" t="str">
        <f t="shared" si="0"/>
        <v>12</v>
      </c>
      <c r="D35" s="68">
        <f>IF(LEFT(F35,14)="Bonne pratique",D34+1,D34)</f>
        <v>2</v>
      </c>
      <c r="E35" s="84" t="str">
        <f t="shared" si="2"/>
        <v>122</v>
      </c>
      <c r="F35" s="68"/>
      <c r="G35" s="69" t="str">
        <f>IF(Suppl!B96=2,"Le vecteur n'est pas utilisé","")</f>
        <v/>
      </c>
      <c r="H35" s="69"/>
      <c r="I35" s="68"/>
      <c r="J35" s="69"/>
      <c r="K35" s="69"/>
      <c r="L35" s="70"/>
      <c r="M35" s="68"/>
      <c r="N35" s="68"/>
      <c r="O35" s="68"/>
      <c r="P35" s="109"/>
    </row>
    <row r="36" spans="1:16" x14ac:dyDescent="0.3">
      <c r="A36" s="109"/>
      <c r="B36" s="68"/>
      <c r="C36" s="68" t="str">
        <f t="shared" si="0"/>
        <v>12</v>
      </c>
      <c r="D36" s="68">
        <f>IF(LEFT(F36,14)="Bonne pratique",D35+1,D35)</f>
        <v>2</v>
      </c>
      <c r="E36" s="84" t="str">
        <f t="shared" si="2"/>
        <v>122</v>
      </c>
      <c r="F36" s="68"/>
      <c r="G36" s="68"/>
      <c r="I36" s="68"/>
      <c r="J36" s="68"/>
      <c r="K36" s="68"/>
      <c r="L36" s="68"/>
      <c r="M36" s="68"/>
      <c r="N36" s="68"/>
      <c r="O36" s="68"/>
      <c r="P36" s="109"/>
    </row>
    <row r="37" spans="1:16" ht="30" x14ac:dyDescent="0.5">
      <c r="A37" s="229"/>
      <c r="B37" s="74"/>
      <c r="C37" s="68" t="str">
        <f t="shared" si="0"/>
        <v>12</v>
      </c>
      <c r="D37" s="68">
        <f t="shared" si="1"/>
        <v>3</v>
      </c>
      <c r="E37" s="84" t="str">
        <f t="shared" si="2"/>
        <v>1233</v>
      </c>
      <c r="F37" s="208" t="s">
        <v>501</v>
      </c>
      <c r="G37" s="75"/>
      <c r="H37" s="205"/>
      <c r="I37" s="73"/>
      <c r="J37" s="73" t="str">
        <f>VLOOKUP(E44,BDD!$A$2:$N$567,6,FALSE)</f>
        <v>Budget</v>
      </c>
      <c r="K37" s="72"/>
      <c r="L37" s="75"/>
      <c r="M37" s="75"/>
      <c r="N37" s="75"/>
      <c r="O37" s="74"/>
      <c r="P37" s="229"/>
    </row>
    <row r="38" spans="1:16" x14ac:dyDescent="0.3">
      <c r="A38" s="109"/>
      <c r="B38" s="68"/>
      <c r="C38" s="68" t="str">
        <f t="shared" si="0"/>
        <v>12</v>
      </c>
      <c r="D38" s="68">
        <f t="shared" si="1"/>
        <v>3</v>
      </c>
      <c r="E38" s="84" t="str">
        <f t="shared" si="2"/>
        <v>123</v>
      </c>
      <c r="F38" s="68"/>
      <c r="G38" s="68"/>
      <c r="H38" s="68"/>
      <c r="I38" s="68"/>
      <c r="J38" s="68"/>
      <c r="K38" s="68"/>
      <c r="L38" s="68"/>
      <c r="M38" s="68"/>
      <c r="N38" s="68"/>
      <c r="O38" s="68"/>
      <c r="P38" s="109"/>
    </row>
    <row r="39" spans="1:16" ht="18" x14ac:dyDescent="0.35">
      <c r="A39" s="230"/>
      <c r="B39" s="76"/>
      <c r="C39" s="68" t="str">
        <f t="shared" si="0"/>
        <v>12</v>
      </c>
      <c r="D39" s="68">
        <f t="shared" si="1"/>
        <v>3</v>
      </c>
      <c r="E39" s="84" t="str">
        <f t="shared" si="2"/>
        <v>123</v>
      </c>
      <c r="F39" s="76"/>
      <c r="G39" s="76"/>
      <c r="H39" s="76"/>
      <c r="I39" s="77"/>
      <c r="J39" s="207" t="str">
        <f>IFERROR(_xlfn.TEXTBEFORE(VLOOKUP(E44,BDD!$A$2:$N$567,7,FALSE)," ",26),VLOOKUP(E44,BDD!$A$2:$N$567,7,FALSE))</f>
        <v>La DSI met en œuvre un processus de gestion budgétaire permettant de gérer les arbitrages avec la direction générale et les directions métiers et parties prenantes,</v>
      </c>
      <c r="K39" s="77"/>
      <c r="L39" s="76"/>
      <c r="M39" s="76"/>
      <c r="N39" s="76"/>
      <c r="O39" s="76"/>
      <c r="P39" s="230"/>
    </row>
    <row r="40" spans="1:16" ht="18" x14ac:dyDescent="0.35">
      <c r="A40" s="109"/>
      <c r="B40" s="68"/>
      <c r="C40" s="68" t="str">
        <f t="shared" si="0"/>
        <v>12</v>
      </c>
      <c r="D40" s="68">
        <f t="shared" si="1"/>
        <v>3</v>
      </c>
      <c r="E40" s="84" t="str">
        <f t="shared" si="2"/>
        <v>123</v>
      </c>
      <c r="F40" s="68"/>
      <c r="G40" s="68"/>
      <c r="H40" s="68"/>
      <c r="I40" s="68"/>
      <c r="J40" s="207" t="str">
        <f>IFERROR(_xlfn.TEXTAFTER(VLOOKUP(E44,BDD!$A$2:$N$567,7,FALSE)," ",26),"")</f>
        <v>relatif aux projets, aux évolutions et au fonctionnement récurrent.</v>
      </c>
      <c r="K40" s="68"/>
      <c r="L40" s="68"/>
      <c r="M40" s="68"/>
      <c r="N40" s="68"/>
      <c r="O40" s="68"/>
      <c r="P40" s="109"/>
    </row>
    <row r="41" spans="1:16" x14ac:dyDescent="0.3">
      <c r="A41" s="109"/>
      <c r="B41" s="68"/>
      <c r="C41" s="68" t="str">
        <f t="shared" si="0"/>
        <v>12</v>
      </c>
      <c r="D41" s="68">
        <f t="shared" si="1"/>
        <v>3</v>
      </c>
      <c r="E41" s="84" t="str">
        <f t="shared" si="2"/>
        <v>123</v>
      </c>
      <c r="F41" s="68"/>
      <c r="G41" s="68"/>
      <c r="H41" s="68"/>
      <c r="I41" s="68"/>
      <c r="J41" s="78"/>
      <c r="K41" s="68"/>
      <c r="L41" s="68"/>
      <c r="M41" s="619" t="s">
        <v>92</v>
      </c>
      <c r="N41" s="619"/>
      <c r="O41" s="68"/>
      <c r="P41" s="109"/>
    </row>
    <row r="42" spans="1:16" ht="33" x14ac:dyDescent="0.3">
      <c r="A42" s="109"/>
      <c r="B42" s="68"/>
      <c r="C42" s="68" t="str">
        <f t="shared" si="0"/>
        <v>12</v>
      </c>
      <c r="D42" s="68">
        <f t="shared" si="1"/>
        <v>3</v>
      </c>
      <c r="E42" s="84" t="str">
        <f t="shared" si="2"/>
        <v>123</v>
      </c>
      <c r="F42" s="79"/>
      <c r="G42" s="80" t="s">
        <v>561</v>
      </c>
      <c r="H42" s="80" t="s">
        <v>82</v>
      </c>
      <c r="I42" s="80" t="s">
        <v>83</v>
      </c>
      <c r="J42" s="80" t="s">
        <v>84</v>
      </c>
      <c r="K42" s="80" t="s">
        <v>85</v>
      </c>
      <c r="L42" s="78"/>
      <c r="M42" s="81" t="s">
        <v>86</v>
      </c>
      <c r="N42" s="82" t="s">
        <v>87</v>
      </c>
      <c r="O42" s="68"/>
      <c r="P42" s="109"/>
    </row>
    <row r="43" spans="1:16" x14ac:dyDescent="0.3">
      <c r="A43" s="109"/>
      <c r="B43" s="68"/>
      <c r="C43" s="68" t="str">
        <f t="shared" si="0"/>
        <v>12</v>
      </c>
      <c r="D43" s="68">
        <f t="shared" si="1"/>
        <v>3</v>
      </c>
      <c r="E43" s="84" t="str">
        <f t="shared" si="2"/>
        <v>123</v>
      </c>
      <c r="F43" s="68"/>
      <c r="G43" s="83"/>
      <c r="H43" s="83"/>
      <c r="I43" s="83"/>
      <c r="J43" s="68"/>
      <c r="K43" s="83"/>
      <c r="L43" s="68"/>
      <c r="M43" s="68"/>
      <c r="N43" s="68"/>
      <c r="O43" s="68"/>
      <c r="P43" s="109"/>
    </row>
    <row r="44" spans="1:16" ht="130.05000000000001" customHeight="1" x14ac:dyDescent="0.3">
      <c r="A44" s="109"/>
      <c r="B44" s="68"/>
      <c r="C44" s="68" t="str">
        <f t="shared" si="0"/>
        <v>12</v>
      </c>
      <c r="D44" s="68">
        <f t="shared" si="1"/>
        <v>3</v>
      </c>
      <c r="E44" s="84" t="str">
        <f t="shared" si="2"/>
        <v>1231</v>
      </c>
      <c r="F44" s="66" t="s">
        <v>27</v>
      </c>
      <c r="G44" s="67" t="str">
        <f>IFERROR(IF(VLOOKUP($E44,BDD!$A$1:$S$567,MATCH(G$10,BDD!$A$1:$P$1,0),FALSE)=0,"",VLOOKUP($E44,BDD!$A$1:$S$567,MATCH(G$10,BDD!$A$1:$P$1,0),FALSE)),"")</f>
        <v>Un budget consolidant l'ensemble des coûts de la DSI est établi.</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c>
      <c r="L44" s="68"/>
      <c r="M44" s="87"/>
      <c r="N44" s="87"/>
      <c r="O44" s="68"/>
      <c r="P44" s="109"/>
    </row>
    <row r="45" spans="1:16" ht="150" customHeight="1" x14ac:dyDescent="0.3">
      <c r="A45" s="109"/>
      <c r="B45" s="68"/>
      <c r="C45" s="68" t="str">
        <f t="shared" si="0"/>
        <v>12</v>
      </c>
      <c r="D45" s="68">
        <f t="shared" si="1"/>
        <v>3</v>
      </c>
      <c r="E45" s="84" t="str">
        <f t="shared" si="2"/>
        <v>1232</v>
      </c>
      <c r="F45" s="94" t="s">
        <v>28</v>
      </c>
      <c r="G45" s="65" t="str">
        <f>IFERROR(IF(VLOOKUP($E45,BDD!$A$1:$S$567,MATCH(G$10,BDD!$A$1:$P$1,0),FALSE)=0,"",VLOOKUP($E45,BDD!$A$1:$S$567,MATCH(G$10,BDD!$A$1:$P$1,0),FALSE)),"")</f>
        <v>Les coûts sont consolidés par périmètre de responsabilité.</v>
      </c>
      <c r="H45" s="88" t="str">
        <f>IF(VLOOKUP(E45,BDD!$A$1:$S$567,15,FALSE)=0,"Critère non évalué","")</f>
        <v>Critère non évalué</v>
      </c>
      <c r="I45" s="64" t="str">
        <f>IFERROR(IF(VLOOKUP($E45,BDD!$A$1:$S$567,MATCH(I$10,BDD!$A$1:$P$1,0),FALSE)=0,"",VLOOKUP($E45,BDD!$A$1:$S$567,MATCH(I$10,BDD!$A$1:$P$1,0),FALSE)),"")</f>
        <v>N1</v>
      </c>
      <c r="J45" s="89"/>
      <c r="K45" s="65" t="str">
        <f>IFERROR(IF(VLOOKUP($E45,BDD!$A$1:$S$567,MATCH(K$10,BDD!$A$1:$P$1,0),FALSE)=0,"",VLOOKUP($E45,BDD!$A$1:$S$567,MATCH(K$10,BDD!$A$1:$P$1,0),FALSE)),"")</f>
        <v/>
      </c>
      <c r="L45" s="68"/>
      <c r="M45" s="90"/>
      <c r="N45" s="90"/>
      <c r="O45" s="68"/>
      <c r="P45" s="109"/>
    </row>
    <row r="46" spans="1:16" ht="130.05000000000001" customHeight="1" x14ac:dyDescent="0.3">
      <c r="A46" s="109"/>
      <c r="B46" s="68"/>
      <c r="C46" s="68" t="str">
        <f t="shared" si="0"/>
        <v>12</v>
      </c>
      <c r="D46" s="68">
        <f t="shared" si="1"/>
        <v>3</v>
      </c>
      <c r="E46" s="84" t="str">
        <f t="shared" si="2"/>
        <v>1233</v>
      </c>
      <c r="F46" s="66" t="s">
        <v>30</v>
      </c>
      <c r="G46" s="67" t="str">
        <f>IFERROR(IF(VLOOKUP($E46,BDD!$A$1:$S$567,MATCH(G$10,BDD!$A$1:$P$1,0),FALSE)=0,"",VLOOKUP($E46,BDD!$A$1:$S$567,MATCH(G$10,BDD!$A$1:$P$1,0),FALSE)),"")</f>
        <v>Un budget consolidant l’ensemble des coûts de la filière numérique existe.</v>
      </c>
      <c r="H46" s="85" t="str">
        <f>IF(VLOOKUP(E46,BDD!$A$1:$S$567,15,FALSE)=0,"Critère non évalué","")</f>
        <v>Critère non évalué</v>
      </c>
      <c r="I46" s="66" t="str">
        <f>IFERROR(IF(VLOOKUP($E46,BDD!$A$1:$S$567,MATCH(I$10,BDD!$A$1:$P$1,0),FALSE)=0,"",VLOOKUP($E46,BDD!$A$1:$S$567,MATCH(I$10,BDD!$A$1:$P$1,0),FALSE)),"")</f>
        <v>N4</v>
      </c>
      <c r="J46" s="86"/>
      <c r="K46" s="67" t="str">
        <f>IFERROR(IF(VLOOKUP($E46,BDD!$A$1:$S$567,MATCH(K$10,BDD!$A$1:$P$1,0),FALSE)=0,"",VLOOKUP($E46,BDD!$A$1:$S$567,MATCH(K$10,BDD!$A$1:$P$1,0),FALSE)),"")</f>
        <v>• Ce budget consolidé recouvre non seulement les coûts placés sous la responsabilité de la DSI, mais aussi ceux d’entités ou de correspondants informatiques rattachés à des directions opérationnelles ou fonctionnelles.</v>
      </c>
      <c r="L46" s="68"/>
      <c r="M46" s="87"/>
      <c r="N46" s="87"/>
      <c r="O46" s="68"/>
      <c r="P46" s="109"/>
    </row>
    <row r="47" spans="1:16" ht="120" customHeight="1" x14ac:dyDescent="0.3">
      <c r="A47" s="109"/>
      <c r="B47" s="68"/>
      <c r="C47" s="68" t="str">
        <f t="shared" si="0"/>
        <v>12</v>
      </c>
      <c r="D47" s="68">
        <f t="shared" si="1"/>
        <v>3</v>
      </c>
      <c r="E47" s="84" t="str">
        <f t="shared" si="2"/>
        <v>1234</v>
      </c>
      <c r="F47" s="64" t="s">
        <v>32</v>
      </c>
      <c r="G47" s="96" t="str">
        <f>IFERROR(IF(VLOOKUP($E47,BDD!$A$1:$S$567,MATCH(G$10,BDD!$A$1:$P$1,0),FALSE)=0,"",VLOOKUP($E47,BDD!$A$1:$S$567,MATCH(G$10,BDD!$A$1:$P$1,0),FALSE)),"")</f>
        <v>Le budget du numérique est construit sur la base de natures de dépenses qui lui sont propres, il est ventilé par centre de responsabilité pour faciliter le pilotage.</v>
      </c>
      <c r="H47" s="210" t="str">
        <f>IF(VLOOKUP(E47,BDD!$A$1:$S$567,15,FALSE)=0,"Critère non évalué","")</f>
        <v>Critère non évalué</v>
      </c>
      <c r="I47" s="64" t="str">
        <f>IFERROR(IF(VLOOKUP($E47,BDD!$A$1:$S$567,MATCH(I$10,BDD!$A$1:$P$1,0),FALSE)=0,"",VLOOKUP($E47,BDD!$A$1:$S$567,MATCH(I$10,BDD!$A$1:$P$1,0),FALSE)),"")</f>
        <v>N1</v>
      </c>
      <c r="J47" s="95"/>
      <c r="K47" s="96" t="str">
        <f>IFERROR(IF(VLOOKUP($E47,BDD!$A$1:$S$567,MATCH(K$10,BDD!$A$1:$P$1,0),FALSE)=0,"",VLOOKUP($E47,BDD!$A$1:$S$567,MATCH(K$10,BDD!$A$1:$P$1,0),FALSE)),"")</f>
        <v/>
      </c>
      <c r="L47" s="68"/>
      <c r="M47" s="90"/>
      <c r="N47" s="90"/>
      <c r="O47" s="68"/>
      <c r="P47" s="109"/>
    </row>
    <row r="48" spans="1:16" ht="178.2" customHeight="1" x14ac:dyDescent="0.3">
      <c r="A48" s="109"/>
      <c r="B48" s="68"/>
      <c r="C48" s="68" t="str">
        <f t="shared" si="0"/>
        <v>12</v>
      </c>
      <c r="D48" s="68">
        <f t="shared" si="1"/>
        <v>3</v>
      </c>
      <c r="E48" s="84" t="str">
        <f t="shared" si="2"/>
        <v>1235</v>
      </c>
      <c r="F48" s="66" t="s">
        <v>33</v>
      </c>
      <c r="G48" s="67" t="str">
        <f>IFERROR(IF(VLOOKUP($E48,BDD!$A$1:$S$567,MATCH(G$10,BDD!$A$1:$P$1,0),FALSE)=0,"",VLOOKUP($E48,BDD!$A$1:$S$567,MATCH(G$10,BDD!$A$1:$P$1,0),FALSE)),"")</f>
        <v>Le budget du numérique permet d'identifier les ressources allouées aux projets (transformation), à la maintenance évolutive, et aux autres coûts récurrents, en particulier la production informatique.</v>
      </c>
      <c r="H48" s="85" t="str">
        <f>IF(VLOOKUP(E48,BDD!$A$1:$S$567,15,FALSE)=0,"Critère non évalué","")</f>
        <v>Critère non évalué</v>
      </c>
      <c r="I48" s="66" t="str">
        <f>IFERROR(IF(VLOOKUP($E48,BDD!$A$1:$S$567,MATCH(I$10,BDD!$A$1:$P$1,0),FALSE)=0,"",VLOOKUP($E48,BDD!$A$1:$S$567,MATCH(I$10,BDD!$A$1:$P$1,0),FALSE)),"")</f>
        <v>N2</v>
      </c>
      <c r="J48" s="86"/>
      <c r="K48" s="67" t="str">
        <f>IFERROR(IF(VLOOKUP($E48,BDD!$A$1:$S$567,MATCH(K$10,BDD!$A$1:$P$1,0),FALSE)=0,"",VLOOKUP($E48,BDD!$A$1:$S$567,MATCH(K$10,BDD!$A$1:$P$1,0),FALSE)),"")</f>
        <v>• Cette distinction en 3 parties est essentielle car chacune se pilote selon un mode différent : run, change et build.
• Pour les projets ou build, il s’agit d’un investissement qui doit être « rentable » pour l'entreprise.
• Pour le récurrent ou run, on est plus proche d'une « usine » de production de services (placée sous la responsabilité hiérarchique ou fonctionnelle de la DSI) dont les coûts doivent être optimisés.
• Pour la gestion des changements ou change, il s’agit de la maintenance évolutive arbitrée dans le cadre d'une enveloppe capacitaire entre la DSI et les métiers. Les évolutions doivent être encadrées par un budget négocié par domaine applicatif.
• L'approche agile amène à regrouper les 3 familles et à se concentrer sur la valeur pour prioriser.</v>
      </c>
      <c r="L48" s="68"/>
      <c r="M48" s="87"/>
      <c r="N48" s="87"/>
      <c r="O48" s="68"/>
      <c r="P48" s="109"/>
    </row>
    <row r="49" spans="1:16" ht="120" customHeight="1" x14ac:dyDescent="0.3">
      <c r="A49" s="109"/>
      <c r="B49" s="68"/>
      <c r="C49" s="68" t="str">
        <f t="shared" si="0"/>
        <v>12</v>
      </c>
      <c r="D49" s="68">
        <f t="shared" si="1"/>
        <v>3</v>
      </c>
      <c r="E49" s="84" t="str">
        <f t="shared" si="2"/>
        <v>1236</v>
      </c>
      <c r="F49" s="64" t="s">
        <v>34</v>
      </c>
      <c r="G49" s="96" t="str">
        <f>IFERROR(IF(VLOOKUP($E49,BDD!$A$1:$S$567,MATCH(G$10,BDD!$A$1:$P$1,0),FALSE)=0,"",VLOOKUP($E49,BDD!$A$1:$S$567,MATCH(G$10,BDD!$A$1:$P$1,0),FALSE)),"")</f>
        <v>L'organisation a mis en place un processus budgétaire. Il est formalisé et clarifie les rôles et les responsabilités.</v>
      </c>
      <c r="H49" s="210" t="str">
        <f>IF(VLOOKUP(E49,BDD!$A$1:$S$567,15,FALSE)=0,"Critère non évalué","")</f>
        <v>Critère non évalué</v>
      </c>
      <c r="I49" s="64" t="str">
        <f>IFERROR(IF(VLOOKUP($E49,BDD!$A$1:$S$567,MATCH(I$10,BDD!$A$1:$P$1,0),FALSE)=0,"",VLOOKUP($E49,BDD!$A$1:$S$567,MATCH(I$10,BDD!$A$1:$P$1,0),FALSE)),"")</f>
        <v>N1</v>
      </c>
      <c r="J49" s="95"/>
      <c r="K49" s="96" t="str">
        <f>IFERROR(IF(VLOOKUP($E49,BDD!$A$1:$S$567,MATCH(K$10,BDD!$A$1:$P$1,0),FALSE)=0,"",VLOOKUP($E49,BDD!$A$1:$S$567,MATCH(K$10,BDD!$A$1:$P$1,0),FALSE)),"")</f>
        <v/>
      </c>
      <c r="L49" s="68"/>
      <c r="M49" s="90"/>
      <c r="N49" s="90"/>
      <c r="O49" s="68"/>
      <c r="P49" s="109"/>
    </row>
    <row r="50" spans="1:16" ht="167.4" customHeight="1" x14ac:dyDescent="0.3">
      <c r="A50" s="109"/>
      <c r="B50" s="68"/>
      <c r="C50" s="68" t="str">
        <f t="shared" si="0"/>
        <v>12</v>
      </c>
      <c r="D50" s="68">
        <f t="shared" si="1"/>
        <v>3</v>
      </c>
      <c r="E50" s="84" t="str">
        <f t="shared" si="2"/>
        <v>1237</v>
      </c>
      <c r="F50" s="66" t="s">
        <v>36</v>
      </c>
      <c r="G50" s="67" t="str">
        <f>IFERROR(IF(VLOOKUP($E50,BDD!$A$1:$S$567,MATCH(G$10,BDD!$A$1:$P$1,0),FALSE)=0,"",VLOOKUP($E50,BDD!$A$1:$S$567,MATCH(G$10,BDD!$A$1:$P$1,0),FALSE)),"")</f>
        <v>Le numérique fait l'objet d'un processus budgétaire dédié. Les rôles et responsabilités du processus budgétaire sont formellement attribués (cadrage, élaboration, suivi des écarts, mises à jour, …). Il existe un processus d'arbitrage clairement défini.</v>
      </c>
      <c r="H50" s="85" t="str">
        <f>IF(VLOOKUP(E50,BDD!$A$1:$S$567,15,FALSE)=0,"Critère non évalué","")</f>
        <v>Critère non évalué</v>
      </c>
      <c r="I50" s="66" t="str">
        <f>IFERROR(IF(VLOOKUP($E50,BDD!$A$1:$S$567,MATCH(I$10,BDD!$A$1:$P$1,0),FALSE)=0,"",VLOOKUP($E50,BDD!$A$1:$S$567,MATCH(I$10,BDD!$A$1:$P$1,0),FALSE)),"")</f>
        <v>N2</v>
      </c>
      <c r="J50" s="86"/>
      <c r="K50" s="67" t="str">
        <f>IFERROR(IF(VLOOKUP($E50,BDD!$A$1:$S$567,MATCH(K$10,BDD!$A$1:$P$1,0),FALSE)=0,"",VLOOKUP($E50,BDD!$A$1:$S$567,MATCH(K$10,BDD!$A$1:$P$1,0),FALSE)),"")</f>
        <v>• Pour faire fonctionner ce processus, la mise en place d'un contrôle de gestion du numérique est recommandée.
• Ce contrôle de gestion contribuera à l'élaboration du budget et à ses révisions, suivra les réalisations par nature et périmètre et par destination en les comparant à la fois au budget et aux réalisations des années précédentes.
• Le processus budgétaire doit inclure la définition des règles d'immobilisation en relation avec la direction financière (Capex/Opex, projets, durée d'amortissement, etc...).
• Les critères de priorisation des projets numériques sont revus de façon régulière.
• Le processus de décision et de priorisation est adapté au mode agile.
• L'allocation des ressources tient compte des différents types d'approvisionnements qu’ils soient internes ou externes (par exemple les services cloud).</v>
      </c>
      <c r="L50" s="68"/>
      <c r="M50" s="87"/>
      <c r="N50" s="87"/>
      <c r="O50" s="68"/>
      <c r="P50" s="109"/>
    </row>
    <row r="51" spans="1:16" ht="18" x14ac:dyDescent="0.35">
      <c r="A51" s="109"/>
      <c r="B51" s="68"/>
      <c r="C51" s="68" t="str">
        <f t="shared" si="0"/>
        <v>12</v>
      </c>
      <c r="D51" s="68"/>
      <c r="E51" s="84"/>
      <c r="F51" s="68"/>
      <c r="G51" s="69"/>
      <c r="H51" s="69"/>
      <c r="I51" s="69"/>
      <c r="J51" s="69"/>
      <c r="K51" s="69"/>
      <c r="L51" s="70"/>
      <c r="M51" s="68"/>
      <c r="N51" s="68"/>
      <c r="O51" s="68"/>
      <c r="P51" s="109"/>
    </row>
    <row r="52" spans="1:16" x14ac:dyDescent="0.3">
      <c r="A52" s="109"/>
      <c r="B52" s="68"/>
      <c r="C52" s="68" t="str">
        <f t="shared" si="0"/>
        <v>12</v>
      </c>
      <c r="D52" s="68">
        <f>IF(LEFT(F52,14)="Bonne pratique",D48+1,D48)</f>
        <v>3</v>
      </c>
      <c r="E52" s="84" t="str">
        <f t="shared" si="2"/>
        <v>123</v>
      </c>
      <c r="F52" s="68"/>
      <c r="G52" s="68"/>
      <c r="H52" s="68"/>
      <c r="I52" s="68"/>
      <c r="J52" s="68"/>
      <c r="K52" s="68"/>
      <c r="L52" s="68"/>
      <c r="M52" s="68"/>
      <c r="N52" s="68"/>
      <c r="O52" s="68"/>
      <c r="P52" s="109"/>
    </row>
    <row r="53" spans="1:16" ht="30" x14ac:dyDescent="0.5">
      <c r="A53" s="229"/>
      <c r="B53" s="74"/>
      <c r="C53" s="68" t="str">
        <f t="shared" si="0"/>
        <v>12</v>
      </c>
      <c r="D53" s="68">
        <f t="shared" si="1"/>
        <v>4</v>
      </c>
      <c r="E53" s="84" t="str">
        <f t="shared" si="2"/>
        <v>1244</v>
      </c>
      <c r="F53" s="208" t="s">
        <v>502</v>
      </c>
      <c r="G53" s="75"/>
      <c r="H53" s="205"/>
      <c r="I53" s="73"/>
      <c r="J53" s="73" t="str">
        <f>VLOOKUP(E60,BDD!$A$2:$N$567,6,FALSE)</f>
        <v>Coûts complets des services</v>
      </c>
      <c r="K53" s="72"/>
      <c r="L53" s="75"/>
      <c r="M53" s="75"/>
      <c r="N53" s="75"/>
      <c r="O53" s="74"/>
      <c r="P53" s="229"/>
    </row>
    <row r="54" spans="1:16" x14ac:dyDescent="0.3">
      <c r="A54" s="109"/>
      <c r="B54" s="68"/>
      <c r="C54" s="68" t="str">
        <f t="shared" si="0"/>
        <v>12</v>
      </c>
      <c r="D54" s="68">
        <f t="shared" si="1"/>
        <v>4</v>
      </c>
      <c r="E54" s="84" t="str">
        <f t="shared" si="2"/>
        <v>124</v>
      </c>
      <c r="F54" s="68"/>
      <c r="G54" s="68"/>
      <c r="H54" s="68"/>
      <c r="I54" s="68"/>
      <c r="J54" s="68"/>
      <c r="K54" s="68"/>
      <c r="L54" s="68"/>
      <c r="M54" s="68"/>
      <c r="N54" s="68"/>
      <c r="O54" s="68"/>
      <c r="P54" s="109"/>
    </row>
    <row r="55" spans="1:16" ht="18" x14ac:dyDescent="0.35">
      <c r="A55" s="230"/>
      <c r="B55" s="76"/>
      <c r="C55" s="68" t="str">
        <f t="shared" si="0"/>
        <v>12</v>
      </c>
      <c r="D55" s="68">
        <f t="shared" si="1"/>
        <v>4</v>
      </c>
      <c r="E55" s="84" t="str">
        <f t="shared" si="2"/>
        <v>124</v>
      </c>
      <c r="F55" s="76"/>
      <c r="G55" s="76"/>
      <c r="H55" s="76"/>
      <c r="I55" s="77"/>
      <c r="J55" s="207" t="str">
        <f>IFERROR(_xlfn.TEXTBEFORE(VLOOKUP(E60,BDD!$A$2:$N$567,7,FALSE)," ",25),VLOOKUP(E60,BDD!$A$2:$N$567,7,FALSE))</f>
        <v>La DSI calcule le coût complet des prestations du catalogue de services fournis à ses clients, en le décomposant en coûts unitaires et en volumes,</v>
      </c>
      <c r="K55" s="77"/>
      <c r="L55" s="76"/>
      <c r="M55" s="76"/>
      <c r="N55" s="76"/>
      <c r="O55" s="76"/>
      <c r="P55" s="230"/>
    </row>
    <row r="56" spans="1:16" ht="18" x14ac:dyDescent="0.35">
      <c r="A56" s="109"/>
      <c r="B56" s="68"/>
      <c r="C56" s="68" t="str">
        <f t="shared" si="0"/>
        <v>12</v>
      </c>
      <c r="D56" s="68">
        <f t="shared" si="1"/>
        <v>4</v>
      </c>
      <c r="E56" s="84" t="str">
        <f t="shared" si="2"/>
        <v>124</v>
      </c>
      <c r="F56" s="68"/>
      <c r="G56" s="68"/>
      <c r="H56" s="68"/>
      <c r="I56" s="68"/>
      <c r="J56" s="207" t="str">
        <f>IFERROR(_xlfn.TEXTAFTER(VLOOKUP(E60,BDD!$A$2:$N$567,7,FALSE)," ",25),"")</f>
        <v>afin de co-responsabiliser les métiers sur les coûts du numérique.</v>
      </c>
      <c r="K56" s="68"/>
      <c r="L56" s="68"/>
      <c r="M56" s="68"/>
      <c r="N56" s="68"/>
      <c r="O56" s="68"/>
      <c r="P56" s="109"/>
    </row>
    <row r="57" spans="1:16" x14ac:dyDescent="0.3">
      <c r="A57" s="109"/>
      <c r="B57" s="68"/>
      <c r="C57" s="68" t="str">
        <f t="shared" si="0"/>
        <v>12</v>
      </c>
      <c r="D57" s="68">
        <f t="shared" si="1"/>
        <v>4</v>
      </c>
      <c r="E57" s="84" t="str">
        <f t="shared" si="2"/>
        <v>124</v>
      </c>
      <c r="F57" s="68"/>
      <c r="G57" s="68"/>
      <c r="H57" s="68"/>
      <c r="I57" s="68"/>
      <c r="J57" s="78"/>
      <c r="K57" s="68"/>
      <c r="L57" s="68"/>
      <c r="M57" s="619" t="s">
        <v>92</v>
      </c>
      <c r="N57" s="619"/>
      <c r="O57" s="68"/>
      <c r="P57" s="109"/>
    </row>
    <row r="58" spans="1:16" ht="33" x14ac:dyDescent="0.3">
      <c r="A58" s="109"/>
      <c r="B58" s="68"/>
      <c r="C58" s="68" t="str">
        <f t="shared" si="0"/>
        <v>12</v>
      </c>
      <c r="D58" s="68">
        <f t="shared" si="1"/>
        <v>4</v>
      </c>
      <c r="E58" s="84" t="str">
        <f t="shared" si="2"/>
        <v>124</v>
      </c>
      <c r="F58" s="79"/>
      <c r="G58" s="80" t="s">
        <v>561</v>
      </c>
      <c r="H58" s="80" t="s">
        <v>82</v>
      </c>
      <c r="I58" s="80" t="s">
        <v>83</v>
      </c>
      <c r="J58" s="80" t="s">
        <v>84</v>
      </c>
      <c r="K58" s="80" t="s">
        <v>85</v>
      </c>
      <c r="L58" s="78"/>
      <c r="M58" s="81" t="s">
        <v>86</v>
      </c>
      <c r="N58" s="82" t="s">
        <v>87</v>
      </c>
      <c r="O58" s="68"/>
      <c r="P58" s="109"/>
    </row>
    <row r="59" spans="1:16" x14ac:dyDescent="0.3">
      <c r="A59" s="109"/>
      <c r="B59" s="68"/>
      <c r="C59" s="68" t="str">
        <f t="shared" si="0"/>
        <v>12</v>
      </c>
      <c r="D59" s="68">
        <f t="shared" si="1"/>
        <v>4</v>
      </c>
      <c r="E59" s="84" t="str">
        <f t="shared" si="2"/>
        <v>124</v>
      </c>
      <c r="F59" s="68"/>
      <c r="G59" s="83"/>
      <c r="H59" s="83"/>
      <c r="I59" s="83"/>
      <c r="J59" s="68"/>
      <c r="K59" s="83"/>
      <c r="L59" s="68"/>
      <c r="M59" s="68"/>
      <c r="N59" s="68"/>
      <c r="O59" s="68"/>
      <c r="P59" s="109"/>
    </row>
    <row r="60" spans="1:16" ht="130.05000000000001" customHeight="1" x14ac:dyDescent="0.3">
      <c r="A60" s="109"/>
      <c r="B60" s="68"/>
      <c r="C60" s="68" t="str">
        <f t="shared" si="0"/>
        <v>12</v>
      </c>
      <c r="D60" s="68">
        <f t="shared" si="1"/>
        <v>4</v>
      </c>
      <c r="E60" s="84" t="str">
        <f t="shared" si="2"/>
        <v>1241</v>
      </c>
      <c r="F60" s="66" t="s">
        <v>27</v>
      </c>
      <c r="G60" s="67" t="str">
        <f>IFERROR(IF(VLOOKUP($E60,BDD!$A$1:$S$567,MATCH(G$10,BDD!$A$1:$P$1,0),FALSE)=0,"",VLOOKUP($E60,BDD!$A$1:$S$567,MATCH(G$10,BDD!$A$1:$P$1,0),FALSE)),"")</f>
        <v>Un catalogue de services a été défini en relation avec les clients de la DSI et couvre la totalité des prestations fournies.</v>
      </c>
      <c r="H60" s="85" t="str">
        <f>IF(VLOOKUP(E60,BDD!$A$1:$S$567,15,FALSE)=0,"Critère non évalué","")</f>
        <v>Critère non évalué</v>
      </c>
      <c r="I60" s="66" t="str">
        <f>IFERROR(IF(VLOOKUP($E60,BDD!$A$1:$S$567,MATCH(I$10,BDD!$A$1:$P$1,0),FALSE)=0,"",VLOOKUP($E60,BDD!$A$1:$S$567,MATCH(I$10,BDD!$A$1:$P$1,0),FALSE)),"")</f>
        <v>N2</v>
      </c>
      <c r="J60" s="86"/>
      <c r="K60" s="67" t="str">
        <f>IFERROR(IF(VLOOKUP($E60,BDD!$A$1:$S$567,MATCH(K$10,BDD!$A$1:$P$1,0),FALSE)=0,"",VLOOKUP($E60,BDD!$A$1:$S$567,MATCH(K$10,BDD!$A$1:$P$1,0),FALSE)),"")</f>
        <v>• Ce catalogue est « orienté client » (lisible et compréhensible par le métier).
• Il comprend la mise à disposition des postes de travail, des applications, ainsi que la réalisation des évolutions et des projets.
• Il peut comprendre également des prestations : conseil, expertise, etc.
• Il se situe à un niveau auquel il est possible de prendre des engagements de type SLA (Service Level Agreements).</v>
      </c>
      <c r="L60" s="68"/>
      <c r="M60" s="87"/>
      <c r="N60" s="87"/>
      <c r="O60" s="68"/>
      <c r="P60" s="109"/>
    </row>
    <row r="61" spans="1:16" ht="130.05000000000001" customHeight="1" x14ac:dyDescent="0.3">
      <c r="A61" s="109"/>
      <c r="B61" s="68"/>
      <c r="C61" s="68" t="str">
        <f t="shared" si="0"/>
        <v>12</v>
      </c>
      <c r="D61" s="68">
        <f t="shared" si="1"/>
        <v>4</v>
      </c>
      <c r="E61" s="84" t="str">
        <f t="shared" si="2"/>
        <v>1242</v>
      </c>
      <c r="F61" s="94" t="s">
        <v>28</v>
      </c>
      <c r="G61" s="65" t="str">
        <f>IFERROR(IF(VLOOKUP($E61,BDD!$A$1:$S$567,MATCH(G$10,BDD!$A$1:$P$1,0),FALSE)=0,"",VLOOKUP($E61,BDD!$A$1:$S$567,MATCH(G$10,BDD!$A$1:$P$1,0),FALSE)),"")</f>
        <v>La DSI a identifié l'ensemble de ses activités et en maîtrise les coûts, les managers de la DSI comprennent leur contribution au coût complet des services fournis afin de pouvoir les piloter en agissant sur les leviers d'action dont ils ont la responsabilité.</v>
      </c>
      <c r="H61" s="88" t="str">
        <f>IF(VLOOKUP(E61,BDD!$A$1:$S$567,15,FALSE)=0,"Critère non évalué","")</f>
        <v>Critère non évalué</v>
      </c>
      <c r="I61" s="64" t="str">
        <f>IFERROR(IF(VLOOKUP($E61,BDD!$A$1:$S$567,MATCH(I$10,BDD!$A$1:$P$1,0),FALSE)=0,"",VLOOKUP($E61,BDD!$A$1:$S$567,MATCH(I$10,BDD!$A$1:$P$1,0),FALSE)),"")</f>
        <v>N3</v>
      </c>
      <c r="J61" s="89"/>
      <c r="K61" s="65" t="str">
        <f>IFERROR(IF(VLOOKUP($E61,BDD!$A$1:$S$567,MATCH(K$10,BDD!$A$1:$P$1,0),FALSE)=0,"",VLOOKUP($E61,BDD!$A$1:$S$567,MATCH(K$10,BDD!$A$1:$P$1,0),FALSE)),"")</f>
        <v>• Le Modèle de pilotage économique et écologique de l'IT du Cigref peut fournir une liste type d'activités qu'on retrouve dans toutes les DSI.
• Les dépenses sont affectées par centre de responsabilité et réparties par nature d'activité.</v>
      </c>
      <c r="L61" s="68"/>
      <c r="M61" s="90"/>
      <c r="N61" s="90"/>
      <c r="O61" s="68"/>
      <c r="P61" s="109"/>
    </row>
    <row r="62" spans="1:16" ht="192.6" customHeight="1" x14ac:dyDescent="0.3">
      <c r="A62" s="109"/>
      <c r="B62" s="68"/>
      <c r="C62" s="68" t="str">
        <f t="shared" si="0"/>
        <v>12</v>
      </c>
      <c r="D62" s="68">
        <f>IF(LEFT(F62,14)="Bonne pratique",D61+1,D61)</f>
        <v>4</v>
      </c>
      <c r="E62" s="84" t="str">
        <f t="shared" si="2"/>
        <v>1243</v>
      </c>
      <c r="F62" s="66" t="s">
        <v>30</v>
      </c>
      <c r="G62" s="67" t="str">
        <f>IFERROR(IF(VLOOKUP($E62,BDD!$A$1:$S$567,MATCH(G$10,BDD!$A$1:$P$1,0),FALSE)=0,"",VLOOKUP($E62,BDD!$A$1:$S$567,MATCH(G$10,BDD!$A$1:$P$1,0),FALSE)),"")</f>
        <v>Le coût unitaire des services numériques fournis est calculé avec une méthode documentée et transparente, permettant d’en expliquer les composantes et d’en garantir la traçabilité.</v>
      </c>
      <c r="H62" s="85" t="str">
        <f>IF(VLOOKUP(E62,BDD!$A$1:$S$567,15,FALSE)=0,"Critère non évalué","")</f>
        <v>Critère non évalué</v>
      </c>
      <c r="I62" s="66" t="str">
        <f>IFERROR(IF(VLOOKUP($E62,BDD!$A$1:$S$567,MATCH(I$10,BDD!$A$1:$P$1,0),FALSE)=0,"",VLOOKUP($E62,BDD!$A$1:$S$567,MATCH(I$10,BDD!$A$1:$P$1,0),FALSE)),"")</f>
        <v>N4</v>
      </c>
      <c r="J62" s="86"/>
      <c r="K62" s="67" t="str">
        <f>IFERROR(IF(VLOOKUP($E62,BDD!$A$1:$S$567,MATCH(K$10,BDD!$A$1:$P$1,0),FALSE)=0,"",VLOOKUP($E62,BDD!$A$1:$S$567,MATCH(K$10,BDD!$A$1:$P$1,0),FALSE)),"")</f>
        <v>• On peut utiliser une méthode reconnue de type Activity Based Costing (ABC), qui doit permettre d'expliquer clairement ses évolutions et de les piloter.
• Le calcul de coûts unitaires justifiables, par exemple en application de la méthode ABC, doit permettre de : 
- Réfléchir avec les clients de la DSI sur le coût des exigences en matière de SLA, le décommissionnement éventuel de certaines applications sur la base d'un coût par utilisateur ou par unité d'oeuvre, etc.,
- Facturer aux clients de la DSI le coût des services,
- Faciliter la réalisation de benchmarking,
- Mettre en évidence la productivité de la DSI (évolution du coût unitaire par inducteur des services fournis).
• Les managers de la DSI disposent d’une vision claire du coût complet des services fournis, leur permettant d’en assurer le pilotage à travers les leviers relevant de leur responsabilité.</v>
      </c>
      <c r="L62" s="68"/>
      <c r="M62" s="87"/>
      <c r="N62" s="87"/>
      <c r="O62" s="68"/>
      <c r="P62" s="109"/>
    </row>
    <row r="63" spans="1:16" ht="130.05000000000001" customHeight="1" x14ac:dyDescent="0.3">
      <c r="A63" s="109"/>
      <c r="B63" s="68"/>
      <c r="C63" s="68" t="str">
        <f t="shared" si="0"/>
        <v>12</v>
      </c>
      <c r="D63" s="68">
        <f t="shared" si="1"/>
        <v>4</v>
      </c>
      <c r="E63" s="84" t="str">
        <f t="shared" si="2"/>
        <v>1244</v>
      </c>
      <c r="F63" s="64" t="s">
        <v>32</v>
      </c>
      <c r="G63" s="65" t="str">
        <f>IFERROR(IF(VLOOKUP($E63,BDD!$A$1:$S$567,MATCH(G$10,BDD!$A$1:$P$1,0),FALSE)=0,"",VLOOKUP($E63,BDD!$A$1:$S$567,MATCH(G$10,BDD!$A$1:$P$1,0),FALSE)),"")</f>
        <v>Une revue et une optimisation régulière des coûts unitaires est mise en œuvre.</v>
      </c>
      <c r="H63" s="88" t="str">
        <f>IF(VLOOKUP(E63,BDD!$A$1:$S$567,15,FALSE)=0,"Critère non évalué","")</f>
        <v>Critère non évalué</v>
      </c>
      <c r="I63" s="64" t="str">
        <f>IFERROR(IF(VLOOKUP($E63,BDD!$A$1:$S$567,MATCH(I$10,BDD!$A$1:$P$1,0),FALSE)=0,"",VLOOKUP($E63,BDD!$A$1:$S$567,MATCH(I$10,BDD!$A$1:$P$1,0),FALSE)),"")</f>
        <v>N4</v>
      </c>
      <c r="J63" s="91"/>
      <c r="K63" s="65" t="str">
        <f>IFERROR(IF(VLOOKUP($E63,BDD!$A$1:$S$567,MATCH(K$10,BDD!$A$1:$P$1,0),FALSE)=0,"",VLOOKUP($E63,BDD!$A$1:$S$567,MATCH(K$10,BDD!$A$1:$P$1,0),FALSE)),"")</f>
        <v>• Celle-ci peut s'appuyer sur du benchmark.</v>
      </c>
      <c r="L63" s="68"/>
      <c r="M63" s="90"/>
      <c r="N63" s="90"/>
      <c r="O63" s="68"/>
      <c r="P63" s="109"/>
    </row>
    <row r="64" spans="1:16" ht="130.05000000000001" customHeight="1" x14ac:dyDescent="0.3">
      <c r="A64" s="109"/>
      <c r="B64" s="68"/>
      <c r="C64" s="68" t="str">
        <f t="shared" si="0"/>
        <v>12</v>
      </c>
      <c r="D64" s="68">
        <f t="shared" si="1"/>
        <v>4</v>
      </c>
      <c r="E64" s="84" t="str">
        <f t="shared" si="2"/>
        <v>1245</v>
      </c>
      <c r="F64" s="66" t="s">
        <v>33</v>
      </c>
      <c r="G64" s="67" t="str">
        <f>IFERROR(IF(VLOOKUP($E64,BDD!$A$1:$S$567,MATCH(G$10,BDD!$A$1:$P$1,0),FALSE)=0,"",VLOOKUP($E64,BDD!$A$1:$S$567,MATCH(G$10,BDD!$A$1:$P$1,0),FALSE)),"")</f>
        <v>Une démarche FinOps est mise en œuvre au sein de la DSI.</v>
      </c>
      <c r="H64" s="85" t="str">
        <f>IF(VLOOKUP(E64,BDD!$A$1:$S$567,15,FALSE)=0,"Critère non évalué","")</f>
        <v>Critère non évalué</v>
      </c>
      <c r="I64" s="66" t="str">
        <f>IFERROR(IF(VLOOKUP($E64,BDD!$A$1:$S$567,MATCH(I$10,BDD!$A$1:$P$1,0),FALSE)=0,"",VLOOKUP($E64,BDD!$A$1:$S$567,MATCH(I$10,BDD!$A$1:$P$1,0),FALSE)),"")</f>
        <v>N5</v>
      </c>
      <c r="J64" s="86"/>
      <c r="K64" s="67" t="str">
        <f>IFERROR(IF(VLOOKUP($E64,BDD!$A$1:$S$567,MATCH(K$10,BDD!$A$1:$P$1,0),FALSE)=0,"",VLOOKUP($E64,BDD!$A$1:$S$567,MATCH(K$10,BDD!$A$1:$P$1,0),FALSE)),"")</f>
        <v/>
      </c>
      <c r="L64" s="68"/>
      <c r="M64" s="82"/>
      <c r="N64" s="82"/>
      <c r="O64" s="68"/>
      <c r="P64" s="109"/>
    </row>
    <row r="65" spans="1:16" ht="130.05000000000001" hidden="1" customHeight="1" x14ac:dyDescent="0.3">
      <c r="A65" s="109"/>
      <c r="B65" s="68"/>
      <c r="C65" s="68" t="str">
        <f t="shared" si="0"/>
        <v>12</v>
      </c>
      <c r="D65" s="68">
        <f t="shared" si="1"/>
        <v>4</v>
      </c>
      <c r="E65" s="84" t="str">
        <f t="shared" si="2"/>
        <v>1246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c>
      <c r="J65" s="206"/>
      <c r="K65" s="96" t="str">
        <f>IFERROR(IF(VLOOKUP($E65,BDD!$A$1:$S$567,MATCH(K$10,BDD!$A$1:$P$1,0),FALSE)=0,"",VLOOKUP($E65,BDD!$A$1:$S$567,MATCH(K$10,BDD!$A$1:$P$1,0),FALSE)),"")</f>
        <v/>
      </c>
      <c r="L65" s="68"/>
      <c r="M65" s="90"/>
      <c r="N65" s="90"/>
      <c r="O65" s="68"/>
      <c r="P65" s="109"/>
    </row>
    <row r="66" spans="1:16" ht="130.05000000000001" hidden="1" customHeight="1" x14ac:dyDescent="0.3">
      <c r="A66" s="109"/>
      <c r="B66" s="68"/>
      <c r="C66" s="68" t="str">
        <f t="shared" si="0"/>
        <v>12</v>
      </c>
      <c r="D66" s="68">
        <f t="shared" si="1"/>
        <v>4</v>
      </c>
      <c r="E66" s="84" t="str">
        <f t="shared" si="2"/>
        <v>1247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c>
      <c r="J66" s="86"/>
      <c r="K66" s="67" t="str">
        <f>IFERROR(IF(VLOOKUP($E66,BDD!$A$1:$S$567,MATCH(K$10,BDD!$A$1:$P$1,0),FALSE)=0,"",VLOOKUP($E66,BDD!$A$1:$S$567,MATCH(K$10,BDD!$A$1:$P$1,0),FALSE)),"")</f>
        <v/>
      </c>
      <c r="L66" s="68"/>
      <c r="M66" s="82"/>
      <c r="N66" s="82"/>
      <c r="O66" s="68"/>
      <c r="P66" s="109"/>
    </row>
    <row r="67" spans="1:16" x14ac:dyDescent="0.3">
      <c r="A67" s="109"/>
      <c r="B67" s="68"/>
      <c r="C67" s="68" t="str">
        <f t="shared" si="0"/>
        <v>12</v>
      </c>
      <c r="D67" s="68">
        <f t="shared" si="1"/>
        <v>4</v>
      </c>
      <c r="E67" s="84" t="str">
        <f t="shared" si="2"/>
        <v>124</v>
      </c>
      <c r="F67" s="68"/>
      <c r="G67" s="68"/>
      <c r="H67" s="68"/>
      <c r="I67" s="68"/>
      <c r="J67" s="68"/>
      <c r="K67" s="68"/>
      <c r="L67" s="68"/>
      <c r="M67" s="68"/>
      <c r="N67" s="68"/>
      <c r="O67" s="68"/>
      <c r="P67" s="109"/>
    </row>
    <row r="68" spans="1:16" x14ac:dyDescent="0.3">
      <c r="A68" s="109"/>
      <c r="B68" s="68"/>
      <c r="C68" s="68" t="str">
        <f t="shared" si="0"/>
        <v>12</v>
      </c>
      <c r="D68" s="68"/>
      <c r="E68" s="84"/>
      <c r="F68" s="68"/>
      <c r="G68" s="68"/>
      <c r="H68" s="68"/>
      <c r="I68" s="68"/>
      <c r="J68" s="68"/>
      <c r="K68" s="68"/>
      <c r="L68" s="68"/>
      <c r="M68" s="68"/>
      <c r="N68" s="68"/>
      <c r="O68" s="68"/>
      <c r="P68" s="109"/>
    </row>
    <row r="69" spans="1:16" x14ac:dyDescent="0.3">
      <c r="A69" s="109"/>
      <c r="B69" s="68"/>
      <c r="C69" s="68" t="str">
        <f t="shared" si="0"/>
        <v>12</v>
      </c>
      <c r="D69" s="68"/>
      <c r="E69" s="84"/>
      <c r="F69" s="68"/>
      <c r="G69" s="68"/>
      <c r="I69" s="68"/>
      <c r="J69" s="68"/>
      <c r="K69" s="68"/>
      <c r="L69" s="68"/>
      <c r="M69" s="68"/>
      <c r="N69" s="68"/>
      <c r="O69" s="68"/>
      <c r="P69" s="109"/>
    </row>
    <row r="70" spans="1:16" x14ac:dyDescent="0.3">
      <c r="A70" s="109"/>
      <c r="B70" s="68"/>
      <c r="C70" s="68" t="str">
        <f t="shared" ref="C70:C115" si="5">IF(LEFT(RIGHT($B$1,2),1)=" ",RIGHT($B$1,1),RIGHT($B$1,2))</f>
        <v>12</v>
      </c>
      <c r="D70" s="68"/>
      <c r="E70" s="84"/>
      <c r="F70" s="68"/>
      <c r="G70" s="68"/>
      <c r="H70" s="68"/>
      <c r="I70" s="68"/>
      <c r="J70" s="68"/>
      <c r="K70" s="68"/>
      <c r="L70" s="68"/>
      <c r="M70" s="68"/>
      <c r="N70" s="68"/>
      <c r="O70" s="68"/>
      <c r="P70" s="109"/>
    </row>
    <row r="71" spans="1:16" ht="30" x14ac:dyDescent="0.5">
      <c r="A71" s="229"/>
      <c r="B71" s="74"/>
      <c r="C71" s="68" t="str">
        <f t="shared" si="5"/>
        <v>12</v>
      </c>
      <c r="D71" s="68">
        <f>IF(LEFT(F71,14)="Bonne pratique",D67+1,D67)</f>
        <v>5</v>
      </c>
      <c r="E71" s="84" t="str">
        <f t="shared" si="2"/>
        <v>1255</v>
      </c>
      <c r="F71" s="208" t="s">
        <v>503</v>
      </c>
      <c r="G71" s="75"/>
      <c r="H71" s="205"/>
      <c r="I71" s="73"/>
      <c r="J71" s="73" t="str">
        <f>VLOOKUP(E78,BDD!$A$2:$N$567,6,FALSE)</f>
        <v>Pilotage du portefeuille de projets</v>
      </c>
      <c r="K71" s="72"/>
      <c r="L71" s="75"/>
      <c r="M71" s="75"/>
      <c r="N71" s="75"/>
      <c r="O71" s="74"/>
      <c r="P71" s="229"/>
    </row>
    <row r="72" spans="1:16" x14ac:dyDescent="0.3">
      <c r="A72" s="109"/>
      <c r="B72" s="68"/>
      <c r="C72" s="68" t="str">
        <f t="shared" si="5"/>
        <v>12</v>
      </c>
      <c r="D72" s="68">
        <f t="shared" ref="D72:D84" si="6">IF(LEFT(F72,14)="Bonne pratique",D71+1,D71)</f>
        <v>5</v>
      </c>
      <c r="E72" s="84" t="str">
        <f t="shared" si="2"/>
        <v>125</v>
      </c>
      <c r="F72" s="68"/>
      <c r="G72" s="68"/>
      <c r="H72" s="68"/>
      <c r="I72" s="68"/>
      <c r="J72" s="68"/>
      <c r="K72" s="68"/>
      <c r="L72" s="68"/>
      <c r="M72" s="68"/>
      <c r="N72" s="68"/>
      <c r="O72" s="68"/>
      <c r="P72" s="109"/>
    </row>
    <row r="73" spans="1:16" ht="18" x14ac:dyDescent="0.35">
      <c r="A73" s="230"/>
      <c r="B73" s="76"/>
      <c r="C73" s="68" t="str">
        <f t="shared" si="5"/>
        <v>12</v>
      </c>
      <c r="D73" s="68">
        <f t="shared" si="6"/>
        <v>5</v>
      </c>
      <c r="E73" s="84" t="str">
        <f t="shared" si="2"/>
        <v>125</v>
      </c>
      <c r="F73" s="76"/>
      <c r="G73" s="76"/>
      <c r="H73" s="76"/>
      <c r="I73" s="77"/>
      <c r="J73" s="207" t="str">
        <f>IFERROR(_xlfn.TEXTBEFORE(VLOOKUP(E78,BDD!$A$2:$N$567,7,FALSE)," ",30),VLOOKUP(E78,BDD!$A$2:$N$567,7,FALSE))</f>
        <v>L'organisation a mis en place un processus de pilotage du portefeuille de projets fondé sur le suivi de la réalisation des business cases.</v>
      </c>
      <c r="K73" s="77"/>
      <c r="L73" s="76"/>
      <c r="M73" s="76"/>
      <c r="N73" s="76"/>
      <c r="O73" s="76"/>
      <c r="P73" s="230"/>
    </row>
    <row r="74" spans="1:16" ht="18" x14ac:dyDescent="0.35">
      <c r="A74" s="109"/>
      <c r="B74" s="68"/>
      <c r="C74" s="68" t="str">
        <f t="shared" si="5"/>
        <v>12</v>
      </c>
      <c r="D74" s="68">
        <f t="shared" si="6"/>
        <v>5</v>
      </c>
      <c r="E74" s="84" t="str">
        <f t="shared" si="2"/>
        <v>125</v>
      </c>
      <c r="F74" s="68"/>
      <c r="G74" s="68"/>
      <c r="H74" s="68"/>
      <c r="I74" s="68"/>
      <c r="J74" s="207" t="str">
        <f>IFERROR(_xlfn.TEXTAFTER(VLOOKUP(E78,BDD!$A$2:$N$567,7,FALSE)," ",30),"")</f>
        <v/>
      </c>
      <c r="K74" s="68"/>
      <c r="L74" s="68"/>
      <c r="M74" s="68"/>
      <c r="N74" s="68"/>
      <c r="O74" s="68"/>
      <c r="P74" s="109"/>
    </row>
    <row r="75" spans="1:16" x14ac:dyDescent="0.3">
      <c r="A75" s="109"/>
      <c r="B75" s="68"/>
      <c r="C75" s="68" t="str">
        <f t="shared" si="5"/>
        <v>12</v>
      </c>
      <c r="D75" s="68">
        <f t="shared" si="6"/>
        <v>5</v>
      </c>
      <c r="E75" s="84" t="str">
        <f t="shared" si="2"/>
        <v>125</v>
      </c>
      <c r="F75" s="68"/>
      <c r="G75" s="68"/>
      <c r="H75" s="68"/>
      <c r="I75" s="68"/>
      <c r="J75" s="78"/>
      <c r="K75" s="68"/>
      <c r="L75" s="68"/>
      <c r="M75" s="619" t="s">
        <v>92</v>
      </c>
      <c r="N75" s="619"/>
      <c r="O75" s="68"/>
      <c r="P75" s="109"/>
    </row>
    <row r="76" spans="1:16" ht="33" x14ac:dyDescent="0.3">
      <c r="A76" s="109"/>
      <c r="B76" s="68"/>
      <c r="C76" s="68" t="str">
        <f t="shared" si="5"/>
        <v>12</v>
      </c>
      <c r="D76" s="68">
        <f t="shared" si="6"/>
        <v>5</v>
      </c>
      <c r="E76" s="84" t="str">
        <f t="shared" si="2"/>
        <v>125</v>
      </c>
      <c r="F76" s="93"/>
      <c r="G76" s="80" t="s">
        <v>561</v>
      </c>
      <c r="H76" s="80" t="s">
        <v>82</v>
      </c>
      <c r="I76" s="80" t="s">
        <v>83</v>
      </c>
      <c r="J76" s="80" t="s">
        <v>84</v>
      </c>
      <c r="K76" s="80" t="s">
        <v>85</v>
      </c>
      <c r="L76" s="78"/>
      <c r="M76" s="81" t="s">
        <v>86</v>
      </c>
      <c r="N76" s="82" t="s">
        <v>87</v>
      </c>
      <c r="O76" s="68"/>
      <c r="P76" s="109"/>
    </row>
    <row r="77" spans="1:16" x14ac:dyDescent="0.3">
      <c r="A77" s="109"/>
      <c r="B77" s="68"/>
      <c r="C77" s="68" t="str">
        <f t="shared" si="5"/>
        <v>12</v>
      </c>
      <c r="D77" s="68">
        <f t="shared" si="6"/>
        <v>5</v>
      </c>
      <c r="E77" s="84" t="str">
        <f t="shared" si="2"/>
        <v>125</v>
      </c>
      <c r="F77" s="68"/>
      <c r="G77" s="83"/>
      <c r="H77" s="83"/>
      <c r="I77" s="83"/>
      <c r="J77" s="68"/>
      <c r="K77" s="83"/>
      <c r="L77" s="68"/>
      <c r="M77" s="68"/>
      <c r="N77" s="68"/>
      <c r="O77" s="68"/>
      <c r="P77" s="109"/>
    </row>
    <row r="78" spans="1:16" ht="130.05000000000001" customHeight="1" x14ac:dyDescent="0.3">
      <c r="A78" s="109"/>
      <c r="B78" s="68"/>
      <c r="C78" s="68" t="str">
        <f t="shared" si="5"/>
        <v>12</v>
      </c>
      <c r="D78" s="68">
        <f t="shared" si="6"/>
        <v>5</v>
      </c>
      <c r="E78" s="84" t="str">
        <f t="shared" si="2"/>
        <v>1251</v>
      </c>
      <c r="F78" s="66" t="s">
        <v>27</v>
      </c>
      <c r="G78" s="67" t="str">
        <f>IFERROR(IF(VLOOKUP($E78,BDD!$A$1:$S$567,MATCH(G$10,BDD!$A$1:$P$1,0),FALSE)=0,"",VLOOKUP($E78,BDD!$A$1:$S$567,MATCH(G$10,BDD!$A$1:$P$1,0),FALSE)),"")</f>
        <v>L'entreprise ou la DSI a défini des critères de mesure de la performance des projets et du portefeuille, critères qui comprennent l’alignement aux priorités de l'entreprise et la possibilité de benchmarker la nature des investissements réalisés.</v>
      </c>
      <c r="H78" s="85" t="str">
        <f>IF(VLOOKUP(E78,BDD!$A$1:$S$567,15,FALSE)=0,"Critère non évalué","")</f>
        <v>Critère non évalué</v>
      </c>
      <c r="I78" s="66" t="str">
        <f>IFERROR(IF(VLOOKUP($E78,BDD!$A$1:$S$567,MATCH(I$10,BDD!$A$1:$P$1,0),FALSE)=0,"",VLOOKUP($E78,BDD!$A$1:$S$567,MATCH(I$10,BDD!$A$1:$P$1,0),FALSE)),"")</f>
        <v>N4</v>
      </c>
      <c r="J78" s="86"/>
      <c r="K78" s="67" t="str">
        <f>IFERROR(IF(VLOOKUP($E78,BDD!$A$1:$S$567,MATCH(K$10,BDD!$A$1:$P$1,0),FALSE)=0,"",VLOOKUP($E78,BDD!$A$1:$S$567,MATCH(K$10,BDD!$A$1:$P$1,0),FALSE)),"")</f>
        <v>• Les critères de mesure de la performance constituent un référentiel partagé au sein de l'organisation.</v>
      </c>
      <c r="L78" s="68"/>
      <c r="M78" s="87"/>
      <c r="N78" s="87"/>
      <c r="O78" s="68"/>
      <c r="P78" s="109"/>
    </row>
    <row r="79" spans="1:16" ht="130.05000000000001" customHeight="1" x14ac:dyDescent="0.3">
      <c r="A79" s="109"/>
      <c r="B79" s="68"/>
      <c r="C79" s="68" t="str">
        <f t="shared" si="5"/>
        <v>12</v>
      </c>
      <c r="D79" s="68">
        <f t="shared" si="6"/>
        <v>5</v>
      </c>
      <c r="E79" s="84" t="str">
        <f t="shared" si="2"/>
        <v>1252</v>
      </c>
      <c r="F79" s="94" t="s">
        <v>28</v>
      </c>
      <c r="G79" s="65" t="str">
        <f>IFERROR(IF(VLOOKUP($E79,BDD!$A$1:$S$567,MATCH(G$10,BDD!$A$1:$P$1,0),FALSE)=0,"",VLOOKUP($E79,BDD!$A$1:$S$567,MATCH(G$10,BDD!$A$1:$P$1,0),FALSE)),"")</f>
        <v>Le suivi des projets est articulé avec la gestion opérationnelle du portefeuille de projets. Ce suivi inclut les coûts, les délais, les risques, et les fonctionnalités délivrées. Il est adapté aux différentes méthodes projets, notamment la méthode agile, le cycle en V., etc.</v>
      </c>
      <c r="H79" s="88" t="str">
        <f>IF(VLOOKUP(E79,BDD!$A$1:$S$567,15,FALSE)=0,"Critère non évalué","")</f>
        <v>Critère non évalué</v>
      </c>
      <c r="I79" s="64" t="str">
        <f>IFERROR(IF(VLOOKUP($E79,BDD!$A$1:$S$567,MATCH(I$10,BDD!$A$1:$P$1,0),FALSE)=0,"",VLOOKUP($E79,BDD!$A$1:$S$567,MATCH(I$10,BDD!$A$1:$P$1,0),FALSE)),"")</f>
        <v>N1</v>
      </c>
      <c r="J79" s="89"/>
      <c r="K79" s="65" t="str">
        <f>IFERROR(IF(VLOOKUP($E79,BDD!$A$1:$S$567,MATCH(K$10,BDD!$A$1:$P$1,0),FALSE)=0,"",VLOOKUP($E79,BDD!$A$1:$S$567,MATCH(K$10,BDD!$A$1:$P$1,0),FALSE)),"")</f>
        <v/>
      </c>
      <c r="L79" s="68"/>
      <c r="M79" s="90"/>
      <c r="N79" s="90"/>
      <c r="O79" s="68"/>
      <c r="P79" s="109"/>
    </row>
    <row r="80" spans="1:16" ht="130.05000000000001" customHeight="1" x14ac:dyDescent="0.3">
      <c r="A80" s="109"/>
      <c r="B80" s="68"/>
      <c r="C80" s="68" t="str">
        <f t="shared" si="5"/>
        <v>12</v>
      </c>
      <c r="D80" s="68">
        <f t="shared" si="6"/>
        <v>5</v>
      </c>
      <c r="E80" s="84" t="str">
        <f t="shared" si="2"/>
        <v>1253</v>
      </c>
      <c r="F80" s="66" t="s">
        <v>30</v>
      </c>
      <c r="G80" s="67" t="str">
        <f>IFERROR(IF(VLOOKUP($E80,BDD!$A$1:$S$567,MATCH(G$10,BDD!$A$1:$P$1,0),FALSE)=0,"",VLOOKUP($E80,BDD!$A$1:$S$567,MATCH(G$10,BDD!$A$1:$P$1,0),FALSE)),"")</f>
        <v>L'appréciation de la performance du projet tient compte de la valeur générée.</v>
      </c>
      <c r="H80" s="85" t="str">
        <f>IF(VLOOKUP(E80,BDD!$A$1:$S$567,15,FALSE)=0,"Critère non évalué","")</f>
        <v>Critère non évalué</v>
      </c>
      <c r="I80" s="66" t="str">
        <f>IFERROR(IF(VLOOKUP($E80,BDD!$A$1:$S$567,MATCH(I$10,BDD!$A$1:$P$1,0),FALSE)=0,"",VLOOKUP($E80,BDD!$A$1:$S$567,MATCH(I$10,BDD!$A$1:$P$1,0),FALSE)),"")</f>
        <v>N3</v>
      </c>
      <c r="J80" s="86"/>
      <c r="K80" s="67" t="str">
        <f>IFERROR(IF(VLOOKUP($E80,BDD!$A$1:$S$567,MATCH(K$10,BDD!$A$1:$P$1,0),FALSE)=0,"",VLOOKUP($E80,BDD!$A$1:$S$567,MATCH(K$10,BDD!$A$1:$P$1,0),FALSE)),"")</f>
        <v/>
      </c>
      <c r="L80" s="68"/>
      <c r="M80" s="87"/>
      <c r="N80" s="87"/>
      <c r="O80" s="68"/>
      <c r="P80" s="109"/>
    </row>
    <row r="81" spans="1:16" ht="130.05000000000001" customHeight="1" x14ac:dyDescent="0.3">
      <c r="A81" s="109"/>
      <c r="B81" s="68"/>
      <c r="C81" s="68" t="str">
        <f t="shared" si="5"/>
        <v>12</v>
      </c>
      <c r="D81" s="68">
        <f t="shared" si="6"/>
        <v>5</v>
      </c>
      <c r="E81" s="84" t="str">
        <f t="shared" si="2"/>
        <v>1254</v>
      </c>
      <c r="F81" s="64" t="s">
        <v>32</v>
      </c>
      <c r="G81" s="65" t="str">
        <f>IFERROR(IF(VLOOKUP($E81,BDD!$A$1:$S$567,MATCH(G$10,BDD!$A$1:$P$1,0),FALSE)=0,"",VLOOKUP($E81,BDD!$A$1:$S$567,MATCH(G$10,BDD!$A$1:$P$1,0),FALSE)),"")</f>
        <v>Un tableau de bord de suivi des projets existe et est partagé avec les directions métiers ainsi que toutes les parties prenantes concernées.</v>
      </c>
      <c r="H81" s="88" t="str">
        <f>IF(VLOOKUP(E81,BDD!$A$1:$S$567,15,FALSE)=0,"Critère non évalué","")</f>
        <v>Critère non évalué</v>
      </c>
      <c r="I81" s="64" t="str">
        <f>IFERROR(IF(VLOOKUP($E81,BDD!$A$1:$S$567,MATCH(I$10,BDD!$A$1:$P$1,0),FALSE)=0,"",VLOOKUP($E81,BDD!$A$1:$S$567,MATCH(I$10,BDD!$A$1:$P$1,0),FALSE)),"")</f>
        <v>N3</v>
      </c>
      <c r="J81" s="91"/>
      <c r="K81" s="65" t="str">
        <f>IFERROR(IF(VLOOKUP($E81,BDD!$A$1:$S$567,MATCH(K$10,BDD!$A$1:$P$1,0),FALSE)=0,"",VLOOKUP($E81,BDD!$A$1:$S$567,MATCH(K$10,BDD!$A$1:$P$1,0),FALSE)),"")</f>
        <v>• Idéalement, le suivi opérationnel et le suivi économique s’appuient sur un outil de suivi partagé, ou a minima sur un référentiel partagé.</v>
      </c>
      <c r="L81" s="68"/>
      <c r="M81" s="90"/>
      <c r="N81" s="90"/>
      <c r="O81" s="68"/>
      <c r="P81" s="109"/>
    </row>
    <row r="82" spans="1:16" ht="130.05000000000001" customHeight="1" x14ac:dyDescent="0.3">
      <c r="A82" s="109"/>
      <c r="B82" s="68"/>
      <c r="C82" s="68" t="str">
        <f t="shared" si="5"/>
        <v>12</v>
      </c>
      <c r="D82" s="68">
        <f t="shared" si="6"/>
        <v>5</v>
      </c>
      <c r="E82" s="84" t="str">
        <f t="shared" si="2"/>
        <v>1255</v>
      </c>
      <c r="F82" s="66" t="s">
        <v>33</v>
      </c>
      <c r="G82" s="67" t="str">
        <f>IFERROR(IF(VLOOKUP($E82,BDD!$A$1:$S$567,MATCH(G$10,BDD!$A$1:$P$1,0),FALSE)=0,"",VLOOKUP($E82,BDD!$A$1:$S$567,MATCH(G$10,BDD!$A$1:$P$1,0),FALSE)),"")</f>
        <v>Les écarts entre réalisation et prévision sont remontés aux instances de pilotage adéquates, afin de mesurer la réalisation de la valeur attendue.</v>
      </c>
      <c r="H82" s="85" t="str">
        <f>IF(VLOOKUP(E82,BDD!$A$1:$S$567,15,FALSE)=0,"Critère non évalué","")</f>
        <v>Critère non évalué</v>
      </c>
      <c r="I82" s="66" t="str">
        <f>IFERROR(IF(VLOOKUP($E82,BDD!$A$1:$S$567,MATCH(I$10,BDD!$A$1:$P$1,0),FALSE)=0,"",VLOOKUP($E82,BDD!$A$1:$S$567,MATCH(I$10,BDD!$A$1:$P$1,0),FALSE)),"")</f>
        <v>N3</v>
      </c>
      <c r="J82" s="86"/>
      <c r="K82" s="67" t="str">
        <f>IFERROR(IF(VLOOKUP($E82,BDD!$A$1:$S$567,MATCH(K$10,BDD!$A$1:$P$1,0),FALSE)=0,"",VLOOKUP($E82,BDD!$A$1:$S$567,MATCH(K$10,BDD!$A$1:$P$1,0),FALSE)),"")</f>
        <v/>
      </c>
      <c r="L82" s="68"/>
      <c r="M82" s="82"/>
      <c r="N82" s="82"/>
      <c r="O82" s="68"/>
      <c r="P82" s="109"/>
    </row>
    <row r="83" spans="1:16" ht="130.05000000000001" customHeight="1" x14ac:dyDescent="0.3">
      <c r="A83" s="109"/>
      <c r="B83" s="68"/>
      <c r="C83" s="68" t="str">
        <f t="shared" si="5"/>
        <v>12</v>
      </c>
      <c r="D83" s="68">
        <f t="shared" si="6"/>
        <v>5</v>
      </c>
      <c r="E83" s="84" t="str">
        <f>C83&amp;D83&amp;RIGHT(F83,1)</f>
        <v>1256</v>
      </c>
      <c r="F83" s="64" t="s">
        <v>34</v>
      </c>
      <c r="G83" s="96" t="str">
        <f>IFERROR(IF(VLOOKUP($E83,BDD!$A$1:$S$567,MATCH(G$10,BDD!$A$1:$P$1,0),FALSE)=0,"",VLOOKUP($E83,BDD!$A$1:$S$567,MATCH(G$10,BDD!$A$1:$P$1,0),FALSE)),"")</f>
        <v>Le business case fait l’objet d’une mise à jour si les écarts constatés le justifient.</v>
      </c>
      <c r="H83" s="210" t="str">
        <f>IF(VLOOKUP(E83,BDD!$A$1:$S$567,15,FALSE)=0,"Critère non évalué","")</f>
        <v>Critère non évalué</v>
      </c>
      <c r="I83" s="64" t="str">
        <f>IFERROR(IF(VLOOKUP($E83,BDD!$A$1:$S$567,MATCH(I$10,BDD!$A$1:$P$1,0),FALSE)=0,"",VLOOKUP($E83,BDD!$A$1:$S$567,MATCH(I$10,BDD!$A$1:$P$1,0),FALSE)),"")</f>
        <v>N5</v>
      </c>
      <c r="J83" s="95"/>
      <c r="K83" s="96" t="str">
        <f>IFERROR(IF(VLOOKUP($E83,BDD!$A$1:$S$567,MATCH(K$10,BDD!$A$1:$P$1,0),FALSE)=0,"",VLOOKUP($E83,BDD!$A$1:$S$567,MATCH(K$10,BDD!$A$1:$P$1,0),FALSE)),"")</f>
        <v/>
      </c>
      <c r="L83" s="68"/>
      <c r="M83" s="90"/>
      <c r="N83" s="90"/>
      <c r="O83" s="68"/>
      <c r="P83" s="109"/>
    </row>
    <row r="84" spans="1:16" ht="130.05000000000001" hidden="1" customHeight="1" x14ac:dyDescent="0.3">
      <c r="A84" s="109"/>
      <c r="B84" s="68"/>
      <c r="C84" s="68" t="str">
        <f t="shared" si="5"/>
        <v>12</v>
      </c>
      <c r="D84" s="68">
        <f t="shared" si="6"/>
        <v>5</v>
      </c>
      <c r="E84" s="84" t="str">
        <f>C84&amp;D84&amp;RIGHT(F84,1)</f>
        <v>1257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c>
      <c r="J84" s="86"/>
      <c r="K84" s="67" t="str">
        <f>IFERROR(IF(VLOOKUP($E84,BDD!$A$1:$S$567,MATCH(K$10,BDD!$A$1:$P$1,0),FALSE)=0,"",VLOOKUP($E84,BDD!$A$1:$S$567,MATCH(K$10,BDD!$A$1:$P$1,0),FALSE)),"")</f>
        <v/>
      </c>
      <c r="L84" s="68"/>
      <c r="M84" s="82"/>
      <c r="N84" s="82"/>
      <c r="O84" s="68"/>
      <c r="P84" s="109"/>
    </row>
    <row r="85" spans="1:16" x14ac:dyDescent="0.3">
      <c r="A85" s="109"/>
      <c r="B85" s="68"/>
      <c r="C85" s="68" t="str">
        <f t="shared" si="5"/>
        <v>12</v>
      </c>
      <c r="D85" s="68"/>
      <c r="E85" s="68"/>
      <c r="F85" s="68"/>
      <c r="G85" s="68"/>
      <c r="H85" s="68"/>
      <c r="I85" s="68"/>
      <c r="J85" s="68"/>
      <c r="K85" s="68"/>
      <c r="L85" s="68"/>
      <c r="M85" s="68"/>
      <c r="N85" s="68"/>
      <c r="O85" s="68"/>
      <c r="P85" s="109"/>
    </row>
    <row r="86" spans="1:16" x14ac:dyDescent="0.3">
      <c r="A86" s="109"/>
      <c r="B86" s="68"/>
      <c r="C86" s="68" t="str">
        <f t="shared" si="5"/>
        <v>12</v>
      </c>
      <c r="D86" s="68"/>
      <c r="E86" s="68"/>
      <c r="F86" s="68"/>
      <c r="G86" s="68"/>
      <c r="H86" s="68"/>
      <c r="I86" s="68"/>
      <c r="J86" s="68"/>
      <c r="K86" s="68"/>
      <c r="L86" s="68"/>
      <c r="M86" s="68"/>
      <c r="N86" s="68"/>
      <c r="O86" s="68"/>
      <c r="P86" s="109"/>
    </row>
    <row r="87" spans="1:16" ht="30" x14ac:dyDescent="0.5">
      <c r="A87" s="229"/>
      <c r="B87" s="74"/>
      <c r="C87" s="68" t="str">
        <f t="shared" si="5"/>
        <v>12</v>
      </c>
      <c r="D87" s="68">
        <f>IF(LEFT(F87,14)="Bonne pratique",D83+1,D83)</f>
        <v>6</v>
      </c>
      <c r="E87" s="84" t="str">
        <f t="shared" ref="E87:E100" si="7">C87&amp;D87&amp;RIGHT(F87,1)</f>
        <v>1266</v>
      </c>
      <c r="F87" s="208" t="s">
        <v>556</v>
      </c>
      <c r="G87" s="75"/>
      <c r="H87" s="205"/>
      <c r="I87" s="73"/>
      <c r="J87" s="73" t="str">
        <f>VLOOKUP(E94,BDD!$A$2:$N$567,6,FALSE)</f>
        <v>Valeur</v>
      </c>
      <c r="K87" s="72"/>
      <c r="L87" s="75"/>
      <c r="M87" s="75"/>
      <c r="N87" s="75"/>
      <c r="O87" s="74"/>
      <c r="P87" s="229"/>
    </row>
    <row r="88" spans="1:16" x14ac:dyDescent="0.3">
      <c r="A88" s="109"/>
      <c r="B88" s="68"/>
      <c r="C88" s="68" t="str">
        <f t="shared" si="5"/>
        <v>12</v>
      </c>
      <c r="D88" s="68">
        <f t="shared" ref="D88:D100" si="8">IF(LEFT(F88,14)="Bonne pratique",D87+1,D87)</f>
        <v>6</v>
      </c>
      <c r="E88" s="84" t="str">
        <f t="shared" si="7"/>
        <v>126</v>
      </c>
      <c r="F88" s="68"/>
      <c r="G88" s="68"/>
      <c r="H88" s="68"/>
      <c r="I88" s="68"/>
      <c r="J88" s="68"/>
      <c r="K88" s="68"/>
      <c r="L88" s="68"/>
      <c r="M88" s="68"/>
      <c r="N88" s="68"/>
      <c r="O88" s="68"/>
      <c r="P88" s="109"/>
    </row>
    <row r="89" spans="1:16" ht="18" x14ac:dyDescent="0.35">
      <c r="A89" s="230"/>
      <c r="B89" s="76"/>
      <c r="C89" s="68" t="str">
        <f t="shared" si="5"/>
        <v>12</v>
      </c>
      <c r="D89" s="68">
        <f t="shared" si="8"/>
        <v>6</v>
      </c>
      <c r="E89" s="84" t="str">
        <f t="shared" si="7"/>
        <v>126</v>
      </c>
      <c r="F89" s="76"/>
      <c r="G89" s="76"/>
      <c r="H89" s="76"/>
      <c r="I89" s="77"/>
      <c r="J89" s="207" t="str">
        <f>IFERROR(_xlfn.TEXTBEFORE(VLOOKUP(E94,BDD!$A$2:$N$567,7,FALSE)," ",30),VLOOKUP(E94,BDD!$A$2:$N$567,7,FALSE))</f>
        <v>L'organisation a mis en œuvre un cadre de définition de la valeur du numérique et déploie les processus de contrôle nécessaires.</v>
      </c>
      <c r="K89" s="77"/>
      <c r="L89" s="76"/>
      <c r="M89" s="76"/>
      <c r="N89" s="76"/>
      <c r="O89" s="76"/>
      <c r="P89" s="230"/>
    </row>
    <row r="90" spans="1:16" ht="18" x14ac:dyDescent="0.35">
      <c r="A90" s="109"/>
      <c r="B90" s="68"/>
      <c r="C90" s="68" t="str">
        <f t="shared" si="5"/>
        <v>12</v>
      </c>
      <c r="D90" s="68">
        <f t="shared" si="8"/>
        <v>6</v>
      </c>
      <c r="E90" s="84" t="str">
        <f t="shared" si="7"/>
        <v>126</v>
      </c>
      <c r="F90" s="68"/>
      <c r="G90" s="68"/>
      <c r="H90" s="68"/>
      <c r="I90" s="68"/>
      <c r="J90" s="207" t="str">
        <f>IFERROR(_xlfn.TEXTAFTER(VLOOKUP(E94,BDD!$A$2:$N$567,7,FALSE)," ",30),"")</f>
        <v/>
      </c>
      <c r="K90" s="68"/>
      <c r="L90" s="68"/>
      <c r="M90" s="68"/>
      <c r="N90" s="68"/>
      <c r="O90" s="68"/>
      <c r="P90" s="109"/>
    </row>
    <row r="91" spans="1:16" x14ac:dyDescent="0.3">
      <c r="A91" s="109"/>
      <c r="B91" s="68"/>
      <c r="C91" s="68" t="str">
        <f t="shared" si="5"/>
        <v>12</v>
      </c>
      <c r="D91" s="68">
        <f t="shared" si="8"/>
        <v>6</v>
      </c>
      <c r="E91" s="84" t="str">
        <f t="shared" si="7"/>
        <v>126</v>
      </c>
      <c r="F91" s="68"/>
      <c r="G91" s="68"/>
      <c r="H91" s="68"/>
      <c r="I91" s="68"/>
      <c r="J91" s="78"/>
      <c r="K91" s="68"/>
      <c r="L91" s="68"/>
      <c r="M91" s="619" t="s">
        <v>92</v>
      </c>
      <c r="N91" s="619"/>
      <c r="O91" s="68"/>
      <c r="P91" s="109"/>
    </row>
    <row r="92" spans="1:16" ht="33" x14ac:dyDescent="0.3">
      <c r="A92" s="109"/>
      <c r="B92" s="68"/>
      <c r="C92" s="68" t="str">
        <f t="shared" si="5"/>
        <v>12</v>
      </c>
      <c r="D92" s="68">
        <f t="shared" si="8"/>
        <v>6</v>
      </c>
      <c r="E92" s="84" t="str">
        <f t="shared" si="7"/>
        <v>126</v>
      </c>
      <c r="F92" s="93"/>
      <c r="G92" s="80" t="s">
        <v>561</v>
      </c>
      <c r="H92" s="80" t="s">
        <v>82</v>
      </c>
      <c r="I92" s="80" t="s">
        <v>83</v>
      </c>
      <c r="J92" s="80" t="s">
        <v>84</v>
      </c>
      <c r="K92" s="80" t="s">
        <v>85</v>
      </c>
      <c r="L92" s="78"/>
      <c r="M92" s="81" t="s">
        <v>86</v>
      </c>
      <c r="N92" s="82" t="s">
        <v>87</v>
      </c>
      <c r="O92" s="68"/>
      <c r="P92" s="109"/>
    </row>
    <row r="93" spans="1:16" x14ac:dyDescent="0.3">
      <c r="A93" s="109"/>
      <c r="B93" s="68"/>
      <c r="C93" s="68" t="str">
        <f t="shared" si="5"/>
        <v>12</v>
      </c>
      <c r="D93" s="68">
        <f t="shared" si="8"/>
        <v>6</v>
      </c>
      <c r="E93" s="84" t="str">
        <f t="shared" si="7"/>
        <v>126</v>
      </c>
      <c r="F93" s="68"/>
      <c r="G93" s="83"/>
      <c r="H93" s="83"/>
      <c r="I93" s="83"/>
      <c r="J93" s="68"/>
      <c r="K93" s="83"/>
      <c r="L93" s="68"/>
      <c r="M93" s="68"/>
      <c r="N93" s="68"/>
      <c r="O93" s="68"/>
      <c r="P93" s="109"/>
    </row>
    <row r="94" spans="1:16" ht="130.05000000000001" customHeight="1" x14ac:dyDescent="0.3">
      <c r="A94" s="109"/>
      <c r="B94" s="68"/>
      <c r="C94" s="68" t="str">
        <f t="shared" si="5"/>
        <v>12</v>
      </c>
      <c r="D94" s="68">
        <f t="shared" si="8"/>
        <v>6</v>
      </c>
      <c r="E94" s="84" t="str">
        <f t="shared" si="7"/>
        <v>1261</v>
      </c>
      <c r="F94" s="66" t="s">
        <v>27</v>
      </c>
      <c r="G94" s="67" t="str">
        <f>IFERROR(IF(VLOOKUP($E94,BDD!$A$1:$S$567,MATCH(G$10,BDD!$A$1:$P$1,0),FALSE)=0,"",VLOOKUP($E94,BDD!$A$1:$S$567,MATCH(G$10,BDD!$A$1:$P$1,0),FALSE)),"")</f>
        <v>L'entreprise a défini les critères de mesure de la valeur et ces critères sont partagés au sein de l'organisation.</v>
      </c>
      <c r="H94" s="85" t="str">
        <f>IF(VLOOKUP(E94,BDD!$A$1:$S$567,15,FALSE)=0,"Critère non évalué","")</f>
        <v>Critère non évalué</v>
      </c>
      <c r="I94" s="66" t="str">
        <f>IFERROR(IF(VLOOKUP($E94,BDD!$A$1:$S$567,MATCH(I$10,BDD!$A$1:$P$1,0),FALSE)=0,"",VLOOKUP($E94,BDD!$A$1:$S$567,MATCH(I$10,BDD!$A$1:$P$1,0),FALSE)),"")</f>
        <v>N4</v>
      </c>
      <c r="J94" s="86"/>
      <c r="K94" s="67" t="str">
        <f>IFERROR(IF(VLOOKUP($E94,BDD!$A$1:$S$567,MATCH(K$10,BDD!$A$1:$P$1,0),FALSE)=0,"",VLOOKUP($E94,BDD!$A$1:$S$567,MATCH(K$10,BDD!$A$1:$P$1,0),FALSE)),"")</f>
        <v>• Outre les aspects financiers, la valeur prend notamment en compte la dimension RSE.</v>
      </c>
      <c r="L94" s="68"/>
      <c r="M94" s="87"/>
      <c r="N94" s="87"/>
      <c r="O94" s="68"/>
      <c r="P94" s="109"/>
    </row>
    <row r="95" spans="1:16" ht="130.05000000000001" customHeight="1" x14ac:dyDescent="0.3">
      <c r="A95" s="109"/>
      <c r="B95" s="68"/>
      <c r="C95" s="68" t="str">
        <f t="shared" si="5"/>
        <v>12</v>
      </c>
      <c r="D95" s="68">
        <f t="shared" si="8"/>
        <v>6</v>
      </c>
      <c r="E95" s="84" t="str">
        <f t="shared" si="7"/>
        <v>1262</v>
      </c>
      <c r="F95" s="94" t="s">
        <v>28</v>
      </c>
      <c r="G95" s="65" t="str">
        <f>IFERROR(IF(VLOOKUP($E95,BDD!$A$1:$S$567,MATCH(G$10,BDD!$A$1:$P$1,0),FALSE)=0,"",VLOOKUP($E95,BDD!$A$1:$S$567,MATCH(G$10,BDD!$A$1:$P$1,0),FALSE)),"")</f>
        <v>La valeur des services du catalogue est mesurée et questionnée à fréquence régulière.</v>
      </c>
      <c r="H95" s="88" t="str">
        <f>IF(VLOOKUP(E95,BDD!$A$1:$S$567,15,FALSE)=0,"Critère non évalué","")</f>
        <v>Critère non évalué</v>
      </c>
      <c r="I95" s="64" t="str">
        <f>IFERROR(IF(VLOOKUP($E95,BDD!$A$1:$S$567,MATCH(I$10,BDD!$A$1:$P$1,0),FALSE)=0,"",VLOOKUP($E95,BDD!$A$1:$S$567,MATCH(I$10,BDD!$A$1:$P$1,0),FALSE)),"")</f>
        <v>N5</v>
      </c>
      <c r="J95" s="89"/>
      <c r="K95" s="65" t="str">
        <f>IFERROR(IF(VLOOKUP($E95,BDD!$A$1:$S$567,MATCH(K$10,BDD!$A$1:$P$1,0),FALSE)=0,"",VLOOKUP($E95,BDD!$A$1:$S$567,MATCH(K$10,BDD!$A$1:$P$1,0),FALSE)),"")</f>
        <v/>
      </c>
      <c r="L95" s="68"/>
      <c r="M95" s="90"/>
      <c r="N95" s="90"/>
      <c r="O95" s="68"/>
      <c r="P95" s="109"/>
    </row>
    <row r="96" spans="1:16" ht="130.05000000000001" customHeight="1" x14ac:dyDescent="0.3">
      <c r="A96" s="109"/>
      <c r="B96" s="68"/>
      <c r="C96" s="68" t="str">
        <f t="shared" si="5"/>
        <v>12</v>
      </c>
      <c r="D96" s="68">
        <f t="shared" si="8"/>
        <v>6</v>
      </c>
      <c r="E96" s="84" t="str">
        <f t="shared" si="7"/>
        <v>1263</v>
      </c>
      <c r="F96" s="66" t="s">
        <v>30</v>
      </c>
      <c r="G96" s="67" t="str">
        <f>IFERROR(IF(VLOOKUP($E96,BDD!$A$1:$S$567,MATCH(G$10,BDD!$A$1:$P$1,0),FALSE)=0,"",VLOOKUP($E96,BDD!$A$1:$S$567,MATCH(G$10,BDD!$A$1:$P$1,0),FALSE)),"")</f>
        <v>La valeur est un critère de pilotage pour les projets et le portefeuille de projets.</v>
      </c>
      <c r="H96" s="85" t="str">
        <f>IF(VLOOKUP(E96,BDD!$A$1:$S$567,15,FALSE)=0,"Critère non évalué","")</f>
        <v>Critère non évalué</v>
      </c>
      <c r="I96" s="66" t="str">
        <f>IFERROR(IF(VLOOKUP($E96,BDD!$A$1:$S$567,MATCH(I$10,BDD!$A$1:$P$1,0),FALSE)=0,"",VLOOKUP($E96,BDD!$A$1:$S$567,MATCH(I$10,BDD!$A$1:$P$1,0),FALSE)),"")</f>
        <v>N3</v>
      </c>
      <c r="J96" s="86"/>
      <c r="K96" s="67" t="str">
        <f>IFERROR(IF(VLOOKUP($E96,BDD!$A$1:$S$567,MATCH(K$10,BDD!$A$1:$P$1,0),FALSE)=0,"",VLOOKUP($E96,BDD!$A$1:$S$567,MATCH(K$10,BDD!$A$1:$P$1,0),FALSE)),"")</f>
        <v/>
      </c>
      <c r="L96" s="68"/>
      <c r="M96" s="87"/>
      <c r="N96" s="87"/>
      <c r="O96" s="68"/>
      <c r="P96" s="109"/>
    </row>
    <row r="97" spans="1:16" ht="130.05000000000001" customHeight="1" x14ac:dyDescent="0.3">
      <c r="A97" s="109"/>
      <c r="B97" s="68"/>
      <c r="C97" s="68" t="str">
        <f t="shared" si="5"/>
        <v>12</v>
      </c>
      <c r="D97" s="68">
        <f t="shared" si="8"/>
        <v>6</v>
      </c>
      <c r="E97" s="84" t="str">
        <f t="shared" si="7"/>
        <v>1264</v>
      </c>
      <c r="F97" s="64" t="s">
        <v>32</v>
      </c>
      <c r="G97" s="96" t="str">
        <f>IFERROR(IF(VLOOKUP($E97,BDD!$A$1:$S$567,MATCH(G$10,BDD!$A$1:$P$1,0),FALSE)=0,"",VLOOKUP($E97,BDD!$A$1:$S$567,MATCH(G$10,BDD!$A$1:$P$1,0),FALSE)),"")</f>
        <v>Une mesure de la valeur est présente dans le tableau de bord du SI.</v>
      </c>
      <c r="H97" s="210" t="str">
        <f>IF(VLOOKUP(E97,BDD!$A$1:$S$567,15,FALSE)=0,"Critère non évalué","")</f>
        <v>Critère non évalué</v>
      </c>
      <c r="I97" s="64" t="str">
        <f>IFERROR(IF(VLOOKUP($E97,BDD!$A$1:$S$567,MATCH(I$10,BDD!$A$1:$P$1,0),FALSE)=0,"",VLOOKUP($E97,BDD!$A$1:$S$567,MATCH(I$10,BDD!$A$1:$P$1,0),FALSE)),"")</f>
        <v>N3</v>
      </c>
      <c r="J97" s="95"/>
      <c r="K97" s="96" t="str">
        <f>IFERROR(IF(VLOOKUP($E97,BDD!$A$1:$S$567,MATCH(K$10,BDD!$A$1:$P$1,0),FALSE)=0,"",VLOOKUP($E97,BDD!$A$1:$S$567,MATCH(K$10,BDD!$A$1:$P$1,0),FALSE)),"")</f>
        <v/>
      </c>
      <c r="L97" s="68"/>
      <c r="M97" s="90"/>
      <c r="N97" s="90"/>
      <c r="O97" s="68"/>
      <c r="P97" s="109"/>
    </row>
    <row r="98" spans="1:16" ht="130.05000000000001" hidden="1" customHeight="1" x14ac:dyDescent="0.3">
      <c r="A98" s="109"/>
      <c r="B98" s="68"/>
      <c r="C98" s="68" t="str">
        <f t="shared" si="5"/>
        <v>12</v>
      </c>
      <c r="D98" s="68">
        <f t="shared" si="8"/>
        <v>6</v>
      </c>
      <c r="E98" s="84" t="str">
        <f t="shared" si="7"/>
        <v>1265</v>
      </c>
      <c r="F98" s="66" t="s">
        <v>33</v>
      </c>
      <c r="G98" s="67" t="str">
        <f>IFERROR(IF(VLOOKUP($E98,BDD!$A$1:$S$567,MATCH(G$10,BDD!$A$1:$P$1,0),FALSE)=0,"",VLOOKUP($E98,BDD!$A$1:$S$567,MATCH(G$10,BDD!$A$1:$P$1,0),FALSE)),"")</f>
        <v/>
      </c>
      <c r="H98" s="85" t="str">
        <f>IF(VLOOKUP(E98,BDD!$A$1:$S$567,15,FALSE)=0,"Critère non évalué","")</f>
        <v>Critère non évalué</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109"/>
    </row>
    <row r="99" spans="1:16" ht="130.05000000000001" hidden="1" customHeight="1" x14ac:dyDescent="0.3">
      <c r="A99" s="109"/>
      <c r="B99" s="68"/>
      <c r="C99" s="68" t="str">
        <f t="shared" si="5"/>
        <v>12</v>
      </c>
      <c r="D99" s="68">
        <f t="shared" si="8"/>
        <v>6</v>
      </c>
      <c r="E99" s="84" t="str">
        <f t="shared" si="7"/>
        <v>1266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109"/>
    </row>
    <row r="100" spans="1:16" ht="130.05000000000001" hidden="1" customHeight="1" x14ac:dyDescent="0.3">
      <c r="A100" s="109"/>
      <c r="B100" s="68"/>
      <c r="C100" s="68" t="str">
        <f t="shared" si="5"/>
        <v>12</v>
      </c>
      <c r="D100" s="68">
        <f t="shared" si="8"/>
        <v>6</v>
      </c>
      <c r="E100" s="84" t="str">
        <f t="shared" si="7"/>
        <v>1267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109"/>
    </row>
    <row r="101" spans="1:16" hidden="1" x14ac:dyDescent="0.3">
      <c r="A101" s="109"/>
      <c r="B101" s="68"/>
      <c r="C101" s="68" t="str">
        <f t="shared" si="5"/>
        <v>12</v>
      </c>
      <c r="D101" s="68"/>
      <c r="E101" s="68"/>
      <c r="F101" s="68"/>
      <c r="G101" s="68"/>
      <c r="H101" s="68"/>
      <c r="I101" s="68"/>
      <c r="J101" s="68"/>
      <c r="K101" s="68"/>
      <c r="L101" s="68"/>
      <c r="M101" s="68"/>
      <c r="N101" s="68"/>
      <c r="O101" s="68"/>
      <c r="P101" s="109"/>
    </row>
    <row r="102" spans="1:16" hidden="1" x14ac:dyDescent="0.3">
      <c r="A102" s="109"/>
      <c r="B102" s="68"/>
      <c r="C102" s="68" t="str">
        <f t="shared" si="5"/>
        <v>12</v>
      </c>
      <c r="D102" s="68"/>
      <c r="E102" s="68"/>
      <c r="F102" s="68"/>
      <c r="G102" s="68"/>
      <c r="H102" s="68"/>
      <c r="I102" s="68"/>
      <c r="J102" s="68"/>
      <c r="K102" s="68"/>
      <c r="L102" s="68"/>
      <c r="M102" s="68"/>
      <c r="N102" s="68"/>
      <c r="O102" s="68"/>
      <c r="P102" s="109"/>
    </row>
    <row r="103" spans="1:16" ht="30" hidden="1" x14ac:dyDescent="0.5">
      <c r="A103" s="229"/>
      <c r="B103" s="74"/>
      <c r="C103" s="68" t="str">
        <f t="shared" si="5"/>
        <v>12</v>
      </c>
      <c r="D103" s="68">
        <f>IF(LEFT(F103,14)="Bonne pratique",D99+1,D99)</f>
        <v>7</v>
      </c>
      <c r="E103" s="84" t="str">
        <f t="shared" ref="E103:E116" si="9">C103&amp;D103&amp;RIGHT(F103,1)</f>
        <v>1277</v>
      </c>
      <c r="F103" s="208" t="s">
        <v>557</v>
      </c>
      <c r="G103" s="75"/>
      <c r="H103" s="205"/>
      <c r="I103" s="73"/>
      <c r="J103" s="73" t="e">
        <f>VLOOKUP(E110,BDD!$A$2:$N$567,6,FALSE)</f>
        <v>#N/A</v>
      </c>
      <c r="K103" s="72"/>
      <c r="L103" s="75"/>
      <c r="M103" s="75"/>
      <c r="N103" s="75"/>
      <c r="O103" s="74"/>
      <c r="P103" s="229"/>
    </row>
    <row r="104" spans="1:16" hidden="1" x14ac:dyDescent="0.3">
      <c r="A104" s="109"/>
      <c r="B104" s="68"/>
      <c r="C104" s="68" t="str">
        <f t="shared" si="5"/>
        <v>12</v>
      </c>
      <c r="D104" s="68">
        <f t="shared" ref="D104:D116" si="10">IF(LEFT(F104,14)="Bonne pratique",D103+1,D103)</f>
        <v>7</v>
      </c>
      <c r="E104" s="84" t="str">
        <f t="shared" si="9"/>
        <v>127</v>
      </c>
      <c r="F104" s="68"/>
      <c r="G104" s="68"/>
      <c r="H104" s="68"/>
      <c r="I104" s="68"/>
      <c r="J104" s="68"/>
      <c r="K104" s="68"/>
      <c r="L104" s="68"/>
      <c r="M104" s="68"/>
      <c r="N104" s="68"/>
      <c r="O104" s="68"/>
      <c r="P104" s="109"/>
    </row>
    <row r="105" spans="1:16" ht="18" hidden="1" x14ac:dyDescent="0.35">
      <c r="A105" s="230"/>
      <c r="B105" s="76"/>
      <c r="C105" s="68" t="str">
        <f t="shared" si="5"/>
        <v>12</v>
      </c>
      <c r="D105" s="68">
        <f t="shared" si="10"/>
        <v>7</v>
      </c>
      <c r="E105" s="84" t="str">
        <f t="shared" si="9"/>
        <v>127</v>
      </c>
      <c r="F105" s="76"/>
      <c r="G105" s="76"/>
      <c r="H105" s="76"/>
      <c r="I105" s="77"/>
      <c r="J105" s="207" t="e">
        <f>IFERROR(_xlfn.TEXTBEFORE(VLOOKUP(E110,BDD!$A$2:$N$567,7,FALSE)," ",30),VLOOKUP(E110,BDD!$A$2:$N$567,7,FALSE))</f>
        <v>#N/A</v>
      </c>
      <c r="K105" s="77"/>
      <c r="L105" s="76"/>
      <c r="M105" s="76"/>
      <c r="N105" s="76"/>
      <c r="O105" s="76"/>
      <c r="P105" s="230"/>
    </row>
    <row r="106" spans="1:16" ht="18" hidden="1" x14ac:dyDescent="0.35">
      <c r="A106" s="109"/>
      <c r="B106" s="68"/>
      <c r="C106" s="68" t="str">
        <f t="shared" si="5"/>
        <v>12</v>
      </c>
      <c r="D106" s="68">
        <f t="shared" si="10"/>
        <v>7</v>
      </c>
      <c r="E106" s="84" t="str">
        <f t="shared" si="9"/>
        <v>127</v>
      </c>
      <c r="F106" s="68"/>
      <c r="G106" s="68"/>
      <c r="H106" s="68"/>
      <c r="I106" s="68"/>
      <c r="J106" s="207" t="str">
        <f>IFERROR(_xlfn.TEXTAFTER(VLOOKUP(E110,BDD!$A$2:$N$567,7,FALSE)," ",30),"")</f>
        <v/>
      </c>
      <c r="K106" s="68"/>
      <c r="L106" s="68"/>
      <c r="M106" s="68"/>
      <c r="N106" s="68"/>
      <c r="O106" s="68"/>
      <c r="P106" s="109"/>
    </row>
    <row r="107" spans="1:16" hidden="1" x14ac:dyDescent="0.3">
      <c r="A107" s="109"/>
      <c r="B107" s="68"/>
      <c r="C107" s="68" t="str">
        <f t="shared" si="5"/>
        <v>12</v>
      </c>
      <c r="D107" s="68">
        <f t="shared" si="10"/>
        <v>7</v>
      </c>
      <c r="E107" s="84" t="str">
        <f t="shared" si="9"/>
        <v>127</v>
      </c>
      <c r="F107" s="68"/>
      <c r="G107" s="68"/>
      <c r="H107" s="68"/>
      <c r="I107" s="68"/>
      <c r="J107" s="78"/>
      <c r="K107" s="68"/>
      <c r="L107" s="68"/>
      <c r="M107" s="619" t="s">
        <v>92</v>
      </c>
      <c r="N107" s="619"/>
      <c r="O107" s="68"/>
      <c r="P107" s="109"/>
    </row>
    <row r="108" spans="1:16" ht="33" hidden="1" x14ac:dyDescent="0.3">
      <c r="A108" s="109"/>
      <c r="B108" s="68"/>
      <c r="C108" s="68" t="str">
        <f t="shared" si="5"/>
        <v>12</v>
      </c>
      <c r="D108" s="68">
        <f t="shared" si="10"/>
        <v>7</v>
      </c>
      <c r="E108" s="84" t="str">
        <f t="shared" si="9"/>
        <v>127</v>
      </c>
      <c r="F108" s="93"/>
      <c r="G108" s="80" t="s">
        <v>561</v>
      </c>
      <c r="H108" s="80" t="s">
        <v>82</v>
      </c>
      <c r="I108" s="80" t="s">
        <v>83</v>
      </c>
      <c r="J108" s="80" t="s">
        <v>84</v>
      </c>
      <c r="K108" s="80" t="s">
        <v>85</v>
      </c>
      <c r="L108" s="78"/>
      <c r="M108" s="81" t="s">
        <v>86</v>
      </c>
      <c r="N108" s="82" t="s">
        <v>87</v>
      </c>
      <c r="O108" s="68"/>
      <c r="P108" s="109"/>
    </row>
    <row r="109" spans="1:16" hidden="1" x14ac:dyDescent="0.3">
      <c r="A109" s="109"/>
      <c r="B109" s="68"/>
      <c r="C109" s="68" t="str">
        <f t="shared" si="5"/>
        <v>12</v>
      </c>
      <c r="D109" s="68">
        <f t="shared" si="10"/>
        <v>7</v>
      </c>
      <c r="E109" s="84" t="str">
        <f t="shared" si="9"/>
        <v>127</v>
      </c>
      <c r="F109" s="68"/>
      <c r="G109" s="83"/>
      <c r="H109" s="83"/>
      <c r="I109" s="83"/>
      <c r="J109" s="68"/>
      <c r="K109" s="83"/>
      <c r="L109" s="68"/>
      <c r="M109" s="68"/>
      <c r="N109" s="68"/>
      <c r="O109" s="68"/>
      <c r="P109" s="109"/>
    </row>
    <row r="110" spans="1:16" ht="130.05000000000001" hidden="1" customHeight="1" x14ac:dyDescent="0.3">
      <c r="A110" s="109"/>
      <c r="B110" s="68"/>
      <c r="C110" s="68" t="str">
        <f t="shared" si="5"/>
        <v>12</v>
      </c>
      <c r="D110" s="68">
        <f t="shared" si="10"/>
        <v>7</v>
      </c>
      <c r="E110" s="84" t="str">
        <f t="shared" si="9"/>
        <v>1271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109"/>
    </row>
    <row r="111" spans="1:16" ht="130.05000000000001" hidden="1" customHeight="1" x14ac:dyDescent="0.3">
      <c r="A111" s="109"/>
      <c r="B111" s="68"/>
      <c r="C111" s="68" t="str">
        <f t="shared" si="5"/>
        <v>12</v>
      </c>
      <c r="D111" s="68">
        <f t="shared" si="10"/>
        <v>7</v>
      </c>
      <c r="E111" s="84" t="str">
        <f t="shared" si="9"/>
        <v>1272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109"/>
    </row>
    <row r="112" spans="1:16" ht="130.05000000000001" hidden="1" customHeight="1" x14ac:dyDescent="0.3">
      <c r="A112" s="109"/>
      <c r="B112" s="68"/>
      <c r="C112" s="68" t="str">
        <f t="shared" si="5"/>
        <v>12</v>
      </c>
      <c r="D112" s="68">
        <f t="shared" si="10"/>
        <v>7</v>
      </c>
      <c r="E112" s="84" t="str">
        <f t="shared" si="9"/>
        <v>1273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109"/>
    </row>
    <row r="113" spans="1:16" ht="130.05000000000001" hidden="1" customHeight="1" x14ac:dyDescent="0.3">
      <c r="A113" s="109"/>
      <c r="B113" s="68"/>
      <c r="C113" s="68" t="str">
        <f t="shared" si="5"/>
        <v>12</v>
      </c>
      <c r="D113" s="68">
        <f t="shared" si="10"/>
        <v>7</v>
      </c>
      <c r="E113" s="84" t="str">
        <f t="shared" si="9"/>
        <v>1274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109"/>
    </row>
    <row r="114" spans="1:16" ht="130.05000000000001" hidden="1" customHeight="1" x14ac:dyDescent="0.3">
      <c r="A114" s="109"/>
      <c r="B114" s="68"/>
      <c r="C114" s="68" t="str">
        <f t="shared" si="5"/>
        <v>12</v>
      </c>
      <c r="D114" s="68">
        <f t="shared" si="10"/>
        <v>7</v>
      </c>
      <c r="E114" s="84" t="str">
        <f t="shared" si="9"/>
        <v>1275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109"/>
    </row>
    <row r="115" spans="1:16" ht="130.05000000000001" hidden="1" customHeight="1" x14ac:dyDescent="0.3">
      <c r="A115" s="109"/>
      <c r="B115" s="68"/>
      <c r="C115" s="68" t="str">
        <f t="shared" si="5"/>
        <v>12</v>
      </c>
      <c r="D115" s="68">
        <f t="shared" si="10"/>
        <v>7</v>
      </c>
      <c r="E115" s="84" t="str">
        <f t="shared" si="9"/>
        <v>1276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109"/>
    </row>
    <row r="116" spans="1:16" ht="130.05000000000001" hidden="1" customHeight="1" x14ac:dyDescent="0.3">
      <c r="A116" s="109"/>
      <c r="B116" s="68"/>
      <c r="C116" s="68" t="str">
        <f t="shared" ref="C116" si="11">RIGHT($B$1,1)</f>
        <v>2</v>
      </c>
      <c r="D116" s="68">
        <f t="shared" si="10"/>
        <v>7</v>
      </c>
      <c r="E116" s="84" t="str">
        <f t="shared" si="9"/>
        <v>277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109"/>
    </row>
    <row r="117" spans="1:16" x14ac:dyDescent="0.3">
      <c r="A117" s="109"/>
      <c r="B117" s="68"/>
      <c r="C117" s="68"/>
      <c r="D117" s="68"/>
      <c r="E117" s="68"/>
      <c r="F117" s="68"/>
      <c r="G117" s="68"/>
      <c r="H117" s="68"/>
      <c r="I117" s="68"/>
      <c r="J117" s="68"/>
      <c r="K117" s="68"/>
      <c r="L117" s="68"/>
      <c r="M117" s="68"/>
      <c r="N117" s="68"/>
      <c r="O117" s="68"/>
      <c r="P117" s="109"/>
    </row>
    <row r="118" spans="1:16" x14ac:dyDescent="0.3">
      <c r="A118" s="109" t="s">
        <v>164</v>
      </c>
      <c r="B118" s="109"/>
      <c r="C118" s="109"/>
      <c r="D118" s="109"/>
      <c r="E118" s="109"/>
      <c r="F118" s="109"/>
      <c r="G118" s="109"/>
      <c r="H118" s="109"/>
      <c r="I118" s="109"/>
      <c r="J118" s="109"/>
      <c r="K118" s="109"/>
      <c r="L118" s="109"/>
      <c r="M118" s="109"/>
      <c r="N118" s="109"/>
      <c r="O118" s="109"/>
      <c r="P118" s="109" t="s">
        <v>164</v>
      </c>
    </row>
  </sheetData>
  <sheetProtection algorithmName="SHA-512" hashValue="GC8EO7/gszzMGOWjHMw1vrtZiaqZ8nJFUr2W1k+TadYesCRD+76qMpVjxbecIvYKucgCY7iMradTxJa62RqZ6g==" saltValue="Jl2TTUaY0ob8vC50jYi22g==" spinCount="100000" sheet="1" objects="1" scenarios="1"/>
  <protectedRanges>
    <protectedRange algorithmName="SHA-512" hashValue="8ahxLFpE+K1lqBLWxGWpOhbDaiLZlJVsG+nmubgaP2+UbYmDqkTdmwYUqskX/3ppo+p34mc/yM7Dy40P0mQEeA==" saltValue="ohEm+wJL3UUnn/P7XqxB/g==" spinCount="100000" sqref="I35 H1:H35 G69 H37:H68 H70: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FBA1C049-3111-468C-97A2-192B546B8FEE}"/>
    <hyperlink ref="F29" location="V2Quest!A1" display="(Cf. Vecteur 2 - Innovation)" xr:uid="{5F7AA38B-B012-43DE-A8E8-D143C231B77B}"/>
    <hyperlink ref="F45" location="V2Quest!A1" display="(Cf. Vecteur 2 - Innovation)" xr:uid="{9066D050-8987-4980-BB7C-B3255C0BEAAE}"/>
    <hyperlink ref="F61" location="V2Quest!A1" display="(Cf. Vecteur 2 - Innovation)" xr:uid="{B946D674-D397-4F00-8832-2AA57C5D8EB8}"/>
    <hyperlink ref="F79" location="V2Quest!A1" display="(Cf. Vecteur 2 - Innovation)" xr:uid="{9D76CF29-4740-4822-8BA0-E0FA25B29CB1}"/>
    <hyperlink ref="F95" location="V2Quest!A1" display="(Cf. Vecteur 2 - Innovation)" xr:uid="{3A804AFB-36DB-466B-948C-66C00F155A37}"/>
    <hyperlink ref="F111" location="V2Quest!A1" display="(Cf. Vecteur 2 - Innovation)" xr:uid="{86259B94-2402-4480-9D54-B6063D2ED53E}"/>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0769"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160770"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160771" r:id="rId5" name="Option Button 3">
              <controlPr defaultSize="0" autoFill="0" autoLine="0" autoPict="0">
                <anchor moveWithCells="1">
                  <from>
                    <xdr:col>7</xdr:col>
                    <xdr:colOff>114300</xdr:colOff>
                    <xdr:row>12</xdr:row>
                    <xdr:rowOff>662940</xdr:rowOff>
                  </from>
                  <to>
                    <xdr:col>7</xdr:col>
                    <xdr:colOff>1950720</xdr:colOff>
                    <xdr:row>12</xdr:row>
                    <xdr:rowOff>853440</xdr:rowOff>
                  </to>
                </anchor>
              </controlPr>
            </control>
          </mc:Choice>
        </mc:AlternateContent>
        <mc:AlternateContent xmlns:mc="http://schemas.openxmlformats.org/markup-compatibility/2006">
          <mc:Choice Requires="x14">
            <control shapeId="160772"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160773"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60774" r:id="rId8" name="Group Box 6">
              <controlPr defaultSize="0" autoFill="0" autoPict="0" altText="">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60775" r:id="rId9" name="Group Box 7">
              <controlPr defaultSize="0" autoFill="0" autoPict="0">
                <anchor moveWithCells="1">
                  <from>
                    <xdr:col>6</xdr:col>
                    <xdr:colOff>2476500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60776" r:id="rId10"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160777" r:id="rId11" name="Option Button 9">
              <controlPr defaultSize="0" autoFill="0" autoLine="0" autoPict="0">
                <anchor moveWithCells="1">
                  <from>
                    <xdr:col>7</xdr:col>
                    <xdr:colOff>106680</xdr:colOff>
                    <xdr:row>11</xdr:row>
                    <xdr:rowOff>320040</xdr:rowOff>
                  </from>
                  <to>
                    <xdr:col>7</xdr:col>
                    <xdr:colOff>1958340</xdr:colOff>
                    <xdr:row>11</xdr:row>
                    <xdr:rowOff>525780</xdr:rowOff>
                  </to>
                </anchor>
              </controlPr>
            </control>
          </mc:Choice>
        </mc:AlternateContent>
        <mc:AlternateContent xmlns:mc="http://schemas.openxmlformats.org/markup-compatibility/2006">
          <mc:Choice Requires="x14">
            <control shapeId="160778" r:id="rId12" name="Option Button 10">
              <controlPr defaultSize="0" autoFill="0" autoLine="0" autoPict="0">
                <anchor moveWithCells="1">
                  <from>
                    <xdr:col>7</xdr:col>
                    <xdr:colOff>106680</xdr:colOff>
                    <xdr:row>11</xdr:row>
                    <xdr:rowOff>586740</xdr:rowOff>
                  </from>
                  <to>
                    <xdr:col>8</xdr:col>
                    <xdr:colOff>0</xdr:colOff>
                    <xdr:row>11</xdr:row>
                    <xdr:rowOff>762000</xdr:rowOff>
                  </to>
                </anchor>
              </controlPr>
            </control>
          </mc:Choice>
        </mc:AlternateContent>
        <mc:AlternateContent xmlns:mc="http://schemas.openxmlformats.org/markup-compatibility/2006">
          <mc:Choice Requires="x14">
            <control shapeId="160779" r:id="rId13"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160785" r:id="rId14" name="Option Button 17">
              <controlPr defaultSize="0" autoFill="0" autoLine="0" autoPict="0" altText="Case d'option 47">
                <anchor moveWithCells="1">
                  <from>
                    <xdr:col>7</xdr:col>
                    <xdr:colOff>106680</xdr:colOff>
                    <xdr:row>16</xdr:row>
                    <xdr:rowOff>38100</xdr:rowOff>
                  </from>
                  <to>
                    <xdr:col>7</xdr:col>
                    <xdr:colOff>1508760</xdr:colOff>
                    <xdr:row>16</xdr:row>
                    <xdr:rowOff>228600</xdr:rowOff>
                  </to>
                </anchor>
              </controlPr>
            </control>
          </mc:Choice>
        </mc:AlternateContent>
        <mc:AlternateContent xmlns:mc="http://schemas.openxmlformats.org/markup-compatibility/2006">
          <mc:Choice Requires="x14">
            <control shapeId="160786" r:id="rId15" name="Option Button 18">
              <controlPr defaultSize="0" autoFill="0" autoLine="0" autoPict="0">
                <anchor moveWithCells="1">
                  <from>
                    <xdr:col>7</xdr:col>
                    <xdr:colOff>106680</xdr:colOff>
                    <xdr:row>16</xdr:row>
                    <xdr:rowOff>281940</xdr:rowOff>
                  </from>
                  <to>
                    <xdr:col>8</xdr:col>
                    <xdr:colOff>0</xdr:colOff>
                    <xdr:row>16</xdr:row>
                    <xdr:rowOff>480060</xdr:rowOff>
                  </to>
                </anchor>
              </controlPr>
            </control>
          </mc:Choice>
        </mc:AlternateContent>
        <mc:AlternateContent xmlns:mc="http://schemas.openxmlformats.org/markup-compatibility/2006">
          <mc:Choice Requires="x14">
            <control shapeId="160787" r:id="rId16" name="Option Button 19">
              <controlPr defaultSize="0" autoFill="0" autoLine="0" autoPict="0">
                <anchor moveWithCells="1">
                  <from>
                    <xdr:col>7</xdr:col>
                    <xdr:colOff>106680</xdr:colOff>
                    <xdr:row>16</xdr:row>
                    <xdr:rowOff>556260</xdr:rowOff>
                  </from>
                  <to>
                    <xdr:col>8</xdr:col>
                    <xdr:colOff>0</xdr:colOff>
                    <xdr:row>16</xdr:row>
                    <xdr:rowOff>739140</xdr:rowOff>
                  </to>
                </anchor>
              </controlPr>
            </control>
          </mc:Choice>
        </mc:AlternateContent>
        <mc:AlternateContent xmlns:mc="http://schemas.openxmlformats.org/markup-compatibility/2006">
          <mc:Choice Requires="x14">
            <control shapeId="160788" r:id="rId17" name="Option Button 20">
              <controlPr defaultSize="0" autoFill="0" autoLine="0" autoPict="0">
                <anchor moveWithCells="1">
                  <from>
                    <xdr:col>7</xdr:col>
                    <xdr:colOff>106680</xdr:colOff>
                    <xdr:row>16</xdr:row>
                    <xdr:rowOff>807720</xdr:rowOff>
                  </from>
                  <to>
                    <xdr:col>7</xdr:col>
                    <xdr:colOff>937260</xdr:colOff>
                    <xdr:row>16</xdr:row>
                    <xdr:rowOff>998220</xdr:rowOff>
                  </to>
                </anchor>
              </controlPr>
            </control>
          </mc:Choice>
        </mc:AlternateContent>
        <mc:AlternateContent xmlns:mc="http://schemas.openxmlformats.org/markup-compatibility/2006">
          <mc:Choice Requires="x14">
            <control shapeId="160789" r:id="rId18" name="Group Box 21">
              <controlPr defaultSize="0" autoFill="0" autoPict="0">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60790" r:id="rId19" name="Option Button 22">
              <controlPr defaultSize="0" autoFill="0" autoLine="0" autoPict="0">
                <anchor moveWithCells="1">
                  <from>
                    <xdr:col>7</xdr:col>
                    <xdr:colOff>114300</xdr:colOff>
                    <xdr:row>15</xdr:row>
                    <xdr:rowOff>144780</xdr:rowOff>
                  </from>
                  <to>
                    <xdr:col>7</xdr:col>
                    <xdr:colOff>1950720</xdr:colOff>
                    <xdr:row>15</xdr:row>
                    <xdr:rowOff>312420</xdr:rowOff>
                  </to>
                </anchor>
              </controlPr>
            </control>
          </mc:Choice>
        </mc:AlternateContent>
        <mc:AlternateContent xmlns:mc="http://schemas.openxmlformats.org/markup-compatibility/2006">
          <mc:Choice Requires="x14">
            <control shapeId="160791" r:id="rId20" name="Option Button 23">
              <controlPr defaultSize="0" autoFill="0" autoLine="0" autoPict="0">
                <anchor moveWithCells="1">
                  <from>
                    <xdr:col>7</xdr:col>
                    <xdr:colOff>114300</xdr:colOff>
                    <xdr:row>15</xdr:row>
                    <xdr:rowOff>388620</xdr:rowOff>
                  </from>
                  <to>
                    <xdr:col>7</xdr:col>
                    <xdr:colOff>1950720</xdr:colOff>
                    <xdr:row>15</xdr:row>
                    <xdr:rowOff>579120</xdr:rowOff>
                  </to>
                </anchor>
              </controlPr>
            </control>
          </mc:Choice>
        </mc:AlternateContent>
        <mc:AlternateContent xmlns:mc="http://schemas.openxmlformats.org/markup-compatibility/2006">
          <mc:Choice Requires="x14">
            <control shapeId="160792" r:id="rId21" name="Option Button 24">
              <controlPr defaultSize="0" autoFill="0" autoLine="0" autoPict="0">
                <anchor moveWithCells="1">
                  <from>
                    <xdr:col>7</xdr:col>
                    <xdr:colOff>114300</xdr:colOff>
                    <xdr:row>15</xdr:row>
                    <xdr:rowOff>647700</xdr:rowOff>
                  </from>
                  <to>
                    <xdr:col>7</xdr:col>
                    <xdr:colOff>1950720</xdr:colOff>
                    <xdr:row>15</xdr:row>
                    <xdr:rowOff>838200</xdr:rowOff>
                  </to>
                </anchor>
              </controlPr>
            </control>
          </mc:Choice>
        </mc:AlternateContent>
        <mc:AlternateContent xmlns:mc="http://schemas.openxmlformats.org/markup-compatibility/2006">
          <mc:Choice Requires="x14">
            <control shapeId="160793" r:id="rId22" name="Option Button 25">
              <controlPr defaultSize="0" autoFill="0" autoLine="0" autoPict="0">
                <anchor moveWithCells="1">
                  <from>
                    <xdr:col>7</xdr:col>
                    <xdr:colOff>114300</xdr:colOff>
                    <xdr:row>15</xdr:row>
                    <xdr:rowOff>906780</xdr:rowOff>
                  </from>
                  <to>
                    <xdr:col>7</xdr:col>
                    <xdr:colOff>1950720</xdr:colOff>
                    <xdr:row>15</xdr:row>
                    <xdr:rowOff>1097280</xdr:rowOff>
                  </to>
                </anchor>
              </controlPr>
            </control>
          </mc:Choice>
        </mc:AlternateContent>
        <mc:AlternateContent xmlns:mc="http://schemas.openxmlformats.org/markup-compatibility/2006">
          <mc:Choice Requires="x14">
            <control shapeId="160794" r:id="rId23"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60795" r:id="rId24" name="Option Button 27">
              <controlPr defaultSize="0" autoFill="0" autoLine="0" autoPict="0" altText="Case d'option 47">
                <anchor moveWithCells="1">
                  <from>
                    <xdr:col>7</xdr:col>
                    <xdr:colOff>106680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160796" r:id="rId25" name="Option Button 28">
              <controlPr defaultSize="0" autoFill="0" autoLine="0" autoPict="0">
                <anchor moveWithCells="1">
                  <from>
                    <xdr:col>7</xdr:col>
                    <xdr:colOff>106680</xdr:colOff>
                    <xdr:row>14</xdr:row>
                    <xdr:rowOff>320040</xdr:rowOff>
                  </from>
                  <to>
                    <xdr:col>7</xdr:col>
                    <xdr:colOff>1950720</xdr:colOff>
                    <xdr:row>14</xdr:row>
                    <xdr:rowOff>525780</xdr:rowOff>
                  </to>
                </anchor>
              </controlPr>
            </control>
          </mc:Choice>
        </mc:AlternateContent>
        <mc:AlternateContent xmlns:mc="http://schemas.openxmlformats.org/markup-compatibility/2006">
          <mc:Choice Requires="x14">
            <control shapeId="160797" r:id="rId26" name="Option Button 29">
              <controlPr defaultSize="0" autoFill="0" autoLine="0" autoPict="0">
                <anchor moveWithCells="1">
                  <from>
                    <xdr:col>7</xdr:col>
                    <xdr:colOff>106680</xdr:colOff>
                    <xdr:row>14</xdr:row>
                    <xdr:rowOff>586740</xdr:rowOff>
                  </from>
                  <to>
                    <xdr:col>7</xdr:col>
                    <xdr:colOff>1958340</xdr:colOff>
                    <xdr:row>14</xdr:row>
                    <xdr:rowOff>762000</xdr:rowOff>
                  </to>
                </anchor>
              </controlPr>
            </control>
          </mc:Choice>
        </mc:AlternateContent>
        <mc:AlternateContent xmlns:mc="http://schemas.openxmlformats.org/markup-compatibility/2006">
          <mc:Choice Requires="x14">
            <control shapeId="160798" r:id="rId27" name="Option Button 30">
              <controlPr defaultSize="0" autoFill="0" autoLine="0" autoPict="0">
                <anchor moveWithCells="1">
                  <from>
                    <xdr:col>7</xdr:col>
                    <xdr:colOff>106680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160799" r:id="rId28"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60800" r:id="rId29"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160801" r:id="rId30" name="Option Button 33">
              <controlPr defaultSize="0" autoFill="0" autoLine="0" autoPict="0">
                <anchor moveWithCells="1">
                  <from>
                    <xdr:col>7</xdr:col>
                    <xdr:colOff>106680</xdr:colOff>
                    <xdr:row>13</xdr:row>
                    <xdr:rowOff>320040</xdr:rowOff>
                  </from>
                  <to>
                    <xdr:col>7</xdr:col>
                    <xdr:colOff>1950720</xdr:colOff>
                    <xdr:row>13</xdr:row>
                    <xdr:rowOff>518160</xdr:rowOff>
                  </to>
                </anchor>
              </controlPr>
            </control>
          </mc:Choice>
        </mc:AlternateContent>
        <mc:AlternateContent xmlns:mc="http://schemas.openxmlformats.org/markup-compatibility/2006">
          <mc:Choice Requires="x14">
            <control shapeId="160802" r:id="rId31" name="Option Button 34">
              <controlPr defaultSize="0" autoFill="0" autoLine="0" autoPict="0">
                <anchor moveWithCells="1">
                  <from>
                    <xdr:col>7</xdr:col>
                    <xdr:colOff>106680</xdr:colOff>
                    <xdr:row>13</xdr:row>
                    <xdr:rowOff>586740</xdr:rowOff>
                  </from>
                  <to>
                    <xdr:col>7</xdr:col>
                    <xdr:colOff>1958340</xdr:colOff>
                    <xdr:row>13</xdr:row>
                    <xdr:rowOff>762000</xdr:rowOff>
                  </to>
                </anchor>
              </controlPr>
            </control>
          </mc:Choice>
        </mc:AlternateContent>
        <mc:AlternateContent xmlns:mc="http://schemas.openxmlformats.org/markup-compatibility/2006">
          <mc:Choice Requires="x14">
            <control shapeId="160803" r:id="rId32"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60804" r:id="rId33"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60805" r:id="rId34"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60806" r:id="rId35"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60807" r:id="rId36"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60808" r:id="rId37"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60809" r:id="rId38"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60821" r:id="rId39" name="Option Button 53">
              <controlPr defaultSize="0" autoFill="0" autoLine="0" autoPict="0">
                <anchor moveWithCells="1">
                  <from>
                    <xdr:col>7</xdr:col>
                    <xdr:colOff>114300</xdr:colOff>
                    <xdr:row>31</xdr:row>
                    <xdr:rowOff>144780</xdr:rowOff>
                  </from>
                  <to>
                    <xdr:col>7</xdr:col>
                    <xdr:colOff>1950720</xdr:colOff>
                    <xdr:row>31</xdr:row>
                    <xdr:rowOff>320040</xdr:rowOff>
                  </to>
                </anchor>
              </controlPr>
            </control>
          </mc:Choice>
        </mc:AlternateContent>
        <mc:AlternateContent xmlns:mc="http://schemas.openxmlformats.org/markup-compatibility/2006">
          <mc:Choice Requires="x14">
            <control shapeId="160822" r:id="rId40" name="Option Button 54">
              <controlPr defaultSize="0" autoFill="0" autoLine="0" autoPict="0">
                <anchor moveWithCells="1">
                  <from>
                    <xdr:col>7</xdr:col>
                    <xdr:colOff>114300</xdr:colOff>
                    <xdr:row>31</xdr:row>
                    <xdr:rowOff>396240</xdr:rowOff>
                  </from>
                  <to>
                    <xdr:col>7</xdr:col>
                    <xdr:colOff>1950720</xdr:colOff>
                    <xdr:row>31</xdr:row>
                    <xdr:rowOff>586740</xdr:rowOff>
                  </to>
                </anchor>
              </controlPr>
            </control>
          </mc:Choice>
        </mc:AlternateContent>
        <mc:AlternateContent xmlns:mc="http://schemas.openxmlformats.org/markup-compatibility/2006">
          <mc:Choice Requires="x14">
            <control shapeId="160823" r:id="rId41" name="Option Button 55">
              <controlPr defaultSize="0" autoFill="0" autoLine="0" autoPict="0">
                <anchor moveWithCells="1">
                  <from>
                    <xdr:col>7</xdr:col>
                    <xdr:colOff>114300</xdr:colOff>
                    <xdr:row>31</xdr:row>
                    <xdr:rowOff>640080</xdr:rowOff>
                  </from>
                  <to>
                    <xdr:col>7</xdr:col>
                    <xdr:colOff>1950720</xdr:colOff>
                    <xdr:row>31</xdr:row>
                    <xdr:rowOff>830580</xdr:rowOff>
                  </to>
                </anchor>
              </controlPr>
            </control>
          </mc:Choice>
        </mc:AlternateContent>
        <mc:AlternateContent xmlns:mc="http://schemas.openxmlformats.org/markup-compatibility/2006">
          <mc:Choice Requires="x14">
            <control shapeId="160824" r:id="rId42" name="Option Button 56">
              <controlPr defaultSize="0" autoFill="0" autoLine="0" autoPict="0">
                <anchor moveWithCells="1">
                  <from>
                    <xdr:col>7</xdr:col>
                    <xdr:colOff>114300</xdr:colOff>
                    <xdr:row>31</xdr:row>
                    <xdr:rowOff>922020</xdr:rowOff>
                  </from>
                  <to>
                    <xdr:col>7</xdr:col>
                    <xdr:colOff>1950720</xdr:colOff>
                    <xdr:row>31</xdr:row>
                    <xdr:rowOff>1112520</xdr:rowOff>
                  </to>
                </anchor>
              </controlPr>
            </control>
          </mc:Choice>
        </mc:AlternateContent>
        <mc:AlternateContent xmlns:mc="http://schemas.openxmlformats.org/markup-compatibility/2006">
          <mc:Choice Requires="x14">
            <control shapeId="160825" r:id="rId43"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60826" r:id="rId44"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160827" r:id="rId45" name="Option Button 59">
              <controlPr defaultSize="0" autoFill="0" autoLine="0" autoPict="0">
                <anchor moveWithCells="1">
                  <from>
                    <xdr:col>7</xdr:col>
                    <xdr:colOff>106680</xdr:colOff>
                    <xdr:row>30</xdr:row>
                    <xdr:rowOff>304800</xdr:rowOff>
                  </from>
                  <to>
                    <xdr:col>8</xdr:col>
                    <xdr:colOff>0</xdr:colOff>
                    <xdr:row>30</xdr:row>
                    <xdr:rowOff>502920</xdr:rowOff>
                  </to>
                </anchor>
              </controlPr>
            </control>
          </mc:Choice>
        </mc:AlternateContent>
        <mc:AlternateContent xmlns:mc="http://schemas.openxmlformats.org/markup-compatibility/2006">
          <mc:Choice Requires="x14">
            <control shapeId="160828" r:id="rId46" name="Option Button 60">
              <controlPr defaultSize="0" autoFill="0" autoLine="0" autoPict="0">
                <anchor moveWithCells="1">
                  <from>
                    <xdr:col>7</xdr:col>
                    <xdr:colOff>106680</xdr:colOff>
                    <xdr:row>30</xdr:row>
                    <xdr:rowOff>579120</xdr:rowOff>
                  </from>
                  <to>
                    <xdr:col>8</xdr:col>
                    <xdr:colOff>0</xdr:colOff>
                    <xdr:row>30</xdr:row>
                    <xdr:rowOff>754380</xdr:rowOff>
                  </to>
                </anchor>
              </controlPr>
            </control>
          </mc:Choice>
        </mc:AlternateContent>
        <mc:AlternateContent xmlns:mc="http://schemas.openxmlformats.org/markup-compatibility/2006">
          <mc:Choice Requires="x14">
            <control shapeId="160829" r:id="rId47" name="Option Button 61">
              <controlPr defaultSize="0" autoFill="0" autoLine="0" autoPict="0">
                <anchor moveWithCells="1">
                  <from>
                    <xdr:col>7</xdr:col>
                    <xdr:colOff>106680</xdr:colOff>
                    <xdr:row>30</xdr:row>
                    <xdr:rowOff>822960</xdr:rowOff>
                  </from>
                  <to>
                    <xdr:col>7</xdr:col>
                    <xdr:colOff>937260</xdr:colOff>
                    <xdr:row>30</xdr:row>
                    <xdr:rowOff>1005840</xdr:rowOff>
                  </to>
                </anchor>
              </controlPr>
            </control>
          </mc:Choice>
        </mc:AlternateContent>
        <mc:AlternateContent xmlns:mc="http://schemas.openxmlformats.org/markup-compatibility/2006">
          <mc:Choice Requires="x14">
            <control shapeId="160830" r:id="rId48" name="Group Box 62">
              <controlPr defaultSize="0" autoFill="0" autoPict="0">
                <anchor moveWithCells="1">
                  <from>
                    <xdr:col>7</xdr:col>
                    <xdr:colOff>0</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60831" r:id="rId49"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60832" r:id="rId50"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60833" r:id="rId51"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60834" r:id="rId52"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60835" r:id="rId53"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60836" r:id="rId54"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160837" r:id="rId55"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60838" r:id="rId56" name="Option Button 70">
              <controlPr defaultSize="0" autoFill="0" autoLine="0" autoPict="0">
                <anchor moveWithCells="1">
                  <from>
                    <xdr:col>7</xdr:col>
                    <xdr:colOff>106680</xdr:colOff>
                    <xdr:row>43</xdr:row>
                    <xdr:rowOff>579120</xdr:rowOff>
                  </from>
                  <to>
                    <xdr:col>7</xdr:col>
                    <xdr:colOff>1958340</xdr:colOff>
                    <xdr:row>43</xdr:row>
                    <xdr:rowOff>754380</xdr:rowOff>
                  </to>
                </anchor>
              </controlPr>
            </control>
          </mc:Choice>
        </mc:AlternateContent>
        <mc:AlternateContent xmlns:mc="http://schemas.openxmlformats.org/markup-compatibility/2006">
          <mc:Choice Requires="x14">
            <control shapeId="160839" r:id="rId57"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60840" r:id="rId58"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60841" r:id="rId59" name="Option Button 73">
              <controlPr defaultSize="0" autoFill="0" autoLine="0" autoPict="0">
                <anchor moveWithCells="1">
                  <from>
                    <xdr:col>7</xdr:col>
                    <xdr:colOff>114300</xdr:colOff>
                    <xdr:row>44</xdr:row>
                    <xdr:rowOff>167640</xdr:rowOff>
                  </from>
                  <to>
                    <xdr:col>7</xdr:col>
                    <xdr:colOff>1950720</xdr:colOff>
                    <xdr:row>44</xdr:row>
                    <xdr:rowOff>373380</xdr:rowOff>
                  </to>
                </anchor>
              </controlPr>
            </control>
          </mc:Choice>
        </mc:AlternateContent>
        <mc:AlternateContent xmlns:mc="http://schemas.openxmlformats.org/markup-compatibility/2006">
          <mc:Choice Requires="x14">
            <control shapeId="160842" r:id="rId60" name="Option Button 74">
              <controlPr defaultSize="0" autoFill="0" autoLine="0" autoPict="0">
                <anchor moveWithCells="1">
                  <from>
                    <xdr:col>7</xdr:col>
                    <xdr:colOff>114300</xdr:colOff>
                    <xdr:row>44</xdr:row>
                    <xdr:rowOff>457200</xdr:rowOff>
                  </from>
                  <to>
                    <xdr:col>7</xdr:col>
                    <xdr:colOff>1950720</xdr:colOff>
                    <xdr:row>44</xdr:row>
                    <xdr:rowOff>678180</xdr:rowOff>
                  </to>
                </anchor>
              </controlPr>
            </control>
          </mc:Choice>
        </mc:AlternateContent>
        <mc:AlternateContent xmlns:mc="http://schemas.openxmlformats.org/markup-compatibility/2006">
          <mc:Choice Requires="x14">
            <control shapeId="160843" r:id="rId61" name="Option Button 75">
              <controlPr defaultSize="0" autoFill="0" autoLine="0" autoPict="0">
                <anchor moveWithCells="1">
                  <from>
                    <xdr:col>7</xdr:col>
                    <xdr:colOff>114300</xdr:colOff>
                    <xdr:row>44</xdr:row>
                    <xdr:rowOff>746760</xdr:rowOff>
                  </from>
                  <to>
                    <xdr:col>7</xdr:col>
                    <xdr:colOff>1950720</xdr:colOff>
                    <xdr:row>44</xdr:row>
                    <xdr:rowOff>967740</xdr:rowOff>
                  </to>
                </anchor>
              </controlPr>
            </control>
          </mc:Choice>
        </mc:AlternateContent>
        <mc:AlternateContent xmlns:mc="http://schemas.openxmlformats.org/markup-compatibility/2006">
          <mc:Choice Requires="x14">
            <control shapeId="160844" r:id="rId62" name="Option Button 76">
              <controlPr defaultSize="0" autoFill="0" autoLine="0" autoPict="0">
                <anchor moveWithCells="1">
                  <from>
                    <xdr:col>7</xdr:col>
                    <xdr:colOff>114300</xdr:colOff>
                    <xdr:row>44</xdr:row>
                    <xdr:rowOff>1074420</xdr:rowOff>
                  </from>
                  <to>
                    <xdr:col>7</xdr:col>
                    <xdr:colOff>1950720</xdr:colOff>
                    <xdr:row>44</xdr:row>
                    <xdr:rowOff>1295400</xdr:rowOff>
                  </to>
                </anchor>
              </controlPr>
            </control>
          </mc:Choice>
        </mc:AlternateContent>
        <mc:AlternateContent xmlns:mc="http://schemas.openxmlformats.org/markup-compatibility/2006">
          <mc:Choice Requires="x14">
            <control shapeId="160845" r:id="rId63"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60846" r:id="rId64"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160847" r:id="rId65" name="Option Button 79">
              <controlPr defaultSize="0" autoFill="0" autoLine="0" autoPict="0">
                <anchor moveWithCells="1">
                  <from>
                    <xdr:col>7</xdr:col>
                    <xdr:colOff>106680</xdr:colOff>
                    <xdr:row>46</xdr:row>
                    <xdr:rowOff>281940</xdr:rowOff>
                  </from>
                  <to>
                    <xdr:col>7</xdr:col>
                    <xdr:colOff>1950720</xdr:colOff>
                    <xdr:row>46</xdr:row>
                    <xdr:rowOff>464820</xdr:rowOff>
                  </to>
                </anchor>
              </controlPr>
            </control>
          </mc:Choice>
        </mc:AlternateContent>
        <mc:AlternateContent xmlns:mc="http://schemas.openxmlformats.org/markup-compatibility/2006">
          <mc:Choice Requires="x14">
            <control shapeId="160848" r:id="rId66" name="Option Button 80">
              <controlPr defaultSize="0" autoFill="0" autoLine="0" autoPict="0">
                <anchor moveWithCells="1">
                  <from>
                    <xdr:col>7</xdr:col>
                    <xdr:colOff>106680</xdr:colOff>
                    <xdr:row>46</xdr:row>
                    <xdr:rowOff>533400</xdr:rowOff>
                  </from>
                  <to>
                    <xdr:col>7</xdr:col>
                    <xdr:colOff>1958340</xdr:colOff>
                    <xdr:row>46</xdr:row>
                    <xdr:rowOff>693420</xdr:rowOff>
                  </to>
                </anchor>
              </controlPr>
            </control>
          </mc:Choice>
        </mc:AlternateContent>
        <mc:AlternateContent xmlns:mc="http://schemas.openxmlformats.org/markup-compatibility/2006">
          <mc:Choice Requires="x14">
            <control shapeId="160849" r:id="rId67"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160850" r:id="rId68"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160851" r:id="rId69"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160852" r:id="rId70"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60853" r:id="rId71"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160854" r:id="rId72"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60855" r:id="rId73"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60856" r:id="rId74"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60857" r:id="rId75"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60858" r:id="rId76"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60859" r:id="rId77"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60860" r:id="rId78"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60861" r:id="rId79"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60862" r:id="rId80"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60863" r:id="rId81"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60864" r:id="rId82"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60865" r:id="rId83"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60867" r:id="rId84" name="Option Button 99">
              <controlPr defaultSize="0" autoFill="0" autoLine="0" autoPict="0">
                <anchor moveWithCells="1">
                  <from>
                    <xdr:col>7</xdr:col>
                    <xdr:colOff>114300</xdr:colOff>
                    <xdr:row>63</xdr:row>
                    <xdr:rowOff>144780</xdr:rowOff>
                  </from>
                  <to>
                    <xdr:col>7</xdr:col>
                    <xdr:colOff>1950720</xdr:colOff>
                    <xdr:row>63</xdr:row>
                    <xdr:rowOff>320040</xdr:rowOff>
                  </to>
                </anchor>
              </controlPr>
            </control>
          </mc:Choice>
        </mc:AlternateContent>
        <mc:AlternateContent xmlns:mc="http://schemas.openxmlformats.org/markup-compatibility/2006">
          <mc:Choice Requires="x14">
            <control shapeId="160868" r:id="rId85" name="Option Button 100">
              <controlPr defaultSize="0" autoFill="0" autoLine="0" autoPict="0">
                <anchor moveWithCells="1">
                  <from>
                    <xdr:col>7</xdr:col>
                    <xdr:colOff>114300</xdr:colOff>
                    <xdr:row>63</xdr:row>
                    <xdr:rowOff>396240</xdr:rowOff>
                  </from>
                  <to>
                    <xdr:col>7</xdr:col>
                    <xdr:colOff>1950720</xdr:colOff>
                    <xdr:row>63</xdr:row>
                    <xdr:rowOff>586740</xdr:rowOff>
                  </to>
                </anchor>
              </controlPr>
            </control>
          </mc:Choice>
        </mc:AlternateContent>
        <mc:AlternateContent xmlns:mc="http://schemas.openxmlformats.org/markup-compatibility/2006">
          <mc:Choice Requires="x14">
            <control shapeId="160869" r:id="rId86" name="Option Button 101">
              <controlPr defaultSize="0" autoFill="0" autoLine="0" autoPict="0">
                <anchor moveWithCells="1">
                  <from>
                    <xdr:col>7</xdr:col>
                    <xdr:colOff>114300</xdr:colOff>
                    <xdr:row>63</xdr:row>
                    <xdr:rowOff>640080</xdr:rowOff>
                  </from>
                  <to>
                    <xdr:col>7</xdr:col>
                    <xdr:colOff>1950720</xdr:colOff>
                    <xdr:row>63</xdr:row>
                    <xdr:rowOff>830580</xdr:rowOff>
                  </to>
                </anchor>
              </controlPr>
            </control>
          </mc:Choice>
        </mc:AlternateContent>
        <mc:AlternateContent xmlns:mc="http://schemas.openxmlformats.org/markup-compatibility/2006">
          <mc:Choice Requires="x14">
            <control shapeId="160870" r:id="rId87" name="Option Button 102">
              <controlPr defaultSize="0" autoFill="0" autoLine="0" autoPict="0">
                <anchor moveWithCells="1">
                  <from>
                    <xdr:col>7</xdr:col>
                    <xdr:colOff>114300</xdr:colOff>
                    <xdr:row>63</xdr:row>
                    <xdr:rowOff>922020</xdr:rowOff>
                  </from>
                  <to>
                    <xdr:col>7</xdr:col>
                    <xdr:colOff>1950720</xdr:colOff>
                    <xdr:row>63</xdr:row>
                    <xdr:rowOff>1112520</xdr:rowOff>
                  </to>
                </anchor>
              </controlPr>
            </control>
          </mc:Choice>
        </mc:AlternateContent>
        <mc:AlternateContent xmlns:mc="http://schemas.openxmlformats.org/markup-compatibility/2006">
          <mc:Choice Requires="x14">
            <control shapeId="160871" r:id="rId88"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60872" r:id="rId89"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160873" r:id="rId90"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60874" r:id="rId91"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160875" r:id="rId92"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60876" r:id="rId93"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60877" r:id="rId94" name="Option Button 109">
              <controlPr defaultSize="0" autoFill="0" autoLine="0" autoPict="0" altText="Case d'option 47">
                <anchor moveWithCells="1">
                  <from>
                    <xdr:col>7</xdr:col>
                    <xdr:colOff>106680</xdr:colOff>
                    <xdr:row>61</xdr:row>
                    <xdr:rowOff>99060</xdr:rowOff>
                  </from>
                  <to>
                    <xdr:col>7</xdr:col>
                    <xdr:colOff>1501140</xdr:colOff>
                    <xdr:row>61</xdr:row>
                    <xdr:rowOff>381000</xdr:rowOff>
                  </to>
                </anchor>
              </controlPr>
            </control>
          </mc:Choice>
        </mc:AlternateContent>
        <mc:AlternateContent xmlns:mc="http://schemas.openxmlformats.org/markup-compatibility/2006">
          <mc:Choice Requires="x14">
            <control shapeId="160878" r:id="rId95" name="Option Button 110">
              <controlPr defaultSize="0" autoFill="0" autoLine="0" autoPict="0">
                <anchor moveWithCells="1">
                  <from>
                    <xdr:col>7</xdr:col>
                    <xdr:colOff>106680</xdr:colOff>
                    <xdr:row>61</xdr:row>
                    <xdr:rowOff>373380</xdr:rowOff>
                  </from>
                  <to>
                    <xdr:col>7</xdr:col>
                    <xdr:colOff>1950720</xdr:colOff>
                    <xdr:row>61</xdr:row>
                    <xdr:rowOff>670560</xdr:rowOff>
                  </to>
                </anchor>
              </controlPr>
            </control>
          </mc:Choice>
        </mc:AlternateContent>
        <mc:AlternateContent xmlns:mc="http://schemas.openxmlformats.org/markup-compatibility/2006">
          <mc:Choice Requires="x14">
            <control shapeId="160879" r:id="rId96" name="Option Button 111">
              <controlPr defaultSize="0" autoFill="0" autoLine="0" autoPict="0">
                <anchor moveWithCells="1">
                  <from>
                    <xdr:col>7</xdr:col>
                    <xdr:colOff>106680</xdr:colOff>
                    <xdr:row>61</xdr:row>
                    <xdr:rowOff>655320</xdr:rowOff>
                  </from>
                  <to>
                    <xdr:col>7</xdr:col>
                    <xdr:colOff>1958340</xdr:colOff>
                    <xdr:row>61</xdr:row>
                    <xdr:rowOff>914400</xdr:rowOff>
                  </to>
                </anchor>
              </controlPr>
            </control>
          </mc:Choice>
        </mc:AlternateContent>
        <mc:AlternateContent xmlns:mc="http://schemas.openxmlformats.org/markup-compatibility/2006">
          <mc:Choice Requires="x14">
            <control shapeId="160880" r:id="rId97" name="Option Button 112">
              <controlPr defaultSize="0" autoFill="0" autoLine="0" autoPict="0">
                <anchor moveWithCells="1">
                  <from>
                    <xdr:col>7</xdr:col>
                    <xdr:colOff>106680</xdr:colOff>
                    <xdr:row>61</xdr:row>
                    <xdr:rowOff>906780</xdr:rowOff>
                  </from>
                  <to>
                    <xdr:col>7</xdr:col>
                    <xdr:colOff>937260</xdr:colOff>
                    <xdr:row>61</xdr:row>
                    <xdr:rowOff>1173480</xdr:rowOff>
                  </to>
                </anchor>
              </controlPr>
            </control>
          </mc:Choice>
        </mc:AlternateContent>
        <mc:AlternateContent xmlns:mc="http://schemas.openxmlformats.org/markup-compatibility/2006">
          <mc:Choice Requires="x14">
            <control shapeId="160881" r:id="rId98"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60887" r:id="rId99"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160888" r:id="rId100"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160889" r:id="rId101"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160890" r:id="rId102"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160891" r:id="rId103"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60892" r:id="rId104"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160893" r:id="rId105"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160894" r:id="rId106" name="Option Button 126">
              <controlPr defaultSize="0" autoFill="0" autoLine="0" autoPict="0">
                <anchor moveWithCells="1">
                  <from>
                    <xdr:col>7</xdr:col>
                    <xdr:colOff>106680</xdr:colOff>
                    <xdr:row>77</xdr:row>
                    <xdr:rowOff>579120</xdr:rowOff>
                  </from>
                  <to>
                    <xdr:col>7</xdr:col>
                    <xdr:colOff>1958340</xdr:colOff>
                    <xdr:row>77</xdr:row>
                    <xdr:rowOff>754380</xdr:rowOff>
                  </to>
                </anchor>
              </controlPr>
            </control>
          </mc:Choice>
        </mc:AlternateContent>
        <mc:AlternateContent xmlns:mc="http://schemas.openxmlformats.org/markup-compatibility/2006">
          <mc:Choice Requires="x14">
            <control shapeId="160895" r:id="rId107"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160896" r:id="rId108"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60897" r:id="rId109" name="Option Button 129">
              <controlPr defaultSize="0" autoFill="0" autoLine="0" autoPict="0">
                <anchor moveWithCells="1">
                  <from>
                    <xdr:col>7</xdr:col>
                    <xdr:colOff>114300</xdr:colOff>
                    <xdr:row>81</xdr:row>
                    <xdr:rowOff>144780</xdr:rowOff>
                  </from>
                  <to>
                    <xdr:col>7</xdr:col>
                    <xdr:colOff>1950720</xdr:colOff>
                    <xdr:row>81</xdr:row>
                    <xdr:rowOff>320040</xdr:rowOff>
                  </to>
                </anchor>
              </controlPr>
            </control>
          </mc:Choice>
        </mc:AlternateContent>
        <mc:AlternateContent xmlns:mc="http://schemas.openxmlformats.org/markup-compatibility/2006">
          <mc:Choice Requires="x14">
            <control shapeId="160898" r:id="rId110" name="Option Button 130">
              <controlPr defaultSize="0" autoFill="0" autoLine="0" autoPict="0">
                <anchor moveWithCells="1">
                  <from>
                    <xdr:col>7</xdr:col>
                    <xdr:colOff>114300</xdr:colOff>
                    <xdr:row>81</xdr:row>
                    <xdr:rowOff>396240</xdr:rowOff>
                  </from>
                  <to>
                    <xdr:col>7</xdr:col>
                    <xdr:colOff>1950720</xdr:colOff>
                    <xdr:row>81</xdr:row>
                    <xdr:rowOff>586740</xdr:rowOff>
                  </to>
                </anchor>
              </controlPr>
            </control>
          </mc:Choice>
        </mc:AlternateContent>
        <mc:AlternateContent xmlns:mc="http://schemas.openxmlformats.org/markup-compatibility/2006">
          <mc:Choice Requires="x14">
            <control shapeId="160899" r:id="rId111" name="Option Button 131">
              <controlPr defaultSize="0" autoFill="0" autoLine="0" autoPict="0">
                <anchor moveWithCells="1">
                  <from>
                    <xdr:col>7</xdr:col>
                    <xdr:colOff>114300</xdr:colOff>
                    <xdr:row>81</xdr:row>
                    <xdr:rowOff>640080</xdr:rowOff>
                  </from>
                  <to>
                    <xdr:col>7</xdr:col>
                    <xdr:colOff>1950720</xdr:colOff>
                    <xdr:row>81</xdr:row>
                    <xdr:rowOff>830580</xdr:rowOff>
                  </to>
                </anchor>
              </controlPr>
            </control>
          </mc:Choice>
        </mc:AlternateContent>
        <mc:AlternateContent xmlns:mc="http://schemas.openxmlformats.org/markup-compatibility/2006">
          <mc:Choice Requires="x14">
            <control shapeId="160900" r:id="rId112" name="Option Button 132">
              <controlPr defaultSize="0" autoFill="0" autoLine="0" autoPict="0">
                <anchor moveWithCells="1">
                  <from>
                    <xdr:col>7</xdr:col>
                    <xdr:colOff>114300</xdr:colOff>
                    <xdr:row>81</xdr:row>
                    <xdr:rowOff>922020</xdr:rowOff>
                  </from>
                  <to>
                    <xdr:col>7</xdr:col>
                    <xdr:colOff>1950720</xdr:colOff>
                    <xdr:row>81</xdr:row>
                    <xdr:rowOff>1112520</xdr:rowOff>
                  </to>
                </anchor>
              </controlPr>
            </control>
          </mc:Choice>
        </mc:AlternateContent>
        <mc:AlternateContent xmlns:mc="http://schemas.openxmlformats.org/markup-compatibility/2006">
          <mc:Choice Requires="x14">
            <control shapeId="160901" r:id="rId113"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160902" r:id="rId114" name="Option Button 134">
              <controlPr defaultSize="0" autoFill="0" autoLine="0" autoPict="0" altText="Case d'option 47">
                <anchor moveWithCells="1">
                  <from>
                    <xdr:col>7</xdr:col>
                    <xdr:colOff>106680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160903" r:id="rId115"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160904" r:id="rId116" name="Option Button 136">
              <controlPr defaultSize="0" autoFill="0" autoLine="0" autoPict="0">
                <anchor moveWithCells="1">
                  <from>
                    <xdr:col>7</xdr:col>
                    <xdr:colOff>106680</xdr:colOff>
                    <xdr:row>80</xdr:row>
                    <xdr:rowOff>579120</xdr:rowOff>
                  </from>
                  <to>
                    <xdr:col>7</xdr:col>
                    <xdr:colOff>1958340</xdr:colOff>
                    <xdr:row>80</xdr:row>
                    <xdr:rowOff>754380</xdr:rowOff>
                  </to>
                </anchor>
              </controlPr>
            </control>
          </mc:Choice>
        </mc:AlternateContent>
        <mc:AlternateContent xmlns:mc="http://schemas.openxmlformats.org/markup-compatibility/2006">
          <mc:Choice Requires="x14">
            <control shapeId="160905" r:id="rId117"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160906" r:id="rId118"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160907" r:id="rId119"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160908" r:id="rId120"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160909" r:id="rId121" name="Option Button 141">
              <controlPr defaultSize="0" autoFill="0" autoLine="0" autoPict="0">
                <anchor moveWithCells="1">
                  <from>
                    <xdr:col>7</xdr:col>
                    <xdr:colOff>106680</xdr:colOff>
                    <xdr:row>79</xdr:row>
                    <xdr:rowOff>579120</xdr:rowOff>
                  </from>
                  <to>
                    <xdr:col>7</xdr:col>
                    <xdr:colOff>1958340</xdr:colOff>
                    <xdr:row>79</xdr:row>
                    <xdr:rowOff>754380</xdr:rowOff>
                  </to>
                </anchor>
              </controlPr>
            </control>
          </mc:Choice>
        </mc:AlternateContent>
        <mc:AlternateContent xmlns:mc="http://schemas.openxmlformats.org/markup-compatibility/2006">
          <mc:Choice Requires="x14">
            <control shapeId="160910" r:id="rId122"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160911" r:id="rId123"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1" r:id="rId124"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24" r:id="rId125"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60915" r:id="rId126"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60916" r:id="rId127"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60917" r:id="rId128"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60923" r:id="rId129" name="Option Button 155">
              <controlPr defaultSize="0" autoFill="0" autoLine="0" autoPict="0" altText="Case d'option 47">
                <anchor moveWithCells="1">
                  <from>
                    <xdr:col>7</xdr:col>
                    <xdr:colOff>106680</xdr:colOff>
                    <xdr:row>47</xdr:row>
                    <xdr:rowOff>91440</xdr:rowOff>
                  </from>
                  <to>
                    <xdr:col>7</xdr:col>
                    <xdr:colOff>1501140</xdr:colOff>
                    <xdr:row>47</xdr:row>
                    <xdr:rowOff>358140</xdr:rowOff>
                  </to>
                </anchor>
              </controlPr>
            </control>
          </mc:Choice>
        </mc:AlternateContent>
        <mc:AlternateContent xmlns:mc="http://schemas.openxmlformats.org/markup-compatibility/2006">
          <mc:Choice Requires="x14">
            <control shapeId="160924" r:id="rId130" name="Option Button 156">
              <controlPr defaultSize="0" autoFill="0" autoLine="0" autoPict="0">
                <anchor moveWithCells="1">
                  <from>
                    <xdr:col>7</xdr:col>
                    <xdr:colOff>106680</xdr:colOff>
                    <xdr:row>47</xdr:row>
                    <xdr:rowOff>381000</xdr:rowOff>
                  </from>
                  <to>
                    <xdr:col>7</xdr:col>
                    <xdr:colOff>1950720</xdr:colOff>
                    <xdr:row>47</xdr:row>
                    <xdr:rowOff>647700</xdr:rowOff>
                  </to>
                </anchor>
              </controlPr>
            </control>
          </mc:Choice>
        </mc:AlternateContent>
        <mc:AlternateContent xmlns:mc="http://schemas.openxmlformats.org/markup-compatibility/2006">
          <mc:Choice Requires="x14">
            <control shapeId="160925" r:id="rId131" name="Option Button 157">
              <controlPr defaultSize="0" autoFill="0" autoLine="0" autoPict="0">
                <anchor moveWithCells="1">
                  <from>
                    <xdr:col>7</xdr:col>
                    <xdr:colOff>106680</xdr:colOff>
                    <xdr:row>47</xdr:row>
                    <xdr:rowOff>670560</xdr:rowOff>
                  </from>
                  <to>
                    <xdr:col>7</xdr:col>
                    <xdr:colOff>1958340</xdr:colOff>
                    <xdr:row>47</xdr:row>
                    <xdr:rowOff>914400</xdr:rowOff>
                  </to>
                </anchor>
              </controlPr>
            </control>
          </mc:Choice>
        </mc:AlternateContent>
        <mc:AlternateContent xmlns:mc="http://schemas.openxmlformats.org/markup-compatibility/2006">
          <mc:Choice Requires="x14">
            <control shapeId="160926" r:id="rId132" name="Option Button 158">
              <controlPr defaultSize="0" autoFill="0" autoLine="0" autoPict="0">
                <anchor moveWithCells="1">
                  <from>
                    <xdr:col>7</xdr:col>
                    <xdr:colOff>106680</xdr:colOff>
                    <xdr:row>47</xdr:row>
                    <xdr:rowOff>937260</xdr:rowOff>
                  </from>
                  <to>
                    <xdr:col>7</xdr:col>
                    <xdr:colOff>937260</xdr:colOff>
                    <xdr:row>47</xdr:row>
                    <xdr:rowOff>1188720</xdr:rowOff>
                  </to>
                </anchor>
              </controlPr>
            </control>
          </mc:Choice>
        </mc:AlternateContent>
        <mc:AlternateContent xmlns:mc="http://schemas.openxmlformats.org/markup-compatibility/2006">
          <mc:Choice Requires="x14">
            <control shapeId="160927" r:id="rId133"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25" r:id="rId134" name="Option Button 160">
              <controlPr defaultSize="0" autoFill="0" autoLine="0" autoPict="0" altText="Case d'option 47">
                <anchor moveWithCells="1">
                  <from>
                    <xdr:col>7</xdr:col>
                    <xdr:colOff>106680</xdr:colOff>
                    <xdr:row>49</xdr:row>
                    <xdr:rowOff>91440</xdr:rowOff>
                  </from>
                  <to>
                    <xdr:col>7</xdr:col>
                    <xdr:colOff>1501140</xdr:colOff>
                    <xdr:row>49</xdr:row>
                    <xdr:rowOff>335280</xdr:rowOff>
                  </to>
                </anchor>
              </controlPr>
            </control>
          </mc:Choice>
        </mc:AlternateContent>
        <mc:AlternateContent xmlns:mc="http://schemas.openxmlformats.org/markup-compatibility/2006">
          <mc:Choice Requires="x14">
            <control shapeId="49" r:id="rId135" name="Option Button 161">
              <controlPr defaultSize="0" autoFill="0" autoLine="0" autoPict="0">
                <anchor moveWithCells="1">
                  <from>
                    <xdr:col>7</xdr:col>
                    <xdr:colOff>106680</xdr:colOff>
                    <xdr:row>49</xdr:row>
                    <xdr:rowOff>350520</xdr:rowOff>
                  </from>
                  <to>
                    <xdr:col>7</xdr:col>
                    <xdr:colOff>1950720</xdr:colOff>
                    <xdr:row>49</xdr:row>
                    <xdr:rowOff>609600</xdr:rowOff>
                  </to>
                </anchor>
              </controlPr>
            </control>
          </mc:Choice>
        </mc:AlternateContent>
        <mc:AlternateContent xmlns:mc="http://schemas.openxmlformats.org/markup-compatibility/2006">
          <mc:Choice Requires="x14">
            <control shapeId="160930" r:id="rId136" name="Option Button 162">
              <controlPr defaultSize="0" autoFill="0" autoLine="0" autoPict="0">
                <anchor moveWithCells="1">
                  <from>
                    <xdr:col>7</xdr:col>
                    <xdr:colOff>106680</xdr:colOff>
                    <xdr:row>49</xdr:row>
                    <xdr:rowOff>632460</xdr:rowOff>
                  </from>
                  <to>
                    <xdr:col>7</xdr:col>
                    <xdr:colOff>1958340</xdr:colOff>
                    <xdr:row>49</xdr:row>
                    <xdr:rowOff>853440</xdr:rowOff>
                  </to>
                </anchor>
              </controlPr>
            </control>
          </mc:Choice>
        </mc:AlternateContent>
        <mc:AlternateContent xmlns:mc="http://schemas.openxmlformats.org/markup-compatibility/2006">
          <mc:Choice Requires="x14">
            <control shapeId="160931" r:id="rId137" name="Option Button 163">
              <controlPr defaultSize="0" autoFill="0" autoLine="0" autoPict="0">
                <anchor moveWithCells="1">
                  <from>
                    <xdr:col>7</xdr:col>
                    <xdr:colOff>106680</xdr:colOff>
                    <xdr:row>49</xdr:row>
                    <xdr:rowOff>876300</xdr:rowOff>
                  </from>
                  <to>
                    <xdr:col>7</xdr:col>
                    <xdr:colOff>937260</xdr:colOff>
                    <xdr:row>49</xdr:row>
                    <xdr:rowOff>1112520</xdr:rowOff>
                  </to>
                </anchor>
              </controlPr>
            </control>
          </mc:Choice>
        </mc:AlternateContent>
        <mc:AlternateContent xmlns:mc="http://schemas.openxmlformats.org/markup-compatibility/2006">
          <mc:Choice Requires="x14">
            <control shapeId="160932" r:id="rId138" name="Group Box 164">
              <controlPr defaultSize="0" autoFill="0" autoPict="0">
                <anchor moveWithCells="1">
                  <from>
                    <xdr:col>7</xdr:col>
                    <xdr:colOff>0</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60938" r:id="rId139" name="Option Button 170">
              <controlPr defaultSize="0" autoFill="0" autoLine="0" autoPict="0" altText="Case d'option 47">
                <anchor moveWithCells="1">
                  <from>
                    <xdr:col>7</xdr:col>
                    <xdr:colOff>114300</xdr:colOff>
                    <xdr:row>82</xdr:row>
                    <xdr:rowOff>68580</xdr:rowOff>
                  </from>
                  <to>
                    <xdr:col>7</xdr:col>
                    <xdr:colOff>1501140</xdr:colOff>
                    <xdr:row>82</xdr:row>
                    <xdr:rowOff>259080</xdr:rowOff>
                  </to>
                </anchor>
              </controlPr>
            </control>
          </mc:Choice>
        </mc:AlternateContent>
        <mc:AlternateContent xmlns:mc="http://schemas.openxmlformats.org/markup-compatibility/2006">
          <mc:Choice Requires="x14">
            <control shapeId="160939" r:id="rId140" name="Option Button 171">
              <controlPr defaultSize="0" autoFill="0" autoLine="0" autoPict="0">
                <anchor moveWithCells="1">
                  <from>
                    <xdr:col>7</xdr:col>
                    <xdr:colOff>114300</xdr:colOff>
                    <xdr:row>82</xdr:row>
                    <xdr:rowOff>304800</xdr:rowOff>
                  </from>
                  <to>
                    <xdr:col>7</xdr:col>
                    <xdr:colOff>1958340</xdr:colOff>
                    <xdr:row>82</xdr:row>
                    <xdr:rowOff>502920</xdr:rowOff>
                  </to>
                </anchor>
              </controlPr>
            </control>
          </mc:Choice>
        </mc:AlternateContent>
        <mc:AlternateContent xmlns:mc="http://schemas.openxmlformats.org/markup-compatibility/2006">
          <mc:Choice Requires="x14">
            <control shapeId="160940" r:id="rId141" name="Option Button 172">
              <controlPr defaultSize="0" autoFill="0" autoLine="0" autoPict="0">
                <anchor moveWithCells="1">
                  <from>
                    <xdr:col>7</xdr:col>
                    <xdr:colOff>114300</xdr:colOff>
                    <xdr:row>82</xdr:row>
                    <xdr:rowOff>579120</xdr:rowOff>
                  </from>
                  <to>
                    <xdr:col>7</xdr:col>
                    <xdr:colOff>1965960</xdr:colOff>
                    <xdr:row>82</xdr:row>
                    <xdr:rowOff>754380</xdr:rowOff>
                  </to>
                </anchor>
              </controlPr>
            </control>
          </mc:Choice>
        </mc:AlternateContent>
        <mc:AlternateContent xmlns:mc="http://schemas.openxmlformats.org/markup-compatibility/2006">
          <mc:Choice Requires="x14">
            <control shapeId="160941" r:id="rId142" name="Option Button 173">
              <controlPr defaultSize="0" autoFill="0" autoLine="0" autoPict="0">
                <anchor moveWithCells="1">
                  <from>
                    <xdr:col>7</xdr:col>
                    <xdr:colOff>114300</xdr:colOff>
                    <xdr:row>82</xdr:row>
                    <xdr:rowOff>822960</xdr:rowOff>
                  </from>
                  <to>
                    <xdr:col>7</xdr:col>
                    <xdr:colOff>937260</xdr:colOff>
                    <xdr:row>82</xdr:row>
                    <xdr:rowOff>1005840</xdr:rowOff>
                  </to>
                </anchor>
              </controlPr>
            </control>
          </mc:Choice>
        </mc:AlternateContent>
        <mc:AlternateContent xmlns:mc="http://schemas.openxmlformats.org/markup-compatibility/2006">
          <mc:Choice Requires="x14">
            <control shapeId="160942" r:id="rId143" name="Group Box 174">
              <controlPr defaultSize="0" autoFill="0" autoPict="0">
                <anchor moveWithCells="1">
                  <from>
                    <xdr:col>7</xdr:col>
                    <xdr:colOff>0</xdr:colOff>
                    <xdr:row>82</xdr:row>
                    <xdr:rowOff>0</xdr:rowOff>
                  </from>
                  <to>
                    <xdr:col>8</xdr:col>
                    <xdr:colOff>0</xdr:colOff>
                    <xdr:row>83</xdr:row>
                    <xdr:rowOff>0</xdr:rowOff>
                  </to>
                </anchor>
              </controlPr>
            </control>
          </mc:Choice>
        </mc:AlternateContent>
        <mc:AlternateContent xmlns:mc="http://schemas.openxmlformats.org/markup-compatibility/2006">
          <mc:Choice Requires="x14">
            <control shapeId="160866" r:id="rId144" name="Option Button 175">
              <controlPr defaultSize="0" autoFill="0" autoLine="0" autoPict="0">
                <anchor moveWithCells="1">
                  <from>
                    <xdr:col>7</xdr:col>
                    <xdr:colOff>114300</xdr:colOff>
                    <xdr:row>94</xdr:row>
                    <xdr:rowOff>144780</xdr:rowOff>
                  </from>
                  <to>
                    <xdr:col>7</xdr:col>
                    <xdr:colOff>1950720</xdr:colOff>
                    <xdr:row>94</xdr:row>
                    <xdr:rowOff>320040</xdr:rowOff>
                  </to>
                </anchor>
              </controlPr>
            </control>
          </mc:Choice>
        </mc:AlternateContent>
        <mc:AlternateContent xmlns:mc="http://schemas.openxmlformats.org/markup-compatibility/2006">
          <mc:Choice Requires="x14">
            <control shapeId="160882" r:id="rId145" name="Option Button 176">
              <controlPr defaultSize="0" autoFill="0" autoLine="0" autoPict="0">
                <anchor moveWithCells="1">
                  <from>
                    <xdr:col>7</xdr:col>
                    <xdr:colOff>114300</xdr:colOff>
                    <xdr:row>94</xdr:row>
                    <xdr:rowOff>396240</xdr:rowOff>
                  </from>
                  <to>
                    <xdr:col>7</xdr:col>
                    <xdr:colOff>1950720</xdr:colOff>
                    <xdr:row>94</xdr:row>
                    <xdr:rowOff>586740</xdr:rowOff>
                  </to>
                </anchor>
              </controlPr>
            </control>
          </mc:Choice>
        </mc:AlternateContent>
        <mc:AlternateContent xmlns:mc="http://schemas.openxmlformats.org/markup-compatibility/2006">
          <mc:Choice Requires="x14">
            <control shapeId="160945" r:id="rId146" name="Option Button 177">
              <controlPr defaultSize="0" autoFill="0" autoLine="0" autoPict="0">
                <anchor moveWithCells="1">
                  <from>
                    <xdr:col>7</xdr:col>
                    <xdr:colOff>114300</xdr:colOff>
                    <xdr:row>94</xdr:row>
                    <xdr:rowOff>640080</xdr:rowOff>
                  </from>
                  <to>
                    <xdr:col>7</xdr:col>
                    <xdr:colOff>1950720</xdr:colOff>
                    <xdr:row>94</xdr:row>
                    <xdr:rowOff>830580</xdr:rowOff>
                  </to>
                </anchor>
              </controlPr>
            </control>
          </mc:Choice>
        </mc:AlternateContent>
        <mc:AlternateContent xmlns:mc="http://schemas.openxmlformats.org/markup-compatibility/2006">
          <mc:Choice Requires="x14">
            <control shapeId="160946" r:id="rId147" name="Option Button 178">
              <controlPr defaultSize="0" autoFill="0" autoLine="0" autoPict="0">
                <anchor moveWithCells="1">
                  <from>
                    <xdr:col>7</xdr:col>
                    <xdr:colOff>114300</xdr:colOff>
                    <xdr:row>94</xdr:row>
                    <xdr:rowOff>922020</xdr:rowOff>
                  </from>
                  <to>
                    <xdr:col>7</xdr:col>
                    <xdr:colOff>1950720</xdr:colOff>
                    <xdr:row>94</xdr:row>
                    <xdr:rowOff>1112520</xdr:rowOff>
                  </to>
                </anchor>
              </controlPr>
            </control>
          </mc:Choice>
        </mc:AlternateContent>
        <mc:AlternateContent xmlns:mc="http://schemas.openxmlformats.org/markup-compatibility/2006">
          <mc:Choice Requires="x14">
            <control shapeId="160947" r:id="rId148"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160948" r:id="rId149"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160949" r:id="rId150" name="Option Button 181">
              <controlPr defaultSize="0" autoFill="0" autoLine="0" autoPict="0">
                <anchor moveWithCells="1">
                  <from>
                    <xdr:col>7</xdr:col>
                    <xdr:colOff>106680</xdr:colOff>
                    <xdr:row>93</xdr:row>
                    <xdr:rowOff>304800</xdr:rowOff>
                  </from>
                  <to>
                    <xdr:col>7</xdr:col>
                    <xdr:colOff>1950720</xdr:colOff>
                    <xdr:row>93</xdr:row>
                    <xdr:rowOff>502920</xdr:rowOff>
                  </to>
                </anchor>
              </controlPr>
            </control>
          </mc:Choice>
        </mc:AlternateContent>
        <mc:AlternateContent xmlns:mc="http://schemas.openxmlformats.org/markup-compatibility/2006">
          <mc:Choice Requires="x14">
            <control shapeId="160950" r:id="rId151" name="Option Button 182">
              <controlPr defaultSize="0" autoFill="0" autoLine="0" autoPict="0">
                <anchor moveWithCells="1">
                  <from>
                    <xdr:col>7</xdr:col>
                    <xdr:colOff>106680</xdr:colOff>
                    <xdr:row>93</xdr:row>
                    <xdr:rowOff>579120</xdr:rowOff>
                  </from>
                  <to>
                    <xdr:col>7</xdr:col>
                    <xdr:colOff>1958340</xdr:colOff>
                    <xdr:row>93</xdr:row>
                    <xdr:rowOff>754380</xdr:rowOff>
                  </to>
                </anchor>
              </controlPr>
            </control>
          </mc:Choice>
        </mc:AlternateContent>
        <mc:AlternateContent xmlns:mc="http://schemas.openxmlformats.org/markup-compatibility/2006">
          <mc:Choice Requires="x14">
            <control shapeId="160883" r:id="rId152"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160952" r:id="rId153"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160884" r:id="rId154" name="Option Button 190">
              <controlPr defaultSize="0" autoFill="0" autoLine="0" autoPict="0" altText="Case d'option 47">
                <anchor moveWithCells="1">
                  <from>
                    <xdr:col>7</xdr:col>
                    <xdr:colOff>114300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160885" r:id="rId155" name="Option Button 191">
              <controlPr defaultSize="0" autoFill="0" autoLine="0" autoPict="0">
                <anchor moveWithCells="1">
                  <from>
                    <xdr:col>7</xdr:col>
                    <xdr:colOff>114300</xdr:colOff>
                    <xdr:row>96</xdr:row>
                    <xdr:rowOff>304800</xdr:rowOff>
                  </from>
                  <to>
                    <xdr:col>7</xdr:col>
                    <xdr:colOff>1958340</xdr:colOff>
                    <xdr:row>96</xdr:row>
                    <xdr:rowOff>502920</xdr:rowOff>
                  </to>
                </anchor>
              </controlPr>
            </control>
          </mc:Choice>
        </mc:AlternateContent>
        <mc:AlternateContent xmlns:mc="http://schemas.openxmlformats.org/markup-compatibility/2006">
          <mc:Choice Requires="x14">
            <control shapeId="160960" r:id="rId156" name="Option Button 192">
              <controlPr defaultSize="0" autoFill="0" autoLine="0" autoPict="0">
                <anchor moveWithCells="1">
                  <from>
                    <xdr:col>7</xdr:col>
                    <xdr:colOff>114300</xdr:colOff>
                    <xdr:row>96</xdr:row>
                    <xdr:rowOff>579120</xdr:rowOff>
                  </from>
                  <to>
                    <xdr:col>7</xdr:col>
                    <xdr:colOff>1965960</xdr:colOff>
                    <xdr:row>96</xdr:row>
                    <xdr:rowOff>754380</xdr:rowOff>
                  </to>
                </anchor>
              </controlPr>
            </control>
          </mc:Choice>
        </mc:AlternateContent>
        <mc:AlternateContent xmlns:mc="http://schemas.openxmlformats.org/markup-compatibility/2006">
          <mc:Choice Requires="x14">
            <control shapeId="160961" r:id="rId157" name="Option Button 193">
              <controlPr defaultSize="0" autoFill="0" autoLine="0" autoPict="0">
                <anchor moveWithCells="1">
                  <from>
                    <xdr:col>7</xdr:col>
                    <xdr:colOff>114300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160962" r:id="rId158"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160963" r:id="rId159"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160886" r:id="rId160" name="Option Button 196">
              <controlPr defaultSize="0" autoFill="0" autoLine="0" autoPict="0">
                <anchor moveWithCells="1">
                  <from>
                    <xdr:col>7</xdr:col>
                    <xdr:colOff>106680</xdr:colOff>
                    <xdr:row>95</xdr:row>
                    <xdr:rowOff>304800</xdr:rowOff>
                  </from>
                  <to>
                    <xdr:col>7</xdr:col>
                    <xdr:colOff>1950720</xdr:colOff>
                    <xdr:row>95</xdr:row>
                    <xdr:rowOff>502920</xdr:rowOff>
                  </to>
                </anchor>
              </controlPr>
            </control>
          </mc:Choice>
        </mc:AlternateContent>
        <mc:AlternateContent xmlns:mc="http://schemas.openxmlformats.org/markup-compatibility/2006">
          <mc:Choice Requires="x14">
            <control shapeId="160965" r:id="rId161" name="Option Button 197">
              <controlPr defaultSize="0" autoFill="0" autoLine="0" autoPict="0">
                <anchor moveWithCells="1">
                  <from>
                    <xdr:col>7</xdr:col>
                    <xdr:colOff>106680</xdr:colOff>
                    <xdr:row>95</xdr:row>
                    <xdr:rowOff>579120</xdr:rowOff>
                  </from>
                  <to>
                    <xdr:col>7</xdr:col>
                    <xdr:colOff>1958340</xdr:colOff>
                    <xdr:row>95</xdr:row>
                    <xdr:rowOff>754380</xdr:rowOff>
                  </to>
                </anchor>
              </controlPr>
            </control>
          </mc:Choice>
        </mc:AlternateContent>
        <mc:AlternateContent xmlns:mc="http://schemas.openxmlformats.org/markup-compatibility/2006">
          <mc:Choice Requires="x14">
            <control shapeId="160966" r:id="rId162"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160967" r:id="rId163"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161013" r:id="rId164" name="Option Button 245">
              <controlPr defaultSize="0" autoFill="0" autoLine="0" autoPict="0" altText="Case d'option 47">
                <anchor moveWithCells="1">
                  <from>
                    <xdr:col>7</xdr:col>
                    <xdr:colOff>99060</xdr:colOff>
                    <xdr:row>48</xdr:row>
                    <xdr:rowOff>60960</xdr:rowOff>
                  </from>
                  <to>
                    <xdr:col>7</xdr:col>
                    <xdr:colOff>1501140</xdr:colOff>
                    <xdr:row>48</xdr:row>
                    <xdr:rowOff>236220</xdr:rowOff>
                  </to>
                </anchor>
              </controlPr>
            </control>
          </mc:Choice>
        </mc:AlternateContent>
        <mc:AlternateContent xmlns:mc="http://schemas.openxmlformats.org/markup-compatibility/2006">
          <mc:Choice Requires="x14">
            <control shapeId="161014" r:id="rId165" name="Option Button 246">
              <controlPr defaultSize="0" autoFill="0" autoLine="0" autoPict="0">
                <anchor moveWithCells="1">
                  <from>
                    <xdr:col>7</xdr:col>
                    <xdr:colOff>99060</xdr:colOff>
                    <xdr:row>48</xdr:row>
                    <xdr:rowOff>320040</xdr:rowOff>
                  </from>
                  <to>
                    <xdr:col>7</xdr:col>
                    <xdr:colOff>1958340</xdr:colOff>
                    <xdr:row>48</xdr:row>
                    <xdr:rowOff>502920</xdr:rowOff>
                  </to>
                </anchor>
              </controlPr>
            </control>
          </mc:Choice>
        </mc:AlternateContent>
        <mc:AlternateContent xmlns:mc="http://schemas.openxmlformats.org/markup-compatibility/2006">
          <mc:Choice Requires="x14">
            <control shapeId="161015" r:id="rId166" name="Option Button 247">
              <controlPr defaultSize="0" autoFill="0" autoLine="0" autoPict="0">
                <anchor moveWithCells="1">
                  <from>
                    <xdr:col>7</xdr:col>
                    <xdr:colOff>99060</xdr:colOff>
                    <xdr:row>48</xdr:row>
                    <xdr:rowOff>579120</xdr:rowOff>
                  </from>
                  <to>
                    <xdr:col>7</xdr:col>
                    <xdr:colOff>1958340</xdr:colOff>
                    <xdr:row>48</xdr:row>
                    <xdr:rowOff>746760</xdr:rowOff>
                  </to>
                </anchor>
              </controlPr>
            </control>
          </mc:Choice>
        </mc:AlternateContent>
        <mc:AlternateContent xmlns:mc="http://schemas.openxmlformats.org/markup-compatibility/2006">
          <mc:Choice Requires="x14">
            <control shapeId="161016" r:id="rId167" name="Option Button 248">
              <controlPr defaultSize="0" autoFill="0" autoLine="0" autoPict="0">
                <anchor moveWithCells="1">
                  <from>
                    <xdr:col>7</xdr:col>
                    <xdr:colOff>99060</xdr:colOff>
                    <xdr:row>48</xdr:row>
                    <xdr:rowOff>822960</xdr:rowOff>
                  </from>
                  <to>
                    <xdr:col>7</xdr:col>
                    <xdr:colOff>937260</xdr:colOff>
                    <xdr:row>48</xdr:row>
                    <xdr:rowOff>990600</xdr:rowOff>
                  </to>
                </anchor>
              </controlPr>
            </control>
          </mc:Choice>
        </mc:AlternateContent>
        <mc:AlternateContent xmlns:mc="http://schemas.openxmlformats.org/markup-compatibility/2006">
          <mc:Choice Requires="x14">
            <control shapeId="161017" r:id="rId168" name="Group Box 249">
              <controlPr defaultSize="0" autoFill="0" autoPict="0">
                <anchor moveWithCells="1">
                  <from>
                    <xdr:col>6</xdr:col>
                    <xdr:colOff>2476500</xdr:colOff>
                    <xdr:row>48</xdr:row>
                    <xdr:rowOff>0</xdr:rowOff>
                  </from>
                  <to>
                    <xdr:col>7</xdr:col>
                    <xdr:colOff>1958340</xdr:colOff>
                    <xdr:row>48</xdr:row>
                    <xdr:rowOff>1524000</xdr:rowOff>
                  </to>
                </anchor>
              </controlPr>
            </control>
          </mc:Choice>
        </mc:AlternateContent>
        <mc:AlternateContent xmlns:mc="http://schemas.openxmlformats.org/markup-compatibility/2006">
          <mc:Choice Requires="x14">
            <control shapeId="161018" r:id="rId169" name="Group Box 250">
              <controlPr defaultSize="0" autoFill="0" autoPict="0" altText="">
                <anchor moveWithCells="1">
                  <from>
                    <xdr:col>7</xdr:col>
                    <xdr:colOff>0</xdr:colOff>
                    <xdr:row>18</xdr:row>
                    <xdr:rowOff>0</xdr:rowOff>
                  </from>
                  <to>
                    <xdr:col>8</xdr:col>
                    <xdr:colOff>0</xdr:colOff>
                    <xdr:row>19</xdr:row>
                    <xdr:rowOff>0</xdr:rowOff>
                  </to>
                </anchor>
              </controlPr>
            </control>
          </mc:Choice>
        </mc:AlternateContent>
        <mc:AlternateContent xmlns:mc="http://schemas.openxmlformats.org/markup-compatibility/2006">
          <mc:Choice Requires="x14">
            <control shapeId="161019" r:id="rId170" name="Option Button 251">
              <controlPr defaultSize="0" autoFill="0" autoLine="0" autoPict="0" altText="Case d'option 47">
                <anchor moveWithCells="1">
                  <from>
                    <xdr:col>7</xdr:col>
                    <xdr:colOff>106680</xdr:colOff>
                    <xdr:row>18</xdr:row>
                    <xdr:rowOff>38100</xdr:rowOff>
                  </from>
                  <to>
                    <xdr:col>7</xdr:col>
                    <xdr:colOff>1508760</xdr:colOff>
                    <xdr:row>18</xdr:row>
                    <xdr:rowOff>228600</xdr:rowOff>
                  </to>
                </anchor>
              </controlPr>
            </control>
          </mc:Choice>
        </mc:AlternateContent>
        <mc:AlternateContent xmlns:mc="http://schemas.openxmlformats.org/markup-compatibility/2006">
          <mc:Choice Requires="x14">
            <control shapeId="160912" r:id="rId171" name="Option Button 252">
              <controlPr defaultSize="0" autoFill="0" autoLine="0" autoPict="0">
                <anchor moveWithCells="1">
                  <from>
                    <xdr:col>7</xdr:col>
                    <xdr:colOff>106680</xdr:colOff>
                    <xdr:row>18</xdr:row>
                    <xdr:rowOff>281940</xdr:rowOff>
                  </from>
                  <to>
                    <xdr:col>8</xdr:col>
                    <xdr:colOff>0</xdr:colOff>
                    <xdr:row>18</xdr:row>
                    <xdr:rowOff>480060</xdr:rowOff>
                  </to>
                </anchor>
              </controlPr>
            </control>
          </mc:Choice>
        </mc:AlternateContent>
        <mc:AlternateContent xmlns:mc="http://schemas.openxmlformats.org/markup-compatibility/2006">
          <mc:Choice Requires="x14">
            <control shapeId="160918" r:id="rId172" name="Option Button 253">
              <controlPr defaultSize="0" autoFill="0" autoLine="0" autoPict="0">
                <anchor moveWithCells="1">
                  <from>
                    <xdr:col>7</xdr:col>
                    <xdr:colOff>106680</xdr:colOff>
                    <xdr:row>18</xdr:row>
                    <xdr:rowOff>556260</xdr:rowOff>
                  </from>
                  <to>
                    <xdr:col>8</xdr:col>
                    <xdr:colOff>0</xdr:colOff>
                    <xdr:row>18</xdr:row>
                    <xdr:rowOff>739140</xdr:rowOff>
                  </to>
                </anchor>
              </controlPr>
            </control>
          </mc:Choice>
        </mc:AlternateContent>
        <mc:AlternateContent xmlns:mc="http://schemas.openxmlformats.org/markup-compatibility/2006">
          <mc:Choice Requires="x14">
            <control shapeId="160919" r:id="rId173" name="Option Button 254">
              <controlPr defaultSize="0" autoFill="0" autoLine="0" autoPict="0">
                <anchor moveWithCells="1">
                  <from>
                    <xdr:col>7</xdr:col>
                    <xdr:colOff>106680</xdr:colOff>
                    <xdr:row>18</xdr:row>
                    <xdr:rowOff>807720</xdr:rowOff>
                  </from>
                  <to>
                    <xdr:col>7</xdr:col>
                    <xdr:colOff>937260</xdr:colOff>
                    <xdr:row>18</xdr:row>
                    <xdr:rowOff>998220</xdr:rowOff>
                  </to>
                </anchor>
              </controlPr>
            </control>
          </mc:Choice>
        </mc:AlternateContent>
        <mc:AlternateContent xmlns:mc="http://schemas.openxmlformats.org/markup-compatibility/2006">
          <mc:Choice Requires="x14">
            <control shapeId="161023" r:id="rId174" name="Group Box 255">
              <controlPr defaultSize="0" autoFill="0" autoPict="0">
                <anchor moveWithCells="1">
                  <from>
                    <xdr:col>7</xdr:col>
                    <xdr:colOff>0</xdr:colOff>
                    <xdr:row>18</xdr:row>
                    <xdr:rowOff>0</xdr:rowOff>
                  </from>
                  <to>
                    <xdr:col>8</xdr:col>
                    <xdr:colOff>0</xdr:colOff>
                    <xdr:row>19</xdr:row>
                    <xdr:rowOff>0</xdr:rowOff>
                  </to>
                </anchor>
              </controlPr>
            </control>
          </mc:Choice>
        </mc:AlternateContent>
        <mc:AlternateContent xmlns:mc="http://schemas.openxmlformats.org/markup-compatibility/2006">
          <mc:Choice Requires="x14">
            <control shapeId="161024" r:id="rId175" name="Option Button 256">
              <controlPr defaultSize="0" autoFill="0" autoLine="0" autoPict="0">
                <anchor moveWithCells="1">
                  <from>
                    <xdr:col>7</xdr:col>
                    <xdr:colOff>114300</xdr:colOff>
                    <xdr:row>17</xdr:row>
                    <xdr:rowOff>144780</xdr:rowOff>
                  </from>
                  <to>
                    <xdr:col>7</xdr:col>
                    <xdr:colOff>1950720</xdr:colOff>
                    <xdr:row>17</xdr:row>
                    <xdr:rowOff>312420</xdr:rowOff>
                  </to>
                </anchor>
              </controlPr>
            </control>
          </mc:Choice>
        </mc:AlternateContent>
        <mc:AlternateContent xmlns:mc="http://schemas.openxmlformats.org/markup-compatibility/2006">
          <mc:Choice Requires="x14">
            <control shapeId="161025" r:id="rId176" name="Option Button 257">
              <controlPr defaultSize="0" autoFill="0" autoLine="0" autoPict="0">
                <anchor moveWithCells="1">
                  <from>
                    <xdr:col>7</xdr:col>
                    <xdr:colOff>114300</xdr:colOff>
                    <xdr:row>17</xdr:row>
                    <xdr:rowOff>388620</xdr:rowOff>
                  </from>
                  <to>
                    <xdr:col>7</xdr:col>
                    <xdr:colOff>1950720</xdr:colOff>
                    <xdr:row>17</xdr:row>
                    <xdr:rowOff>579120</xdr:rowOff>
                  </to>
                </anchor>
              </controlPr>
            </control>
          </mc:Choice>
        </mc:AlternateContent>
        <mc:AlternateContent xmlns:mc="http://schemas.openxmlformats.org/markup-compatibility/2006">
          <mc:Choice Requires="x14">
            <control shapeId="161026" r:id="rId177" name="Option Button 258">
              <controlPr defaultSize="0" autoFill="0" autoLine="0" autoPict="0">
                <anchor moveWithCells="1">
                  <from>
                    <xdr:col>7</xdr:col>
                    <xdr:colOff>114300</xdr:colOff>
                    <xdr:row>17</xdr:row>
                    <xdr:rowOff>632460</xdr:rowOff>
                  </from>
                  <to>
                    <xdr:col>7</xdr:col>
                    <xdr:colOff>1950720</xdr:colOff>
                    <xdr:row>17</xdr:row>
                    <xdr:rowOff>815340</xdr:rowOff>
                  </to>
                </anchor>
              </controlPr>
            </control>
          </mc:Choice>
        </mc:AlternateContent>
        <mc:AlternateContent xmlns:mc="http://schemas.openxmlformats.org/markup-compatibility/2006">
          <mc:Choice Requires="x14">
            <control shapeId="161027" r:id="rId178" name="Option Button 259">
              <controlPr defaultSize="0" autoFill="0" autoLine="0" autoPict="0">
                <anchor moveWithCells="1">
                  <from>
                    <xdr:col>7</xdr:col>
                    <xdr:colOff>114300</xdr:colOff>
                    <xdr:row>17</xdr:row>
                    <xdr:rowOff>906780</xdr:rowOff>
                  </from>
                  <to>
                    <xdr:col>7</xdr:col>
                    <xdr:colOff>1950720</xdr:colOff>
                    <xdr:row>17</xdr:row>
                    <xdr:rowOff>1097280</xdr:rowOff>
                  </to>
                </anchor>
              </controlPr>
            </control>
          </mc:Choice>
        </mc:AlternateContent>
        <mc:AlternateContent xmlns:mc="http://schemas.openxmlformats.org/markup-compatibility/2006">
          <mc:Choice Requires="x14">
            <control shapeId="161028" r:id="rId179" name="Group Box 260">
              <controlPr defaultSize="0" autoFill="0" autoPict="0">
                <anchor moveWithCells="1">
                  <from>
                    <xdr:col>7</xdr:col>
                    <xdr:colOff>0</xdr:colOff>
                    <xdr:row>17</xdr:row>
                    <xdr:rowOff>0</xdr:rowOff>
                  </from>
                  <to>
                    <xdr:col>8</xdr:col>
                    <xdr:colOff>0</xdr:colOff>
                    <xdr:row>18</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B95E8-7CEC-442B-BA98-7DBA49B9067B}">
  <sheetPr codeName="Feuil37">
    <tabColor rgb="FF45413F"/>
  </sheetPr>
  <dimension ref="A1:AJ73"/>
  <sheetViews>
    <sheetView showGridLines="0" showRowColHeaders="0" zoomScale="52" zoomScaleNormal="52" workbookViewId="0">
      <selection activeCell="BL9" sqref="BL9"/>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2" width="4.33203125" style="31" customWidth="1"/>
    <col min="23" max="23" width="3" style="31" customWidth="1"/>
    <col min="24" max="24" width="23.88671875" style="31" customWidth="1"/>
    <col min="25" max="25" width="59.77734375" style="31" customWidth="1"/>
    <col min="26" max="26" width="4" style="31" customWidth="1"/>
    <col min="27" max="28" width="17.109375" style="31" customWidth="1"/>
    <col min="29" max="29" width="5.77734375" style="31" customWidth="1"/>
    <col min="30" max="30" width="7.88671875" style="31" customWidth="1"/>
    <col min="31" max="31" width="2.44140625" style="31" customWidth="1"/>
    <col min="32" max="32" width="19" style="31" customWidth="1"/>
    <col min="33" max="35" width="5.77734375" style="31" customWidth="1"/>
    <col min="36" max="16384" width="8.88671875" style="31"/>
  </cols>
  <sheetData>
    <row r="1" spans="1:36" ht="45" customHeight="1" x14ac:dyDescent="0.45">
      <c r="A1" s="233"/>
      <c r="B1" s="231" t="s">
        <v>569</v>
      </c>
      <c r="C1" s="233"/>
      <c r="D1" s="233"/>
      <c r="E1" s="110"/>
      <c r="F1" s="110"/>
      <c r="G1" s="110"/>
      <c r="H1" s="110"/>
      <c r="I1" s="110"/>
      <c r="J1" s="234"/>
      <c r="K1" s="235"/>
      <c r="L1" s="110"/>
      <c r="M1" s="110"/>
      <c r="N1" s="236"/>
      <c r="O1" s="236"/>
      <c r="P1" s="236"/>
      <c r="Q1" s="236" t="str">
        <f>VLOOKUP($E$27,BDD!$A$2:$N$567,3,FALSE)</f>
        <v>Budget &amp; performance</v>
      </c>
      <c r="R1" s="109"/>
      <c r="S1" s="113"/>
      <c r="T1" s="113"/>
      <c r="U1" s="113"/>
      <c r="V1" s="113"/>
      <c r="W1" s="113"/>
      <c r="X1" s="113"/>
      <c r="Y1" s="113"/>
      <c r="Z1" s="113"/>
      <c r="AA1" s="113"/>
      <c r="AB1" s="113"/>
      <c r="AC1" s="113"/>
      <c r="AD1" s="113"/>
      <c r="AE1" s="113"/>
      <c r="AF1" s="113"/>
      <c r="AG1" s="113"/>
      <c r="AH1" s="113"/>
      <c r="AI1" s="113"/>
      <c r="AJ1" s="30"/>
    </row>
    <row r="2" spans="1:36" ht="45" customHeight="1" x14ac:dyDescent="0.3">
      <c r="A2" s="109"/>
      <c r="B2" s="109"/>
      <c r="C2" s="109"/>
      <c r="D2" s="109"/>
      <c r="E2" s="109"/>
      <c r="F2" s="109"/>
      <c r="G2" s="109"/>
      <c r="H2" s="109"/>
      <c r="I2" s="109"/>
      <c r="J2" s="109"/>
      <c r="K2" s="109"/>
      <c r="L2" s="109"/>
      <c r="M2" s="109"/>
      <c r="N2" s="114"/>
      <c r="O2" s="114"/>
      <c r="P2" s="114"/>
      <c r="Q2" s="114" t="str">
        <f>VLOOKUP($E$27,BDD!$A$2:$N$567,4,FALSE)</f>
        <v>Piloter la performance économique, opérationnelle et écologique du SI.</v>
      </c>
      <c r="R2" s="109"/>
      <c r="S2" s="115"/>
      <c r="T2" s="115"/>
      <c r="U2" s="115"/>
      <c r="V2" s="115"/>
      <c r="W2" s="115"/>
      <c r="X2" s="115"/>
      <c r="Y2" s="115"/>
      <c r="Z2" s="115"/>
      <c r="AA2" s="115"/>
      <c r="AB2" s="115"/>
      <c r="AC2" s="115"/>
      <c r="AD2" s="115"/>
      <c r="AE2" s="115"/>
      <c r="AF2" s="115"/>
      <c r="AG2" s="115"/>
      <c r="AH2" s="115"/>
      <c r="AI2" s="115"/>
      <c r="AJ2" s="30"/>
    </row>
    <row r="3" spans="1:36" ht="45" customHeight="1" thickBot="1" x14ac:dyDescent="0.35">
      <c r="A3" s="112"/>
      <c r="B3" s="30"/>
      <c r="C3" s="30"/>
      <c r="D3" s="30"/>
      <c r="E3" s="30"/>
      <c r="F3" s="30"/>
      <c r="G3" s="32"/>
      <c r="H3" s="32"/>
      <c r="I3" s="32"/>
      <c r="J3" s="32"/>
      <c r="K3" s="32"/>
      <c r="L3" s="32"/>
      <c r="M3" s="32"/>
      <c r="N3" s="30"/>
      <c r="O3" s="30"/>
      <c r="P3" s="30"/>
      <c r="Q3" s="30"/>
      <c r="R3" s="30"/>
      <c r="S3" s="30"/>
      <c r="T3" s="30"/>
      <c r="U3" s="30"/>
      <c r="V3" s="30"/>
      <c r="W3" s="30"/>
      <c r="X3" s="33"/>
      <c r="Y3" s="30"/>
      <c r="Z3" s="30"/>
      <c r="AA3" s="30"/>
      <c r="AB3" s="30"/>
      <c r="AC3" s="30"/>
      <c r="AD3" s="30"/>
      <c r="AE3" s="30"/>
      <c r="AF3" s="30"/>
      <c r="AG3" s="30"/>
      <c r="AH3" s="30"/>
      <c r="AI3" s="112"/>
      <c r="AJ3" s="30"/>
    </row>
    <row r="4" spans="1:36" ht="26.4" thickBot="1" x14ac:dyDescent="0.55000000000000004">
      <c r="A4" s="112"/>
      <c r="B4" s="30"/>
      <c r="C4" s="30"/>
      <c r="D4" s="30"/>
      <c r="E4" s="30"/>
      <c r="F4" s="30"/>
      <c r="G4" s="36" t="s">
        <v>1</v>
      </c>
      <c r="H4" s="34"/>
      <c r="I4" s="32"/>
      <c r="J4" s="34"/>
      <c r="K4" s="34"/>
      <c r="L4" s="34"/>
      <c r="M4" s="34"/>
      <c r="N4" s="30"/>
      <c r="O4" s="30"/>
      <c r="P4" s="30"/>
      <c r="Q4" s="30"/>
      <c r="R4" s="30"/>
      <c r="S4" s="30"/>
      <c r="T4" s="30"/>
      <c r="U4" s="30"/>
      <c r="V4" s="30"/>
      <c r="W4" s="30"/>
      <c r="X4" s="122" t="s">
        <v>0</v>
      </c>
      <c r="Y4" s="30"/>
      <c r="Z4" s="30"/>
      <c r="AA4" s="30"/>
      <c r="AB4" s="417"/>
      <c r="AC4" s="418" t="s">
        <v>1079</v>
      </c>
      <c r="AD4" s="30"/>
      <c r="AE4" s="30"/>
      <c r="AF4" s="30"/>
      <c r="AG4" s="35"/>
      <c r="AH4" s="35"/>
      <c r="AI4" s="117"/>
      <c r="AJ4" s="30"/>
    </row>
    <row r="5" spans="1:36" ht="30" customHeight="1" thickBot="1" x14ac:dyDescent="0.35">
      <c r="A5" s="112"/>
      <c r="B5" s="30"/>
      <c r="C5" s="30"/>
      <c r="D5" s="30"/>
      <c r="E5" s="30" t="str">
        <f>$C$25&amp;"11"</f>
        <v>1211</v>
      </c>
      <c r="F5" s="30"/>
      <c r="G5" s="196" t="str">
        <f>IF(VLOOKUP(E5,BDD!$A$2:$N$567,13,FALSE)=0,"",VLOOKUP(E5,BDD!$A$2:$N$567,13,FALSE))</f>
        <v>Contribuer à l’atteinte des objectifs de performance de l’entreprise (financiers, opérationnels, réglementaires, et enjeux ESG).</v>
      </c>
      <c r="H5" s="37"/>
      <c r="I5" s="32"/>
      <c r="K5" s="37"/>
      <c r="L5" s="568"/>
      <c r="M5" s="568"/>
      <c r="N5" s="569"/>
      <c r="O5" s="569"/>
      <c r="P5" s="569"/>
      <c r="Q5" s="569"/>
      <c r="R5" s="569"/>
      <c r="S5" s="569"/>
      <c r="T5" s="569"/>
      <c r="U5" s="569"/>
      <c r="V5" s="569"/>
      <c r="W5" s="569"/>
      <c r="X5" s="570"/>
      <c r="Y5" s="569"/>
      <c r="Z5" s="569"/>
      <c r="AA5" s="569"/>
      <c r="AB5" s="569"/>
      <c r="AC5" s="30"/>
      <c r="AD5" s="30"/>
      <c r="AE5" s="30"/>
      <c r="AF5" s="30"/>
      <c r="AG5" s="30"/>
      <c r="AH5" s="30"/>
      <c r="AI5" s="112"/>
      <c r="AJ5" s="30"/>
    </row>
    <row r="6" spans="1:36" ht="30" customHeight="1" x14ac:dyDescent="0.3">
      <c r="A6" s="116"/>
      <c r="B6" s="38"/>
      <c r="C6" s="38"/>
      <c r="D6" s="38"/>
      <c r="E6" s="38" t="str">
        <f>$C$25&amp;"12"</f>
        <v>1212</v>
      </c>
      <c r="F6" s="38"/>
      <c r="G6" s="196" t="str">
        <f>IF(VLOOKUP(E6,BDD!$A$2:$N$567,13,FALSE)=0,"",VLOOKUP(E6,BDD!$A$2:$N$567,13,FALSE))</f>
        <v>Maîtriser le coût de possession et le coût de transformation du SI (build/run et transformation).</v>
      </c>
      <c r="H6" s="39"/>
      <c r="I6" s="32"/>
      <c r="K6" s="39"/>
      <c r="L6" s="538"/>
      <c r="M6" s="539"/>
      <c r="N6" s="540"/>
      <c r="O6" s="541"/>
      <c r="P6" s="541"/>
      <c r="Q6" s="541"/>
      <c r="R6" s="541"/>
      <c r="S6" s="541"/>
      <c r="T6" s="541"/>
      <c r="U6" s="541"/>
      <c r="V6" s="541"/>
      <c r="W6" s="541"/>
      <c r="X6" s="541"/>
      <c r="Y6" s="541"/>
      <c r="Z6" s="541"/>
      <c r="AA6" s="541"/>
      <c r="AB6" s="541"/>
      <c r="AC6" s="542"/>
      <c r="AD6" s="35"/>
      <c r="AE6" s="35"/>
      <c r="AF6" s="35"/>
      <c r="AG6" s="32"/>
      <c r="AH6" s="32"/>
      <c r="AI6" s="118"/>
      <c r="AJ6" s="38"/>
    </row>
    <row r="7" spans="1:36" ht="31.8" thickBot="1" x14ac:dyDescent="0.35">
      <c r="A7" s="116"/>
      <c r="B7" s="38"/>
      <c r="C7" s="38"/>
      <c r="D7" s="38"/>
      <c r="E7" s="38" t="str">
        <f>$C$25&amp;"13"</f>
        <v>1213</v>
      </c>
      <c r="F7" s="38"/>
      <c r="G7" s="196" t="str">
        <f>IF(VLOOKUP(E7,BDD!$A$2:$N$567,13,FALSE)=0,"",VLOOKUP(E7,BDD!$A$2:$N$567,13,FALSE))</f>
        <v>Associer les instances internes (direction générale, métiers et DSI) au pilotage de la performance du SI et du numérique.</v>
      </c>
      <c r="H7" s="39"/>
      <c r="I7" s="32"/>
      <c r="K7" s="39"/>
      <c r="L7" s="543"/>
      <c r="M7" s="544"/>
      <c r="N7" s="420" t="s">
        <v>2</v>
      </c>
      <c r="O7" s="421" t="s">
        <v>3</v>
      </c>
      <c r="P7" s="421" t="s">
        <v>4</v>
      </c>
      <c r="Q7" s="421" t="s">
        <v>5</v>
      </c>
      <c r="R7" s="421" t="s">
        <v>6</v>
      </c>
      <c r="S7" s="421" t="s">
        <v>7</v>
      </c>
      <c r="T7" s="421" t="s">
        <v>8</v>
      </c>
      <c r="U7" s="421" t="s">
        <v>9</v>
      </c>
      <c r="V7" s="421" t="s">
        <v>1019</v>
      </c>
      <c r="W7" s="545"/>
      <c r="X7" s="460" t="s">
        <v>10</v>
      </c>
      <c r="Y7" s="461" t="s">
        <v>11</v>
      </c>
      <c r="Z7" s="546"/>
      <c r="AA7" s="463" t="s">
        <v>12</v>
      </c>
      <c r="AB7" s="464" t="s">
        <v>13</v>
      </c>
      <c r="AC7" s="547"/>
      <c r="AD7" s="40"/>
      <c r="AE7" s="637" t="s">
        <v>14</v>
      </c>
      <c r="AF7" s="41" t="s">
        <v>15</v>
      </c>
      <c r="AG7" s="32"/>
      <c r="AH7" s="32"/>
      <c r="AI7" s="118"/>
      <c r="AJ7" s="38"/>
    </row>
    <row r="8" spans="1:36" ht="31.2" customHeight="1" x14ac:dyDescent="0.3">
      <c r="A8" s="116"/>
      <c r="B8" s="38"/>
      <c r="C8" s="38"/>
      <c r="D8" s="38"/>
      <c r="E8" s="38" t="str">
        <f>$C$25&amp;"14"</f>
        <v>1214</v>
      </c>
      <c r="F8" s="38"/>
      <c r="G8" s="196" t="str">
        <f>IF(VLOOKUP(E8,BDD!$A$2:$N$567,13,FALSE)=0,"",VLOOKUP(E8,BDD!$A$2:$N$567,13,FALSE))</f>
        <v>Impliquer les parties prenantes externes dans une démarche de performance partagée et de transparence contractuelle.</v>
      </c>
      <c r="H8" s="39"/>
      <c r="I8" s="32"/>
      <c r="K8" s="39"/>
      <c r="L8" s="543"/>
      <c r="M8" s="419" t="str">
        <f>IF(LEFT(RIGHT($B$1,2),1)=" ",RIGHT($B$1,1),RIGHT($B$1,2))&amp;1</f>
        <v>121</v>
      </c>
      <c r="N8" s="422" t="str">
        <f>RIGHT(M8,1)&amp;" : "&amp;VLOOKUP($M8&amp;"1",BDD!$A$2:$N$567,6,FALSE)</f>
        <v>1 : Objectifs de performance</v>
      </c>
      <c r="O8" s="423" t="str">
        <f>IF(VLOOKUP($M8&amp;RIGHT(O$7,1),BDD!$A$1:$S$600,15,FALSE)=4,"NE",IF(VLOOKUP($M8&amp;RIGHT(O$7,1),BDD!$A$1:$S$600,15,FALSE)=0,"NE",VLOOKUP($M8&amp;RIGHT(O$7,1),BDD!$A$1:$S$600,15,FALSE)))</f>
        <v>NE</v>
      </c>
      <c r="P8" s="423" t="str">
        <f>IF(VLOOKUP($M8&amp;RIGHT(P$7,1),BDD!$A$1:$S$600,15,FALSE)=4,"NE",IF(VLOOKUP($M8&amp;RIGHT(P$7,1),BDD!$A$1:$S$600,15,FALSE)=0,"NE",VLOOKUP($M8&amp;RIGHT(P$7,1),BDD!$A$1:$S$600,15,FALSE)))</f>
        <v>NE</v>
      </c>
      <c r="Q8" s="423" t="str">
        <f>IF(VLOOKUP($M8&amp;RIGHT(Q$7,1),BDD!$A$1:$S$600,15,FALSE)=4,"NE",IF(VLOOKUP($M8&amp;RIGHT(Q$7,1),BDD!$A$1:$S$600,15,FALSE)=0,"NE",VLOOKUP($M8&amp;RIGHT(Q$7,1),BDD!$A$1:$S$600,15,FALSE)))</f>
        <v>NE</v>
      </c>
      <c r="R8" s="423" t="str">
        <f>IF(VLOOKUP($M8&amp;RIGHT(R$7,1),BDD!$A$1:$S$600,15,FALSE)=4,"NE",IF(VLOOKUP($M8&amp;RIGHT(R$7,1),BDD!$A$1:$S$600,15,FALSE)=0,"NE",VLOOKUP($M8&amp;RIGHT(R$7,1),BDD!$A$1:$S$600,15,FALSE)))</f>
        <v>NE</v>
      </c>
      <c r="S8" s="423" t="str">
        <f>IF(VLOOKUP($M8&amp;RIGHT(S$7,1),BDD!$A$1:$S$600,15,FALSE)=4,"NE",IF(VLOOKUP($M8&amp;RIGHT(S$7,1),BDD!$A$1:$S$600,15,FALSE)=0,"NE",VLOOKUP($M8&amp;RIGHT(S$7,1),BDD!$A$1:$S$600,15,FALSE)))</f>
        <v>NE</v>
      </c>
      <c r="T8" s="423" t="str">
        <f>IF(VLOOKUP($M8&amp;RIGHT(T$7,1),BDD!$A$1:$S$600,15,FALSE)=4,"NE",IF(VLOOKUP($M8&amp;RIGHT(T$7,1),BDD!$A$1:$S$600,15,FALSE)=0,"NE",VLOOKUP($M8&amp;RIGHT(T$7,1),BDD!$A$1:$S$600,15,FALSE)))</f>
        <v>NE</v>
      </c>
      <c r="U8" s="423" t="str">
        <f>IF(VLOOKUP($M8&amp;RIGHT(U$7,1),BDD!$A$1:$S$600,15,FALSE)=4,"NE",IF(VLOOKUP($M8&amp;RIGHT(U$7,1),BDD!$A$1:$S$600,15,FALSE)=0,"NE",VLOOKUP($M8&amp;RIGHT(U$7,1),BDD!$A$1:$S$600,15,FALSE)))</f>
        <v>NE</v>
      </c>
      <c r="V8" s="423" t="str">
        <f>IF(VLOOKUP($M8&amp;RIGHT(V$7,1),BDD!$A$1:$S$600,15,FALSE)=4,"NE",IF(VLOOKUP($M8&amp;RIGHT(V$7,1),BDD!$A$1:$S$600,15,FALSE)=0,"NE",VLOOKUP($M8&amp;RIGHT(V$7,1),BDD!$A$1:$S$600,15,FALSE)))</f>
        <v>NE</v>
      </c>
      <c r="W8" s="545"/>
      <c r="X8" s="441" t="s">
        <v>16</v>
      </c>
      <c r="Y8" s="442"/>
      <c r="Z8" s="548"/>
      <c r="AA8" s="468">
        <f>O25</f>
        <v>0</v>
      </c>
      <c r="AB8" s="469">
        <f>P25</f>
        <v>0</v>
      </c>
      <c r="AC8" s="547"/>
      <c r="AD8" s="40"/>
      <c r="AE8" s="638"/>
      <c r="AF8" s="44" t="s">
        <v>17</v>
      </c>
      <c r="AG8" s="32"/>
      <c r="AH8" s="32"/>
      <c r="AI8" s="118"/>
      <c r="AJ8" s="38"/>
    </row>
    <row r="9" spans="1:36" ht="30" customHeight="1" x14ac:dyDescent="0.3">
      <c r="A9" s="116"/>
      <c r="B9" s="38"/>
      <c r="C9" s="38"/>
      <c r="D9" s="38"/>
      <c r="E9" s="38" t="str">
        <f>$C$25&amp;"15"</f>
        <v>1215</v>
      </c>
      <c r="F9" s="38"/>
      <c r="G9" s="196" t="str">
        <f>IF(VLOOKUP(E9,BDD!$A$2:$N$567,13,FALSE)=0,"",VLOOKUP(E9,BDD!$A$2:$N$567,13,FALSE))</f>
        <v>Donner de la visibilité à la direction générale sur l’efficacité du numérique dans l’entreprise.</v>
      </c>
      <c r="H9" s="39"/>
      <c r="I9" s="32"/>
      <c r="K9" s="39"/>
      <c r="L9" s="543"/>
      <c r="M9" s="419" t="str">
        <f>IF(LEFT(RIGHT($B$1,2),1)=" ",RIGHT($B$1,1),RIGHT($B$1,2))&amp;2</f>
        <v>122</v>
      </c>
      <c r="N9" s="424" t="str">
        <f>RIGHT(M9,1)&amp;" : "&amp;VLOOKUP($M9&amp;"1",BDD!$A$2:$N$567,6,FALSE)</f>
        <v>2 : Indicateurs</v>
      </c>
      <c r="O9" s="425" t="str">
        <f>IF(VLOOKUP($M9&amp;RIGHT(O$7,1),BDD!$A$1:$S$600,15,FALSE)=4,"NE",IF(VLOOKUP($M9&amp;RIGHT(O$7,1),BDD!$A$1:$S$600,15,FALSE)=0,"NE",VLOOKUP($M9&amp;RIGHT(O$7,1),BDD!$A$1:$S$600,15,FALSE)))</f>
        <v>NE</v>
      </c>
      <c r="P9" s="425" t="str">
        <f>IF(VLOOKUP($M9&amp;RIGHT(P$7,1),BDD!$A$1:$S$600,15,FALSE)=4,"NE",IF(VLOOKUP($M9&amp;RIGHT(P$7,1),BDD!$A$1:$S$600,15,FALSE)=0,"NE",VLOOKUP($M9&amp;RIGHT(P$7,1),BDD!$A$1:$S$600,15,FALSE)))</f>
        <v>NE</v>
      </c>
      <c r="Q9" s="425" t="str">
        <f>IF(VLOOKUP($M9&amp;RIGHT(Q$7,1),BDD!$A$1:$S$600,15,FALSE)=4,"NE",IF(VLOOKUP($M9&amp;RIGHT(Q$7,1),BDD!$A$1:$S$600,15,FALSE)=0,"NE",VLOOKUP($M9&amp;RIGHT(Q$7,1),BDD!$A$1:$S$600,15,FALSE)))</f>
        <v>NE</v>
      </c>
      <c r="R9" s="425" t="str">
        <f>IF(VLOOKUP($M9&amp;RIGHT(R$7,1),BDD!$A$1:$S$600,15,FALSE)=4,"NE",IF(VLOOKUP($M9&amp;RIGHT(R$7,1),BDD!$A$1:$S$600,15,FALSE)=0,"NE",VLOOKUP($M9&amp;RIGHT(R$7,1),BDD!$A$1:$S$600,15,FALSE)))</f>
        <v>NE</v>
      </c>
      <c r="S9" s="425" t="str">
        <f>IF(VLOOKUP($M9&amp;RIGHT(S$7,1),BDD!$A$1:$S$600,15,FALSE)=4,"NE",IF(VLOOKUP($M9&amp;RIGHT(S$7,1),BDD!$A$1:$S$600,15,FALSE)=0,"NE",VLOOKUP($M9&amp;RIGHT(S$7,1),BDD!$A$1:$S$600,15,FALSE)))</f>
        <v>NE</v>
      </c>
      <c r="T9" s="426" t="str">
        <f>IF(VLOOKUP($M9&amp;RIGHT(T$7,1),BDD!$A$1:$S$600,15,FALSE)=4,"NE",IF(VLOOKUP($M9&amp;RIGHT(T$7,1),BDD!$A$1:$S$600,15,FALSE)=0,"NE",VLOOKUP($M9&amp;RIGHT(T$7,1),BDD!$A$1:$S$600,15,FALSE)))</f>
        <v/>
      </c>
      <c r="U9" s="427" t="str">
        <f>IF(VLOOKUP($M9&amp;RIGHT(U$7,1),BDD!$A$1:$S$600,15,FALSE)=4,"NE",IF(VLOOKUP($M9&amp;RIGHT(U$7,1),BDD!$A$1:$S$600,15,FALSE)=0,"NE",VLOOKUP($M9&amp;RIGHT(U$7,1),BDD!$A$1:$S$600,15,FALSE)))</f>
        <v/>
      </c>
      <c r="V9" s="427"/>
      <c r="W9" s="545"/>
      <c r="X9" s="443" t="s">
        <v>16</v>
      </c>
      <c r="Y9" s="444"/>
      <c r="Z9" s="549"/>
      <c r="AA9" s="472">
        <f>O35</f>
        <v>0</v>
      </c>
      <c r="AB9" s="473">
        <f>P35</f>
        <v>0</v>
      </c>
      <c r="AC9" s="547"/>
      <c r="AD9" s="40"/>
      <c r="AE9" s="638"/>
      <c r="AF9" s="48" t="s">
        <v>18</v>
      </c>
      <c r="AG9" s="32"/>
      <c r="AH9" s="32"/>
      <c r="AI9" s="118"/>
      <c r="AJ9" s="38"/>
    </row>
    <row r="10" spans="1:36" ht="30" customHeight="1" x14ac:dyDescent="0.3">
      <c r="A10" s="116"/>
      <c r="B10" s="38"/>
      <c r="C10" s="38"/>
      <c r="D10" s="38"/>
      <c r="E10" s="38" t="str">
        <f>$C$25&amp;"16"</f>
        <v>1216</v>
      </c>
      <c r="F10" s="38"/>
      <c r="G10" s="31" t="str">
        <f>IF(VLOOKUP(E10,BDD!$A$2:$N$567,13,FALSE)=0,"",VLOOKUP(E10,BDD!$A$2:$N$567,13,FALSE))</f>
        <v/>
      </c>
      <c r="H10" s="39"/>
      <c r="I10" s="32"/>
      <c r="K10" s="39"/>
      <c r="L10" s="543"/>
      <c r="M10" s="419" t="str">
        <f>IF(LEFT(RIGHT($B$1,2),1)=" ",RIGHT($B$1,1),RIGHT($B$1,2))&amp;3</f>
        <v>123</v>
      </c>
      <c r="N10" s="422" t="str">
        <f>RIGHT(M10,1)&amp;" : "&amp;VLOOKUP($M10&amp;"1",BDD!$A$2:$N$567,6,FALSE)</f>
        <v>3 : Budget</v>
      </c>
      <c r="O10" s="423" t="str">
        <f>IF(VLOOKUP($M10&amp;RIGHT(O$7,1),BDD!$A$1:$S$600,15,FALSE)=4,"NE",IF(VLOOKUP($M10&amp;RIGHT(O$7,1),BDD!$A$1:$S$600,15,FALSE)=0,"NE",VLOOKUP($M10&amp;RIGHT(O$7,1),BDD!$A$1:$S$600,15,FALSE)))</f>
        <v>NE</v>
      </c>
      <c r="P10" s="423" t="str">
        <f>IF(VLOOKUP($M10&amp;RIGHT(P$7,1),BDD!$A$1:$S$600,15,FALSE)=4,"NE",IF(VLOOKUP($M10&amp;RIGHT(P$7,1),BDD!$A$1:$S$600,15,FALSE)=0,"NE",VLOOKUP($M10&amp;RIGHT(P$7,1),BDD!$A$1:$S$600,15,FALSE)))</f>
        <v>NE</v>
      </c>
      <c r="Q10" s="423" t="str">
        <f>IF(VLOOKUP($M10&amp;RIGHT(Q$7,1),BDD!$A$1:$S$600,15,FALSE)=4,"NE",IF(VLOOKUP($M10&amp;RIGHT(Q$7,1),BDD!$A$1:$S$600,15,FALSE)=0,"NE",VLOOKUP($M10&amp;RIGHT(Q$7,1),BDD!$A$1:$S$600,15,FALSE)))</f>
        <v>NE</v>
      </c>
      <c r="R10" s="428" t="str">
        <f>IF(VLOOKUP($M10&amp;RIGHT(R$7,1),BDD!$A$1:$S$600,15,FALSE)=4,"NE",IF(VLOOKUP($M10&amp;RIGHT(R$7,1),BDD!$A$1:$S$600,15,FALSE)=0,"NE",VLOOKUP($M10&amp;RIGHT(R$7,1),BDD!$A$1:$S$600,15,FALSE)))</f>
        <v>NE</v>
      </c>
      <c r="S10" s="423" t="str">
        <f>IF(VLOOKUP($M10&amp;RIGHT(S$7,1),BDD!$A$1:$S$600,15,FALSE)=4,"NE",IF(VLOOKUP($M10&amp;RIGHT(S$7,1),BDD!$A$1:$S$600,15,FALSE)=0,"NE",VLOOKUP($M10&amp;RIGHT(S$7,1),BDD!$A$1:$S$600,15,FALSE)))</f>
        <v>NE</v>
      </c>
      <c r="T10" s="423" t="str">
        <f>IF(VLOOKUP($M10&amp;RIGHT(T$7,1),BDD!$A$1:$S$600,15,FALSE)=4,"NE",IF(VLOOKUP($M10&amp;RIGHT(T$7,1),BDD!$A$1:$S$600,15,FALSE)=0,"NE",VLOOKUP($M10&amp;RIGHT(T$7,1),BDD!$A$1:$S$600,15,FALSE)))</f>
        <v>NE</v>
      </c>
      <c r="U10" s="429" t="str">
        <f>IF(VLOOKUP($M10&amp;RIGHT(U$7,1),BDD!$A$1:$S$600,15,FALSE)=4,"NE",IF(VLOOKUP($M10&amp;RIGHT(U$7,1),BDD!$A$1:$S$600,15,FALSE)=0,"NE",VLOOKUP($M10&amp;RIGHT(U$7,1),BDD!$A$1:$S$600,15,FALSE)))</f>
        <v>NE</v>
      </c>
      <c r="V10" s="430"/>
      <c r="W10" s="545"/>
      <c r="X10" s="445" t="s">
        <v>16</v>
      </c>
      <c r="Y10" s="446"/>
      <c r="Z10" s="548"/>
      <c r="AA10" s="468">
        <f>O42</f>
        <v>0</v>
      </c>
      <c r="AB10" s="469">
        <f>P42</f>
        <v>0</v>
      </c>
      <c r="AC10" s="547"/>
      <c r="AD10" s="40"/>
      <c r="AE10" s="638"/>
      <c r="AF10" s="53" t="s">
        <v>19</v>
      </c>
      <c r="AG10" s="51"/>
      <c r="AH10" s="52"/>
      <c r="AI10" s="119"/>
      <c r="AJ10" s="38"/>
    </row>
    <row r="11" spans="1:36" ht="30" customHeight="1" x14ac:dyDescent="0.3">
      <c r="A11" s="112"/>
      <c r="B11" s="30"/>
      <c r="C11" s="30"/>
      <c r="D11" s="30"/>
      <c r="E11" s="30" t="str">
        <f>$C$25&amp;"17"</f>
        <v>1217</v>
      </c>
      <c r="F11" s="30"/>
      <c r="G11" s="31" t="str">
        <f>IF(VLOOKUP(E11,BDD!$A$2:$N$567,13,FALSE)=0,"",VLOOKUP(E11,BDD!$A$2:$N$567,13,FALSE))</f>
        <v/>
      </c>
      <c r="H11" s="52"/>
      <c r="I11" s="32"/>
      <c r="K11" s="52"/>
      <c r="L11" s="550"/>
      <c r="M11" s="419" t="str">
        <f>IF(LEFT(RIGHT($B$1,2),1)=" ",RIGHT($B$1,1),RIGHT($B$1,2))&amp;4</f>
        <v>124</v>
      </c>
      <c r="N11" s="424" t="str">
        <f>RIGHT(M11,1)&amp;" : "&amp;VLOOKUP($M11&amp;"1",BDD!$A$2:$N$567,6,FALSE)</f>
        <v>4 : Coûts complets des services</v>
      </c>
      <c r="O11" s="425" t="str">
        <f>IF(VLOOKUP($M11&amp;RIGHT(O$7,1),BDD!$A$1:$S$600,15,FALSE)=4,"NE",IF(VLOOKUP($M11&amp;RIGHT(O$7,1),BDD!$A$1:$S$600,15,FALSE)=0,"NE",VLOOKUP($M11&amp;RIGHT(O$7,1),BDD!$A$1:$S$600,15,FALSE)))</f>
        <v>NE</v>
      </c>
      <c r="P11" s="425" t="str">
        <f>IF(VLOOKUP($M11&amp;RIGHT(P$7,1),BDD!$A$1:$S$600,15,FALSE)=4,"NE",IF(VLOOKUP($M11&amp;RIGHT(P$7,1),BDD!$A$1:$S$600,15,FALSE)=0,"NE",VLOOKUP($M11&amp;RIGHT(P$7,1),BDD!$A$1:$S$600,15,FALSE)))</f>
        <v>NE</v>
      </c>
      <c r="Q11" s="425" t="str">
        <f>IF(VLOOKUP($M11&amp;RIGHT(Q$7,1),BDD!$A$1:$S$600,15,FALSE)=4,"NE",IF(VLOOKUP($M11&amp;RIGHT(Q$7,1),BDD!$A$1:$S$600,15,FALSE)=0,"NE",VLOOKUP($M11&amp;RIGHT(Q$7,1),BDD!$A$1:$S$600,15,FALSE)))</f>
        <v>NE</v>
      </c>
      <c r="R11" s="425" t="str">
        <f>IF(VLOOKUP($M11&amp;RIGHT(R$7,1),BDD!$A$1:$S$600,15,FALSE)=4,"NE",IF(VLOOKUP($M11&amp;RIGHT(R$7,1),BDD!$A$1:$S$600,15,FALSE)=0,"NE",VLOOKUP($M11&amp;RIGHT(R$7,1),BDD!$A$1:$S$600,15,FALSE)))</f>
        <v>NE</v>
      </c>
      <c r="S11" s="425" t="str">
        <f>IF(VLOOKUP($M11&amp;RIGHT(S$7,1),BDD!$A$1:$S$600,15,FALSE)=4,"NE",IF(VLOOKUP($M11&amp;RIGHT(S$7,1),BDD!$A$1:$S$600,15,FALSE)=0,"NE",VLOOKUP($M11&amp;RIGHT(S$7,1),BDD!$A$1:$S$600,15,FALSE)))</f>
        <v>NE</v>
      </c>
      <c r="T11" s="426"/>
      <c r="U11" s="427"/>
      <c r="V11" s="427"/>
      <c r="W11" s="545"/>
      <c r="X11" s="443" t="s">
        <v>16</v>
      </c>
      <c r="Y11" s="444"/>
      <c r="Z11" s="548"/>
      <c r="AA11" s="472">
        <f>O51</f>
        <v>0</v>
      </c>
      <c r="AB11" s="473">
        <f>P51</f>
        <v>0</v>
      </c>
      <c r="AC11" s="547"/>
      <c r="AD11" s="40"/>
      <c r="AE11" s="212"/>
      <c r="AG11" s="51"/>
      <c r="AH11" s="52"/>
      <c r="AI11" s="119"/>
      <c r="AJ11" s="30"/>
    </row>
    <row r="12" spans="1:36" ht="30" customHeight="1" x14ac:dyDescent="0.3">
      <c r="A12" s="112"/>
      <c r="B12" s="30"/>
      <c r="C12" s="30"/>
      <c r="D12" s="30"/>
      <c r="E12" s="30"/>
      <c r="F12" s="30"/>
      <c r="G12" s="54" t="s">
        <v>20</v>
      </c>
      <c r="H12" s="32"/>
      <c r="I12" s="32"/>
      <c r="K12" s="32"/>
      <c r="L12" s="551"/>
      <c r="M12" s="419" t="str">
        <f>IF(LEFT(RIGHT($B$1,2),1)=" ",RIGHT($B$1,1),RIGHT($B$1,2))&amp;5</f>
        <v>125</v>
      </c>
      <c r="N12" s="422" t="str">
        <f>RIGHT(M12,1)&amp;" : "&amp;VLOOKUP($M12&amp;"1",BDD!$A$2:$N$567,6,FALSE)</f>
        <v>5 : Pilotage du portefeuille de projets</v>
      </c>
      <c r="O12" s="423" t="str">
        <f>IF(VLOOKUP($M12&amp;RIGHT(O$7,1),BDD!$A$1:$S$600,15,FALSE)=4,"NE",IF(VLOOKUP($M12&amp;RIGHT(O$7,1),BDD!$A$1:$S$600,15,FALSE)=0,"NE",VLOOKUP($M12&amp;RIGHT(O$7,1),BDD!$A$1:$S$600,15,FALSE)))</f>
        <v>NE</v>
      </c>
      <c r="P12" s="423" t="str">
        <f>IF(VLOOKUP($M12&amp;RIGHT(P$7,1),BDD!$A$1:$S$600,15,FALSE)=4,"NE",IF(VLOOKUP($M12&amp;RIGHT(P$7,1),BDD!$A$1:$S$600,15,FALSE)=0,"NE",VLOOKUP($M12&amp;RIGHT(P$7,1),BDD!$A$1:$S$600,15,FALSE)))</f>
        <v>NE</v>
      </c>
      <c r="Q12" s="423" t="str">
        <f>IF(VLOOKUP($M12&amp;RIGHT(Q$7,1),BDD!$A$1:$S$600,15,FALSE)=4,"NE",IF(VLOOKUP($M12&amp;RIGHT(Q$7,1),BDD!$A$1:$S$600,15,FALSE)=0,"NE",VLOOKUP($M12&amp;RIGHT(Q$7,1),BDD!$A$1:$S$600,15,FALSE)))</f>
        <v>NE</v>
      </c>
      <c r="R12" s="423" t="str">
        <f>IF(VLOOKUP($M12&amp;RIGHT(R$7,1),BDD!$A$1:$S$600,15,FALSE)=4,"NE",IF(VLOOKUP($M12&amp;RIGHT(R$7,1),BDD!$A$1:$S$600,15,FALSE)=0,"NE",VLOOKUP($M12&amp;RIGHT(R$7,1),BDD!$A$1:$S$600,15,FALSE)))</f>
        <v>NE</v>
      </c>
      <c r="S12" s="423" t="str">
        <f>IF(VLOOKUP($M12&amp;RIGHT(S$7,1),BDD!$A$1:$S$600,15,FALSE)=4,"NE",IF(VLOOKUP($M12&amp;RIGHT(S$7,1),BDD!$A$1:$S$600,15,FALSE)=0,"NE",VLOOKUP($M12&amp;RIGHT(S$7,1),BDD!$A$1:$S$600,15,FALSE)))</f>
        <v>NE</v>
      </c>
      <c r="T12" s="423" t="str">
        <f>IF(VLOOKUP($M12&amp;RIGHT(T$7,1),BDD!$A$1:$S$600,15,FALSE)=4,"NE",IF(VLOOKUP($M12&amp;RIGHT(T$7,1),BDD!$A$1:$S$600,15,FALSE)=0,"NE",VLOOKUP($M12&amp;RIGHT(T$7,1),BDD!$A$1:$S$600,15,FALSE)))</f>
        <v>NE</v>
      </c>
      <c r="U12" s="430"/>
      <c r="V12" s="430"/>
      <c r="W12" s="545"/>
      <c r="X12" s="445" t="s">
        <v>16</v>
      </c>
      <c r="Y12" s="446"/>
      <c r="Z12" s="548"/>
      <c r="AA12" s="468">
        <f>O58</f>
        <v>0</v>
      </c>
      <c r="AB12" s="469">
        <f>P58</f>
        <v>0</v>
      </c>
      <c r="AC12" s="547"/>
      <c r="AD12" s="40"/>
      <c r="AE12" s="30"/>
      <c r="AF12" s="56"/>
      <c r="AG12" s="30"/>
      <c r="AH12" s="30"/>
      <c r="AI12" s="112"/>
      <c r="AJ12" s="30"/>
    </row>
    <row r="13" spans="1:36" ht="28.8" customHeight="1" thickBot="1" x14ac:dyDescent="0.35">
      <c r="A13" s="112"/>
      <c r="B13" s="30"/>
      <c r="C13" s="30"/>
      <c r="D13" s="30"/>
      <c r="E13" s="30" t="str">
        <f>$C$25&amp;"11"</f>
        <v>1211</v>
      </c>
      <c r="F13" s="30"/>
      <c r="G13" s="197" t="str">
        <f>IF(VLOOKUP(E13,BDD!$A$2:$N$567,14,FALSE)=0,"",VLOOKUP(E13,BDD!$A$2:$N$567,14,FALSE))</f>
        <v>Sur-qualité des services par rapport au besoin réel.</v>
      </c>
      <c r="H13" s="34"/>
      <c r="I13" s="32"/>
      <c r="K13" s="52"/>
      <c r="L13" s="550"/>
      <c r="M13" s="419" t="str">
        <f>IF(LEFT(RIGHT($B$1,2),1)=" ",RIGHT($B$1,1),RIGHT($B$1,2))&amp;6</f>
        <v>126</v>
      </c>
      <c r="N13" s="424" t="str">
        <f>RIGHT(M13,1)&amp;" : "&amp;VLOOKUP($M13&amp;"1",BDD!$A$2:$N$567,6,FALSE)</f>
        <v>6 : Valeur</v>
      </c>
      <c r="O13" s="425" t="str">
        <f>IF(VLOOKUP($M13&amp;RIGHT(O$7,1),BDD!$A$1:$S$600,15,FALSE)=4,"NE",IF(VLOOKUP($M13&amp;RIGHT(O$7,1),BDD!$A$1:$S$600,15,FALSE)=0,"NE",VLOOKUP($M13&amp;RIGHT(O$7,1),BDD!$A$1:$S$600,15,FALSE)))</f>
        <v>NE</v>
      </c>
      <c r="P13" s="425" t="str">
        <f>IF(VLOOKUP($M13&amp;RIGHT(P$7,1),BDD!$A$1:$S$600,15,FALSE)=4,"NE",IF(VLOOKUP($M13&amp;RIGHT(P$7,1),BDD!$A$1:$S$600,15,FALSE)=0,"NE",VLOOKUP($M13&amp;RIGHT(P$7,1),BDD!$A$1:$S$600,15,FALSE)))</f>
        <v>NE</v>
      </c>
      <c r="Q13" s="425" t="str">
        <f>IF(VLOOKUP($M13&amp;RIGHT(Q$7,1),BDD!$A$1:$S$600,15,FALSE)=4,"NE",IF(VLOOKUP($M13&amp;RIGHT(Q$7,1),BDD!$A$1:$S$600,15,FALSE)=0,"NE",VLOOKUP($M13&amp;RIGHT(Q$7,1),BDD!$A$1:$S$600,15,FALSE)))</f>
        <v>NE</v>
      </c>
      <c r="R13" s="425" t="str">
        <f>IF(VLOOKUP($M13&amp;RIGHT(R$7,1),BDD!$A$1:$S$600,15,FALSE)=4,"NE",IF(VLOOKUP($M13&amp;RIGHT(R$7,1),BDD!$A$1:$S$600,15,FALSE)=0,"NE",VLOOKUP($M13&amp;RIGHT(R$7,1),BDD!$A$1:$S$600,15,FALSE)))</f>
        <v>NE</v>
      </c>
      <c r="S13" s="426"/>
      <c r="T13" s="426"/>
      <c r="U13" s="427"/>
      <c r="V13" s="427"/>
      <c r="W13" s="545"/>
      <c r="X13" s="447" t="s">
        <v>16</v>
      </c>
      <c r="Y13" s="448"/>
      <c r="Z13" s="548"/>
      <c r="AA13" s="472">
        <f>O66</f>
        <v>0</v>
      </c>
      <c r="AB13" s="473">
        <f>P66</f>
        <v>0</v>
      </c>
      <c r="AC13" s="547"/>
      <c r="AD13" s="40"/>
      <c r="AE13" s="30"/>
      <c r="AF13" s="30"/>
      <c r="AG13" s="30"/>
      <c r="AH13" s="40"/>
      <c r="AI13" s="120"/>
      <c r="AJ13" s="30"/>
    </row>
    <row r="14" spans="1:36" ht="30" customHeight="1" x14ac:dyDescent="0.3">
      <c r="A14" s="112"/>
      <c r="B14" s="30"/>
      <c r="C14" s="30"/>
      <c r="D14" s="30"/>
      <c r="E14" s="30" t="str">
        <f>$C$25&amp;"12"</f>
        <v>1212</v>
      </c>
      <c r="F14" s="30"/>
      <c r="G14" s="197" t="str">
        <f>IF(VLOOKUP(E14,BDD!$A$2:$N$567,14,FALSE)=0,"",VLOOKUP(E14,BDD!$A$2:$N$567,14,FALSE))</f>
        <v>Sous-estimation de l’impact de la transformation du modèle de sourcing de la DSI (sous-estimation des changements, ex : Move to cloud).</v>
      </c>
      <c r="H14" s="57"/>
      <c r="I14" s="32"/>
      <c r="K14" s="34"/>
      <c r="L14" s="552"/>
      <c r="M14" s="553"/>
      <c r="N14" s="554"/>
      <c r="O14" s="554"/>
      <c r="P14" s="554"/>
      <c r="Q14" s="554"/>
      <c r="R14" s="554"/>
      <c r="S14" s="554"/>
      <c r="T14" s="554"/>
      <c r="U14" s="554"/>
      <c r="V14" s="554"/>
      <c r="W14" s="554"/>
      <c r="X14" s="555"/>
      <c r="Y14" s="556"/>
      <c r="Z14" s="556"/>
      <c r="AA14" s="556"/>
      <c r="AB14" s="556"/>
      <c r="AC14" s="557"/>
      <c r="AD14" s="55"/>
      <c r="AE14" s="30"/>
      <c r="AF14" s="56"/>
      <c r="AG14" s="30"/>
      <c r="AH14" s="30"/>
      <c r="AI14" s="112"/>
      <c r="AJ14" s="30"/>
    </row>
    <row r="15" spans="1:36" ht="30" customHeight="1" thickBot="1" x14ac:dyDescent="0.35">
      <c r="A15" s="112"/>
      <c r="B15" s="30"/>
      <c r="C15" s="30"/>
      <c r="D15" s="30"/>
      <c r="E15" s="30" t="str">
        <f>$C$25&amp;"13"</f>
        <v>1213</v>
      </c>
      <c r="F15" s="30"/>
      <c r="G15" s="197" t="str">
        <f>IF(VLOOKUP(E15,BDD!$A$2:$N$567,14,FALSE)=0,"",VLOOKUP(E15,BDD!$A$2:$N$567,14,FALSE))</f>
        <v>Sous-estimation de l’impact des nouvelles technologies, de la menace cyber, de la dette technique…</v>
      </c>
      <c r="H15" s="58"/>
      <c r="I15" s="32"/>
      <c r="K15" s="57"/>
      <c r="L15" s="558"/>
      <c r="M15" s="553"/>
      <c r="N15" s="559" t="str">
        <f>"Evaluation globale du vecteur "&amp;RIGHT(B1,2)</f>
        <v>Evaluation globale du vecteur 12</v>
      </c>
      <c r="O15" s="560"/>
      <c r="P15" s="560"/>
      <c r="Q15" s="560"/>
      <c r="R15" s="560"/>
      <c r="S15" s="560"/>
      <c r="T15" s="560"/>
      <c r="U15" s="560"/>
      <c r="V15" s="560"/>
      <c r="W15" s="560"/>
      <c r="X15" s="561"/>
      <c r="Y15" s="556"/>
      <c r="Z15" s="548"/>
      <c r="AA15" s="562" t="s">
        <v>642</v>
      </c>
      <c r="AB15" s="562" t="s">
        <v>643</v>
      </c>
      <c r="AC15" s="557"/>
      <c r="AD15" s="30"/>
      <c r="AE15" s="30"/>
      <c r="AF15" s="30"/>
      <c r="AG15" s="30"/>
      <c r="AH15" s="30"/>
      <c r="AI15" s="112"/>
      <c r="AJ15" s="30"/>
    </row>
    <row r="16" spans="1:36" ht="38.4" customHeight="1" thickBot="1" x14ac:dyDescent="0.35">
      <c r="A16" s="112"/>
      <c r="B16" s="30"/>
      <c r="C16" s="30"/>
      <c r="D16" s="30"/>
      <c r="E16" s="30" t="str">
        <f>$C$25&amp;"14"</f>
        <v>1214</v>
      </c>
      <c r="F16" s="30"/>
      <c r="G16" s="197" t="str">
        <f>IF(VLOOKUP(E16,BDD!$A$2:$N$567,14,FALSE)=0,"",VLOOKUP(E16,BDD!$A$2:$N$567,14,FALSE))</f>
        <v>Manque de processus structuré assurant le suivi de la performance opérationnelle et financière du SI.</v>
      </c>
      <c r="H16" s="58"/>
      <c r="I16" s="32"/>
      <c r="K16" s="58"/>
      <c r="L16" s="551"/>
      <c r="M16" s="553"/>
      <c r="N16" s="451"/>
      <c r="O16" s="560"/>
      <c r="P16" s="560"/>
      <c r="Q16" s="560"/>
      <c r="R16" s="560"/>
      <c r="S16" s="560"/>
      <c r="T16" s="560"/>
      <c r="U16" s="560"/>
      <c r="V16" s="560"/>
      <c r="W16" s="560"/>
      <c r="X16" s="449" t="s">
        <v>16</v>
      </c>
      <c r="Y16" s="450"/>
      <c r="Z16" s="556"/>
      <c r="AA16" s="530">
        <f>O22</f>
        <v>0</v>
      </c>
      <c r="AB16" s="531">
        <f>SUM($X$26:$X$73)</f>
        <v>0</v>
      </c>
      <c r="AC16" s="557"/>
      <c r="AD16" s="30"/>
      <c r="AE16" s="30"/>
      <c r="AF16" s="30"/>
      <c r="AG16" s="30"/>
      <c r="AH16" s="30"/>
      <c r="AI16" s="112"/>
      <c r="AJ16" s="30"/>
    </row>
    <row r="17" spans="1:36" ht="38.4" customHeight="1" thickBot="1" x14ac:dyDescent="0.35">
      <c r="A17" s="112"/>
      <c r="B17" s="30"/>
      <c r="C17" s="30"/>
      <c r="D17" s="30"/>
      <c r="E17" s="30" t="str">
        <f>$C$25&amp;"15"</f>
        <v>1215</v>
      </c>
      <c r="F17" s="30"/>
      <c r="G17" s="197" t="str">
        <f>IF(VLOOKUP(E17,BDD!$A$2:$N$567,14,FALSE)=0,"",VLOOKUP(E17,BDD!$A$2:$N$567,14,FALSE))</f>
        <v/>
      </c>
      <c r="H17" s="58"/>
      <c r="I17" s="32"/>
      <c r="K17" s="32"/>
      <c r="L17" s="563"/>
      <c r="M17" s="564"/>
      <c r="N17" s="565"/>
      <c r="O17" s="565"/>
      <c r="P17" s="565"/>
      <c r="Q17" s="565"/>
      <c r="R17" s="565"/>
      <c r="S17" s="565"/>
      <c r="T17" s="565"/>
      <c r="U17" s="565"/>
      <c r="V17" s="565"/>
      <c r="W17" s="565"/>
      <c r="X17" s="566"/>
      <c r="Y17" s="565"/>
      <c r="Z17" s="565"/>
      <c r="AA17" s="565"/>
      <c r="AB17" s="565"/>
      <c r="AC17" s="567"/>
      <c r="AD17" s="30"/>
      <c r="AE17" s="30"/>
      <c r="AF17" s="30"/>
      <c r="AG17" s="30"/>
      <c r="AH17" s="30"/>
      <c r="AI17" s="112"/>
      <c r="AJ17" s="30"/>
    </row>
    <row r="18" spans="1:36" ht="24" customHeight="1" x14ac:dyDescent="0.3">
      <c r="A18" s="112"/>
      <c r="B18" s="30"/>
      <c r="C18" s="30"/>
      <c r="D18" s="30"/>
      <c r="E18" s="30" t="str">
        <f>$C$25&amp;"16"</f>
        <v>1216</v>
      </c>
      <c r="F18" s="30"/>
      <c r="G18" s="197" t="str">
        <f>IF(VLOOKUP(E18,BDD!$A$2:$N$567,14,FALSE)=0,"",VLOOKUP(E18,BDD!$A$2:$N$567,14,FALSE))</f>
        <v/>
      </c>
      <c r="H18" s="58"/>
      <c r="I18" s="32"/>
      <c r="L18" s="571"/>
      <c r="M18" s="572"/>
      <c r="N18" s="569"/>
      <c r="O18" s="569"/>
      <c r="P18" s="569"/>
      <c r="Q18" s="569"/>
      <c r="R18" s="569"/>
      <c r="S18" s="569"/>
      <c r="T18" s="569"/>
      <c r="U18" s="569"/>
      <c r="V18" s="569"/>
      <c r="W18" s="569"/>
      <c r="X18" s="569"/>
      <c r="Y18" s="569"/>
      <c r="Z18" s="569"/>
      <c r="AA18" s="569"/>
      <c r="AB18" s="569"/>
      <c r="AC18" s="30"/>
      <c r="AE18" s="30"/>
      <c r="AF18" s="30"/>
      <c r="AG18" s="30"/>
      <c r="AH18" s="30"/>
      <c r="AI18" s="112"/>
      <c r="AJ18" s="30"/>
    </row>
    <row r="19" spans="1:36" ht="24" hidden="1" customHeight="1" x14ac:dyDescent="0.3">
      <c r="A19" s="112"/>
      <c r="B19" s="30"/>
      <c r="C19" s="30"/>
      <c r="D19" s="30"/>
      <c r="E19" s="30"/>
      <c r="F19" s="30"/>
      <c r="G19" s="197"/>
      <c r="H19" s="58"/>
      <c r="I19" s="32"/>
      <c r="AE19" s="30"/>
      <c r="AF19" s="30"/>
      <c r="AG19" s="30"/>
      <c r="AH19" s="30"/>
      <c r="AI19" s="112"/>
      <c r="AJ19" s="30"/>
    </row>
    <row r="20" spans="1:36" ht="30" customHeight="1" x14ac:dyDescent="0.3">
      <c r="A20" s="112"/>
      <c r="B20" s="30"/>
      <c r="C20" s="30"/>
      <c r="D20" s="30"/>
      <c r="E20" s="30"/>
      <c r="F20" s="30"/>
      <c r="G20" s="197"/>
      <c r="H20" s="58"/>
      <c r="I20" s="32"/>
      <c r="K20" s="58"/>
      <c r="L20" s="58"/>
      <c r="M20" s="32"/>
      <c r="N20" s="215" t="s">
        <v>855</v>
      </c>
      <c r="O20" s="641">
        <f>COUNTIF(N27:N100,"Non renseigné")</f>
        <v>35</v>
      </c>
      <c r="P20" s="642"/>
      <c r="Q20" s="642"/>
      <c r="R20" s="643"/>
      <c r="S20" s="30"/>
      <c r="T20" s="30"/>
      <c r="U20" s="30"/>
      <c r="V20" s="30"/>
      <c r="W20" s="30"/>
      <c r="X20" s="30"/>
      <c r="Y20" s="30"/>
      <c r="Z20" s="30"/>
      <c r="AA20" s="30"/>
      <c r="AB20" s="30"/>
      <c r="AC20" s="30"/>
      <c r="AD20" s="30"/>
      <c r="AE20" s="30"/>
      <c r="AF20" s="30"/>
      <c r="AG20" s="30"/>
      <c r="AH20" s="30"/>
      <c r="AI20" s="112"/>
      <c r="AJ20" s="30"/>
    </row>
    <row r="21" spans="1:36" ht="30" customHeight="1" x14ac:dyDescent="0.3">
      <c r="A21" s="112"/>
      <c r="B21" s="30"/>
      <c r="C21" s="30"/>
      <c r="D21" s="30"/>
      <c r="E21" s="30" t="str">
        <f>RIGHT($B$1,1)&amp;"17"</f>
        <v>217</v>
      </c>
      <c r="F21" s="30"/>
      <c r="G21" s="197" t="str">
        <f>IF(VLOOKUP(E21,BDD!$A$2:$N$567,14,FALSE)=0,"",VLOOKUP(E21,BDD!$A$2:$N$567,14,FALSE))</f>
        <v/>
      </c>
      <c r="H21" s="58"/>
      <c r="I21" s="58"/>
      <c r="K21" s="58"/>
      <c r="L21" s="58"/>
      <c r="M21" s="32"/>
      <c r="N21" s="215" t="s">
        <v>853</v>
      </c>
      <c r="O21" s="648">
        <f>COUNTIF($N$27:$N$91,"Non évalué")</f>
        <v>0</v>
      </c>
      <c r="P21" s="649"/>
      <c r="Q21" s="649"/>
      <c r="R21" s="650"/>
      <c r="S21" s="30"/>
      <c r="T21" s="30"/>
      <c r="U21" s="30"/>
      <c r="V21" s="30"/>
      <c r="W21" s="30"/>
      <c r="X21" s="30"/>
      <c r="Y21" s="30"/>
      <c r="Z21" s="30"/>
      <c r="AA21" s="30"/>
      <c r="AB21" s="30"/>
      <c r="AC21" s="30"/>
      <c r="AD21" s="30"/>
      <c r="AE21" s="30"/>
      <c r="AF21" s="30"/>
      <c r="AG21" s="30"/>
      <c r="AH21" s="30"/>
      <c r="AI21" s="112"/>
      <c r="AJ21" s="30"/>
    </row>
    <row r="22" spans="1:36" ht="50.4" customHeight="1" x14ac:dyDescent="0.3">
      <c r="A22" s="112"/>
      <c r="B22" s="30"/>
      <c r="C22" s="30"/>
      <c r="D22" s="30"/>
      <c r="F22" s="30"/>
      <c r="G22" s="197" t="str">
        <f>IF(VLOOKUP($E33,BDD!$A$2:$N$567,14,FALSE)=0,"",VLOOKUP($E33,BDD!$A$2:$N$567,14,FALSE))</f>
        <v/>
      </c>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30"/>
      <c r="AI22" s="112"/>
      <c r="AJ22" s="30"/>
    </row>
    <row r="23" spans="1:36" ht="30" customHeight="1" x14ac:dyDescent="0.3">
      <c r="A23" s="112"/>
      <c r="B23" s="30"/>
      <c r="D23" s="30"/>
      <c r="E23" s="30"/>
      <c r="F23" s="30"/>
      <c r="G23" s="30"/>
      <c r="H23" s="59" t="s">
        <v>21</v>
      </c>
      <c r="I23" s="240"/>
      <c r="J23" s="60"/>
      <c r="K23" s="60"/>
      <c r="L23" s="61"/>
      <c r="M23" s="62"/>
      <c r="N23" s="30"/>
      <c r="O23" s="30"/>
      <c r="P23" s="30"/>
      <c r="Q23" s="30"/>
      <c r="R23" s="30"/>
      <c r="S23" s="30"/>
      <c r="T23" s="30"/>
      <c r="U23" s="30"/>
      <c r="V23" s="30"/>
      <c r="W23" s="30"/>
      <c r="X23" s="30"/>
      <c r="Y23" s="30"/>
      <c r="Z23" s="30"/>
      <c r="AA23" s="30"/>
      <c r="AB23" s="30"/>
      <c r="AC23" s="30"/>
      <c r="AD23" s="30"/>
      <c r="AE23" s="30"/>
      <c r="AF23" s="30"/>
      <c r="AG23" s="30"/>
      <c r="AH23" s="30"/>
      <c r="AI23" s="112"/>
      <c r="AJ23" s="30"/>
    </row>
    <row r="24" spans="1:36" ht="39.6" customHeight="1" x14ac:dyDescent="0.3">
      <c r="A24" s="112"/>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4" t="s">
        <v>13</v>
      </c>
      <c r="T24" s="645"/>
      <c r="U24" s="645"/>
      <c r="V24" s="679"/>
      <c r="W24" s="434"/>
      <c r="X24" s="30"/>
      <c r="Y24" s="30"/>
      <c r="Z24" s="30"/>
      <c r="AA24" s="30"/>
      <c r="AB24" s="30"/>
      <c r="AC24" s="30"/>
      <c r="AD24" s="30"/>
      <c r="AE24" s="30"/>
      <c r="AF24" s="30"/>
      <c r="AG24" s="30"/>
      <c r="AH24" s="30"/>
      <c r="AI24" s="112"/>
      <c r="AJ24" s="30"/>
    </row>
    <row r="25" spans="1:36" ht="30" customHeight="1" x14ac:dyDescent="0.3">
      <c r="A25" s="112"/>
      <c r="B25" s="30"/>
      <c r="C25" s="30" t="str">
        <f>IF(LEFT(RIGHT($B$1,2),1)=" ",RIGHT($B$1,1),RIGHT($B$1,2))</f>
        <v>12</v>
      </c>
      <c r="D25" s="32">
        <f>IF(LEFT(F25,5)="Bonne",B23+1,D24)</f>
        <v>1</v>
      </c>
      <c r="E25" s="32"/>
      <c r="F25" s="191" t="s">
        <v>499</v>
      </c>
      <c r="G25" s="192" t="str">
        <f>VLOOKUP(E27,BDD!$A$2:$N$567,6,FALSE)</f>
        <v>Objectifs de performance</v>
      </c>
      <c r="H25" s="190"/>
      <c r="I25" s="135"/>
      <c r="J25" s="135"/>
      <c r="K25" s="135"/>
      <c r="L25" s="136"/>
      <c r="M25" s="137"/>
      <c r="N25" s="138"/>
      <c r="O25" s="672">
        <v>0</v>
      </c>
      <c r="P25" s="672"/>
      <c r="Q25" s="672"/>
      <c r="R25" s="672"/>
      <c r="S25" s="657">
        <f>SUMIFS(S:S,$D:$D,D25,$N:$N,"Exigences"&amp;"*")</f>
        <v>0</v>
      </c>
      <c r="T25" s="657"/>
      <c r="U25" s="657"/>
      <c r="V25" s="658"/>
      <c r="W25" s="434"/>
      <c r="X25" s="30"/>
      <c r="Y25" s="30"/>
      <c r="Z25" s="30"/>
      <c r="AA25" s="30"/>
      <c r="AB25" s="30"/>
      <c r="AC25" s="30"/>
      <c r="AD25" s="30"/>
      <c r="AE25" s="30"/>
      <c r="AF25" s="30"/>
      <c r="AG25" s="30"/>
      <c r="AH25" s="30"/>
      <c r="AI25" s="112"/>
      <c r="AJ25" s="30"/>
    </row>
    <row r="26" spans="1:36" ht="30" customHeight="1" x14ac:dyDescent="0.3">
      <c r="A26" s="112"/>
      <c r="B26" s="30"/>
      <c r="C26" s="30" t="str">
        <f t="shared" ref="C26:C71" si="0">IF(LEFT(RIGHT($B$1,2),1)=" ",RIGHT($B$1,1),RIGHT($B$1,2))</f>
        <v>12</v>
      </c>
      <c r="D26" s="32">
        <f>IF(LEFT(F26,5)="Bonne",D24+1,D25)</f>
        <v>1</v>
      </c>
      <c r="F26" s="211" t="s">
        <v>550</v>
      </c>
      <c r="G26" s="620" t="str">
        <f>VLOOKUP(E28,BDD!$A$2:$N$567,7,FALSE)</f>
        <v>La DSI a défini ses objectifs prioritaires en mettant en évidence leur contribution à ceux de l'entreprise et en les structurant, par exemple selon les volets de l'IT SCORECARD définis par l'ISACA France.</v>
      </c>
      <c r="H26" s="621"/>
      <c r="I26" s="621"/>
      <c r="J26" s="621"/>
      <c r="K26" s="621"/>
      <c r="L26" s="621"/>
      <c r="M26" s="621"/>
      <c r="N26" s="622"/>
      <c r="O26" s="673"/>
      <c r="P26" s="673"/>
      <c r="Q26" s="673"/>
      <c r="R26" s="673"/>
      <c r="S26" s="659"/>
      <c r="T26" s="659"/>
      <c r="U26" s="659"/>
      <c r="V26" s="660"/>
      <c r="W26" s="432">
        <f>IFERROR(IF(M26=Suppl!$E$65,0,IF(M26=Suppl!$E$66,1/2/(COUNTIFS($N:$N,"Exigences"&amp;"*")+COUNTIFS($N:$N,"Non"&amp;"*")),IF(M26=Suppl!$E$67,1/(COUNTIFS($N:$N,"Exigences"&amp;"*")+COUNTIFS($N:$N,"Non"&amp;"*")),0))),0)</f>
        <v>0</v>
      </c>
      <c r="X26" s="433">
        <f>IFERROR(IF(N26=Suppl!$E$65,0,IF(N26=Suppl!$E$66,1/2/(COUNTIFS($N:$N,"Exigences"&amp;"*")+COUNTIFS($N:$N,"Non"&amp;"*")),IF(N26=Suppl!$E$67,1/(COUNTIFS($N:$N,"Exigences"&amp;"*")+COUNTIFS($N:$N,"Non"&amp;"*")),0))),0)</f>
        <v>0</v>
      </c>
      <c r="Y26" s="30"/>
      <c r="Z26" s="30"/>
      <c r="AA26" s="30"/>
      <c r="AB26" s="30"/>
      <c r="AC26" s="30"/>
      <c r="AD26" s="30"/>
      <c r="AE26" s="30"/>
      <c r="AF26" s="30"/>
      <c r="AG26" s="30"/>
      <c r="AH26" s="30"/>
      <c r="AI26" s="112"/>
      <c r="AJ26" s="30"/>
    </row>
    <row r="27" spans="1:36" ht="30" customHeight="1" x14ac:dyDescent="0.3">
      <c r="A27" s="112"/>
      <c r="B27" s="30"/>
      <c r="C27" s="30" t="str">
        <f t="shared" si="0"/>
        <v>12</v>
      </c>
      <c r="D27" s="32">
        <f>IF(LEFT(F27,5)="Bonne",D25+1,D26)</f>
        <v>1</v>
      </c>
      <c r="E27" s="32" t="str">
        <f>C27&amp;D27&amp;RIGHT(F27,1)</f>
        <v>1211</v>
      </c>
      <c r="F27" s="143" t="s">
        <v>27</v>
      </c>
      <c r="G27" s="144" t="str">
        <f>VLOOKUP(E27,BDD!$A$2:$N$567,MATCH(G$24,BDD!$A$1:$P$1,0),FALSE)</f>
        <v>Les objectifs de la DSI sont définis conjointement avec les métiers, notamment en ce qui concerne la performance des processus informatiques (build, run, évolutions).</v>
      </c>
      <c r="H27" s="149" t="str">
        <f>IF(VLOOKUP($E27,BDD!$A$2:$N$567,MATCH($H$23,BDD!$A$1:$P$1,0),FALSE)=H$24,'V12_Budget&amp;Perf.'!H$24,"")</f>
        <v>N1</v>
      </c>
      <c r="I27" s="150" t="str">
        <f>IF(VLOOKUP($E27,BDD!$A$2:$N$567,MATCH($H$23,BDD!$A$1:$P$1,0),FALSE)=I$24,'V12_Budget&amp;Perf.'!I$24,"")</f>
        <v/>
      </c>
      <c r="J27" s="150" t="str">
        <f>IF(VLOOKUP($E27,BDD!$A$2:$N$567,MATCH($H$23,BDD!$A$1:$P$1,0),FALSE)=J$24,'V12_Budget&amp;Perf.'!J$24,"")</f>
        <v/>
      </c>
      <c r="K27" s="150" t="str">
        <f>IF(VLOOKUP($E27,BDD!$A$2:$N$567,MATCH($H$23,BDD!$A$1:$P$1,0),FALSE)=K$24,'V12_Budget&amp;Perf.'!K$24,"")</f>
        <v/>
      </c>
      <c r="L27" s="151" t="str">
        <f>IF(VLOOKUP($E27,BDD!$A$2:$N$567,MATCH($H$23,BDD!$A$1:$P$1,0),FALSE)=L$24,'V12_Budget&amp;Perf.'!L$24,"")</f>
        <v/>
      </c>
      <c r="M27" s="63">
        <f t="shared" ref="M27:M33" si="1">IF(N27="Exigences partiellement respectées",1,IF(N27="Exigences respectées",2,0))</f>
        <v>0</v>
      </c>
      <c r="N27" s="144" t="str">
        <f>VLOOKUP(VLOOKUP(E27,BDD!$A$2:$P$550,15,FALSE),Suppl!$D$64:$E$68,2,FALSE)</f>
        <v>Non renseigné</v>
      </c>
      <c r="O27" s="674"/>
      <c r="P27" s="674"/>
      <c r="Q27" s="674"/>
      <c r="R27" s="674"/>
      <c r="S27" s="661">
        <f>IF(N27=Suppl!$E$65,0,IF(N27=Suppl!$E$66,1/2/(COUNTIFS($D:$D,D27,$N:$N,"Exigences"&amp;"*",G:G,"&lt;&gt;0")+COUNTIFS($D:$D,D27,$N:$N,"Non"&amp;"*",G:G,"&lt;&gt;0")),IF(N27=Suppl!$E$67,1/(COUNTIFS($D:$D,D27,$N:$N,"Exigences"&amp;"*",G:G,"&lt;&gt;0")+COUNTIFS($D:$D,D27,$N:$N,"Non"&amp;"*",G:G,"&lt;&gt;0")),0)))</f>
        <v>0</v>
      </c>
      <c r="T27" s="662"/>
      <c r="U27" s="662"/>
      <c r="V27" s="663"/>
      <c r="W27" s="432">
        <f>IFERROR(IF(M27=Suppl!$E$65,0,IF(M27=Suppl!$E$66,1/2/(COUNTIFS($N:$N,"Exigences"&amp;"*")+COUNTIFS($N:$N,"Non"&amp;"*")),IF(M27=Suppl!$E$67,1/(COUNTIFS($N:$N,"Exigences"&amp;"*")+COUNTIFS($N:$N,"Non"&amp;"*")),0))),0)</f>
        <v>0</v>
      </c>
      <c r="X27" s="433">
        <f>IFERROR(IF(N27=Suppl!$E$65,0,IF(N27=Suppl!$E$66,1/2/(COUNTIFS($N:$N,"Exigences"&amp;"*")+COUNTIFS($N:$N,"Non"&amp;"*")),IF(N27=Suppl!$E$67,1/(COUNTIFS($N:$N,"Exigences"&amp;"*")+COUNTIFS($N:$N,"Non"&amp;"*")),0))),0)</f>
        <v>0</v>
      </c>
      <c r="Y27" s="30"/>
      <c r="Z27" s="30"/>
      <c r="AA27" s="30"/>
      <c r="AB27" s="30"/>
      <c r="AC27" s="30"/>
      <c r="AD27" s="30"/>
      <c r="AE27" s="30"/>
      <c r="AF27" s="30"/>
      <c r="AG27" s="30"/>
      <c r="AH27" s="30"/>
      <c r="AI27" s="112"/>
      <c r="AJ27" s="30"/>
    </row>
    <row r="28" spans="1:36" ht="30" customHeight="1" x14ac:dyDescent="0.3">
      <c r="A28" s="112"/>
      <c r="B28" s="30"/>
      <c r="C28" s="30" t="str">
        <f t="shared" si="0"/>
        <v>12</v>
      </c>
      <c r="D28" s="32">
        <f t="shared" ref="D28:D33" si="2">IF(LEFT(F28,5)="Bonne",D26+1,D27)</f>
        <v>1</v>
      </c>
      <c r="E28" s="32" t="str">
        <f t="shared" ref="E28:E33" si="3">C28&amp;D28&amp;RIGHT(F28,1)</f>
        <v>1212</v>
      </c>
      <c r="F28" s="145" t="s">
        <v>28</v>
      </c>
      <c r="G28" s="146" t="str">
        <f>VLOOKUP(E28,BDD!$A$2:$N$567,MATCH(G$24,BDD!$A$1:$P$1,0),FALSE)</f>
        <v>Les objectifs de la DSI sont définis conjointement avec les clients, notamment en ce qui concerne la maîtrise des coûts des services informatiques fournis.</v>
      </c>
      <c r="H28" s="149" t="str">
        <f>IF(VLOOKUP($E28,BDD!$A$2:$N$567,MATCH($H$23,BDD!$A$1:$P$1,0),FALSE)=H$24,'V12_Budget&amp;Perf.'!H$24,"")</f>
        <v/>
      </c>
      <c r="I28" s="150" t="str">
        <f>IF(VLOOKUP($E28,BDD!$A$2:$N$567,MATCH($H$23,BDD!$A$1:$P$1,0),FALSE)=I$24,'V12_Budget&amp;Perf.'!I$24,"")</f>
        <v>N2</v>
      </c>
      <c r="J28" s="150" t="str">
        <f>IF(VLOOKUP($E28,BDD!$A$2:$N$567,MATCH($H$23,BDD!$A$1:$P$1,0),FALSE)=J$24,'V12_Budget&amp;Perf.'!J$24,"")</f>
        <v/>
      </c>
      <c r="K28" s="150" t="str">
        <f>IF(VLOOKUP($E28,BDD!$A$2:$N$567,MATCH($H$23,BDD!$A$1:$P$1,0),FALSE)=K$24,'V12_Budget&amp;Perf.'!K$24,"")</f>
        <v/>
      </c>
      <c r="L28" s="151" t="str">
        <f>IF(VLOOKUP($E28,BDD!$A$2:$N$567,MATCH($H$23,BDD!$A$1:$P$1,0),FALSE)=L$24,'V12_Budget&amp;Perf.'!L$24,"")</f>
        <v/>
      </c>
      <c r="M28" s="63">
        <f t="shared" si="1"/>
        <v>0</v>
      </c>
      <c r="N28" s="146" t="str">
        <f>VLOOKUP(VLOOKUP(E28,BDD!$A$2:$P$550,15,FALSE),Suppl!$D$64:$E$68,2,FALSE)</f>
        <v>Non renseigné</v>
      </c>
      <c r="O28" s="670"/>
      <c r="P28" s="670"/>
      <c r="Q28" s="670"/>
      <c r="R28" s="670"/>
      <c r="S28" s="664">
        <f>IF(N28=Suppl!$E$65,0,IF(N28=Suppl!$E$66,1/2/(COUNTIFS($D:$D,D28,$N:$N,"Exigences"&amp;"*",G:G,"&lt;&gt;0")+COUNTIFS($D:$D,D28,$N:$N,"Non"&amp;"*",G:G,"&lt;&gt;0")),IF(N28=Suppl!$E$67,1/(COUNTIFS($D:$D,D28,$N:$N,"Exigences"&amp;"*",G:G,"&lt;&gt;0")+COUNTIFS($D:$D,D28,$N:$N,"Non"&amp;"*",G:G,"&lt;&gt;0")),0)))</f>
        <v>0</v>
      </c>
      <c r="T28" s="665"/>
      <c r="U28" s="665"/>
      <c r="V28" s="666"/>
      <c r="W28" s="432">
        <f>IFERROR(IF(M28=Suppl!$E$65,0,IF(M28=Suppl!$E$66,1/2/(COUNTIFS($N:$N,"Exigences"&amp;"*")+COUNTIFS($N:$N,"Non"&amp;"*")),IF(M28=Suppl!$E$67,1/(COUNTIFS($N:$N,"Exigences"&amp;"*")+COUNTIFS($N:$N,"Non"&amp;"*")),0))),0)</f>
        <v>0</v>
      </c>
      <c r="X28" s="433">
        <f>IFERROR(IF(N28=Suppl!$E$65,0,IF(N28=Suppl!$E$66,1/2/(COUNTIFS($N:$N,"Exigences"&amp;"*")+COUNTIFS($N:$N,"Non"&amp;"*")),IF(N28=Suppl!$E$67,1/(COUNTIFS($N:$N,"Exigences"&amp;"*")+COUNTIFS($N:$N,"Non"&amp;"*")),0))),0)</f>
        <v>0</v>
      </c>
      <c r="Y28" s="30"/>
      <c r="Z28" s="30"/>
      <c r="AA28" s="30"/>
      <c r="AB28" s="30"/>
      <c r="AC28" s="30"/>
      <c r="AD28" s="30"/>
      <c r="AE28" s="30"/>
      <c r="AF28" s="30"/>
      <c r="AG28" s="30"/>
      <c r="AH28" s="30"/>
      <c r="AI28" s="112"/>
      <c r="AJ28" s="30"/>
    </row>
    <row r="29" spans="1:36" ht="30" customHeight="1" x14ac:dyDescent="0.3">
      <c r="A29" s="112"/>
      <c r="B29" s="30"/>
      <c r="C29" s="30" t="str">
        <f t="shared" si="0"/>
        <v>12</v>
      </c>
      <c r="D29" s="32">
        <f>IF(LEFT(F29,5)="Bonne",D27+1,D28)</f>
        <v>1</v>
      </c>
      <c r="E29" s="32" t="str">
        <f t="shared" si="3"/>
        <v>1213</v>
      </c>
      <c r="F29" s="143" t="s">
        <v>30</v>
      </c>
      <c r="G29" s="144" t="str">
        <f>VLOOKUP(E29,BDD!$A$2:$N$567,MATCH(G$24,BDD!$A$1:$P$1,0),FALSE)</f>
        <v>Les objectifs de la DSI sont définis conjointement avec les clients, notamment en ce qui concerne la gestion des compétences informatiques et la préparation du futur.</v>
      </c>
      <c r="H29" s="149" t="str">
        <f>IF(VLOOKUP($E29,BDD!$A$2:$N$567,MATCH($H$23,BDD!$A$1:$P$1,0),FALSE)=H$24,'V12_Budget&amp;Perf.'!H$24,"")</f>
        <v/>
      </c>
      <c r="I29" s="150" t="str">
        <f>IF(VLOOKUP($E29,BDD!$A$2:$N$567,MATCH($H$23,BDD!$A$1:$P$1,0),FALSE)=I$24,'V12_Budget&amp;Perf.'!I$24,"")</f>
        <v/>
      </c>
      <c r="J29" s="150" t="str">
        <f>IF(VLOOKUP($E29,BDD!$A$2:$N$567,MATCH($H$23,BDD!$A$1:$P$1,0),FALSE)=J$24,'V12_Budget&amp;Perf.'!J$24,"")</f>
        <v>N3</v>
      </c>
      <c r="K29" s="150" t="str">
        <f>IF(VLOOKUP($E29,BDD!$A$2:$N$567,MATCH($H$23,BDD!$A$1:$P$1,0),FALSE)=K$24,'V12_Budget&amp;Perf.'!K$24,"")</f>
        <v/>
      </c>
      <c r="L29" s="151" t="str">
        <f>IF(VLOOKUP($E29,BDD!$A$2:$N$567,MATCH($H$23,BDD!$A$1:$P$1,0),FALSE)=L$24,'V12_Budget&amp;Perf.'!L$24,"")</f>
        <v/>
      </c>
      <c r="M29" s="63">
        <f t="shared" si="1"/>
        <v>0</v>
      </c>
      <c r="N29" s="144" t="str">
        <f>VLOOKUP(VLOOKUP(E29,BDD!$A$2:$P$550,15,FALSE),Suppl!$D$64:$E$68,2,FALSE)</f>
        <v>Non renseigné</v>
      </c>
      <c r="O29" s="670"/>
      <c r="P29" s="670"/>
      <c r="Q29" s="670"/>
      <c r="R29" s="670"/>
      <c r="S29" s="664">
        <f>IF(N29=Suppl!$E$65,0,IF(N29=Suppl!$E$66,1/2/(COUNTIFS($D:$D,D29,$N:$N,"Exigences"&amp;"*",G:G,"&lt;&gt;0")+COUNTIFS($D:$D,D29,$N:$N,"Non"&amp;"*",G:G,"&lt;&gt;0")),IF(N29=Suppl!$E$67,1/(COUNTIFS($D:$D,D29,$N:$N,"Exigences"&amp;"*",G:G,"&lt;&gt;0")+COUNTIFS($D:$D,D29,$N:$N,"Non"&amp;"*",G:G,"&lt;&gt;0")),0)))</f>
        <v>0</v>
      </c>
      <c r="T29" s="665"/>
      <c r="U29" s="665"/>
      <c r="V29" s="666"/>
      <c r="W29" s="432">
        <f>IFERROR(IF(M29=Suppl!$E$65,0,IF(M29=Suppl!$E$66,1/2/(COUNTIFS($N:$N,"Exigences"&amp;"*")+COUNTIFS($N:$N,"Non"&amp;"*")),IF(M29=Suppl!$E$67,1/(COUNTIFS($N:$N,"Exigences"&amp;"*")+COUNTIFS($N:$N,"Non"&amp;"*")),0))),0)</f>
        <v>0</v>
      </c>
      <c r="X29" s="433">
        <f>IFERROR(IF(N29=Suppl!$E$65,0,IF(N29=Suppl!$E$66,1/2/(COUNTIFS($N:$N,"Exigences"&amp;"*")+COUNTIFS($N:$N,"Non"&amp;"*")),IF(N29=Suppl!$E$67,1/(COUNTIFS($N:$N,"Exigences"&amp;"*")+COUNTIFS($N:$N,"Non"&amp;"*")),0))),0)</f>
        <v>0</v>
      </c>
      <c r="Y29" s="30"/>
      <c r="Z29" s="30"/>
      <c r="AA29" s="30"/>
      <c r="AB29" s="30"/>
      <c r="AC29" s="30"/>
      <c r="AD29" s="30"/>
      <c r="AE29" s="30"/>
      <c r="AF29" s="30"/>
      <c r="AG29" s="30"/>
      <c r="AH29" s="30"/>
      <c r="AI29" s="112"/>
      <c r="AJ29" s="30"/>
    </row>
    <row r="30" spans="1:36" ht="30" customHeight="1" x14ac:dyDescent="0.3">
      <c r="A30" s="112"/>
      <c r="B30" s="30"/>
      <c r="C30" s="30" t="str">
        <f t="shared" si="0"/>
        <v>12</v>
      </c>
      <c r="D30" s="32">
        <f t="shared" si="2"/>
        <v>1</v>
      </c>
      <c r="E30" s="32" t="str">
        <f t="shared" si="3"/>
        <v>1214</v>
      </c>
      <c r="F30" s="145" t="s">
        <v>32</v>
      </c>
      <c r="G30" s="146" t="str">
        <f>VLOOKUP(E30,BDD!$A$2:$N$567,MATCH(G$24,BDD!$A$1:$P$1,0),FALSE)</f>
        <v>Les objectifs de la DSI sont définis conjointement avec les clients, notamment en ce qui concerne l’identification et la gestion des risques liés aux systèmes d’information.</v>
      </c>
      <c r="H30" s="149" t="str">
        <f>IF(VLOOKUP($E30,BDD!$A$2:$N$567,MATCH($H$23,BDD!$A$1:$P$1,0),FALSE)=H$24,'V12_Budget&amp;Perf.'!H$24,"")</f>
        <v/>
      </c>
      <c r="I30" s="150" t="str">
        <f>IF(VLOOKUP($E30,BDD!$A$2:$N$567,MATCH($H$23,BDD!$A$1:$P$1,0),FALSE)=I$24,'V12_Budget&amp;Perf.'!I$24,"")</f>
        <v/>
      </c>
      <c r="J30" s="150" t="str">
        <f>IF(VLOOKUP($E30,BDD!$A$2:$N$567,MATCH($H$23,BDD!$A$1:$P$1,0),FALSE)=J$24,'V12_Budget&amp;Perf.'!J$24,"")</f>
        <v>N3</v>
      </c>
      <c r="K30" s="150" t="str">
        <f>IF(VLOOKUP($E30,BDD!$A$2:$N$567,MATCH($H$23,BDD!$A$1:$P$1,0),FALSE)=K$24,'V12_Budget&amp;Perf.'!K$24,"")</f>
        <v/>
      </c>
      <c r="L30" s="151" t="str">
        <f>IF(VLOOKUP($E30,BDD!$A$2:$N$567,MATCH($H$23,BDD!$A$1:$P$1,0),FALSE)=L$24,'V12_Budget&amp;Perf.'!L$24,"")</f>
        <v/>
      </c>
      <c r="M30" s="63">
        <f t="shared" si="1"/>
        <v>0</v>
      </c>
      <c r="N30" s="146" t="str">
        <f>VLOOKUP(VLOOKUP(E30,BDD!$A$2:$P$550,15,FALSE),Suppl!$D$64:$E$68,2,FALSE)</f>
        <v>Non renseigné</v>
      </c>
      <c r="O30" s="670"/>
      <c r="P30" s="670"/>
      <c r="Q30" s="670"/>
      <c r="R30" s="670"/>
      <c r="S30" s="664">
        <f>IF(N30=Suppl!$E$65,0,IF(N30=Suppl!$E$66,1/2/(COUNTIFS($D:$D,D30,$N:$N,"Exigences"&amp;"*",G:G,"&lt;&gt;0")+COUNTIFS($D:$D,D30,$N:$N,"Non"&amp;"*",G:G,"&lt;&gt;0")),IF(N30=Suppl!$E$67,1/(COUNTIFS($D:$D,D30,$N:$N,"Exigences"&amp;"*",G:G,"&lt;&gt;0")+COUNTIFS($D:$D,D30,$N:$N,"Non"&amp;"*",G:G,"&lt;&gt;0")),0)))</f>
        <v>0</v>
      </c>
      <c r="T30" s="665"/>
      <c r="U30" s="665"/>
      <c r="V30" s="666"/>
      <c r="W30" s="432">
        <f>IFERROR(IF(M30=Suppl!$E$65,0,IF(M30=Suppl!$E$66,1/2/(COUNTIFS($N:$N,"Exigences"&amp;"*")+COUNTIFS($N:$N,"Non"&amp;"*")),IF(M30=Suppl!$E$67,1/(COUNTIFS($N:$N,"Exigences"&amp;"*")+COUNTIFS($N:$N,"Non"&amp;"*")),0))),0)</f>
        <v>0</v>
      </c>
      <c r="X30" s="433">
        <f>IFERROR(IF(N30=Suppl!$E$65,0,IF(N30=Suppl!$E$66,1/2/(COUNTIFS($N:$N,"Exigences"&amp;"*")+COUNTIFS($N:$N,"Non"&amp;"*")),IF(N30=Suppl!$E$67,1/(COUNTIFS($N:$N,"Exigences"&amp;"*")+COUNTIFS($N:$N,"Non"&amp;"*")),0))),0)</f>
        <v>0</v>
      </c>
      <c r="Y30" s="30" t="s">
        <v>164</v>
      </c>
      <c r="Z30" s="30"/>
      <c r="AA30" s="30"/>
      <c r="AB30" s="30"/>
      <c r="AC30" s="30"/>
      <c r="AD30" s="30"/>
      <c r="AE30" s="30"/>
      <c r="AF30" s="30"/>
      <c r="AG30" s="30"/>
      <c r="AH30" s="30"/>
      <c r="AI30" s="112"/>
      <c r="AJ30" s="30"/>
    </row>
    <row r="31" spans="1:36" ht="30" customHeight="1" x14ac:dyDescent="0.3">
      <c r="A31" s="112"/>
      <c r="B31" s="30"/>
      <c r="C31" s="30" t="str">
        <f t="shared" si="0"/>
        <v>12</v>
      </c>
      <c r="D31" s="32">
        <f t="shared" si="2"/>
        <v>1</v>
      </c>
      <c r="E31" s="32" t="str">
        <f t="shared" si="3"/>
        <v>1215</v>
      </c>
      <c r="F31" s="143" t="s">
        <v>33</v>
      </c>
      <c r="G31" s="144" t="str">
        <f>VLOOKUP(E31,BDD!$A$2:$N$567,MATCH(G$24,BDD!$A$1:$P$1,0),FALSE)</f>
        <v>Les objectifs de la DSI sont définis conjointement avec les clients, notamment en ce qui concerne les enjeux de conformité et de responsabilité sociétale et environnementale (RSE).</v>
      </c>
      <c r="H31" s="149" t="str">
        <f>IF(VLOOKUP($E31,BDD!$A$2:$N$567,MATCH($H$23,BDD!$A$1:$P$1,0),FALSE)=H$24,'V12_Budget&amp;Perf.'!H$24,"")</f>
        <v/>
      </c>
      <c r="I31" s="150" t="str">
        <f>IF(VLOOKUP($E31,BDD!$A$2:$N$567,MATCH($H$23,BDD!$A$1:$P$1,0),FALSE)=I$24,'V12_Budget&amp;Perf.'!I$24,"")</f>
        <v/>
      </c>
      <c r="J31" s="150" t="str">
        <f>IF(VLOOKUP($E31,BDD!$A$2:$N$567,MATCH($H$23,BDD!$A$1:$P$1,0),FALSE)=J$24,'V12_Budget&amp;Perf.'!J$24,"")</f>
        <v/>
      </c>
      <c r="K31" s="150" t="str">
        <f>IF(VLOOKUP($E31,BDD!$A$2:$N$567,MATCH($H$23,BDD!$A$1:$P$1,0),FALSE)=K$24,'V12_Budget&amp;Perf.'!K$24,"")</f>
        <v>N4</v>
      </c>
      <c r="L31" s="151" t="str">
        <f>IF(VLOOKUP($E31,BDD!$A$2:$N$567,MATCH($H$23,BDD!$A$1:$P$1,0),FALSE)=L$24,'V12_Budget&amp;Perf.'!L$24,"")</f>
        <v/>
      </c>
      <c r="M31" s="63">
        <f t="shared" si="1"/>
        <v>0</v>
      </c>
      <c r="N31" s="144" t="str">
        <f>VLOOKUP(VLOOKUP(E31,BDD!$A$2:$P$550,15,FALSE),Suppl!$D$64:$E$68,2,FALSE)</f>
        <v>Non renseigné</v>
      </c>
      <c r="O31" s="670"/>
      <c r="P31" s="670"/>
      <c r="Q31" s="670"/>
      <c r="R31" s="670"/>
      <c r="S31" s="664">
        <f>IF(N31=Suppl!$E$65,0,IF(N31=Suppl!$E$66,1/2/(COUNTIFS($D:$D,D31,$N:$N,"Exigences"&amp;"*",G:G,"&lt;&gt;0")+COUNTIFS($D:$D,D31,$N:$N,"Non"&amp;"*",G:G,"&lt;&gt;0")),IF(N31=Suppl!$E$67,1/(COUNTIFS($D:$D,D31,$N:$N,"Exigences"&amp;"*",G:G,"&lt;&gt;0")+COUNTIFS($D:$D,D31,$N:$N,"Non"&amp;"*",G:G,"&lt;&gt;0")),0)))</f>
        <v>0</v>
      </c>
      <c r="T31" s="665"/>
      <c r="U31" s="665"/>
      <c r="V31" s="666"/>
      <c r="W31" s="432">
        <f>IFERROR(IF(M31=Suppl!$E$65,0,IF(M31=Suppl!$E$66,1/2/(COUNTIFS($N:$N,"Exigences"&amp;"*")+COUNTIFS($N:$N,"Non"&amp;"*")),IF(M31=Suppl!$E$67,1/(COUNTIFS($N:$N,"Exigences"&amp;"*")+COUNTIFS($N:$N,"Non"&amp;"*")),0))),0)</f>
        <v>0</v>
      </c>
      <c r="X31" s="433">
        <f>IFERROR(IF(N31=Suppl!$E$65,0,IF(N31=Suppl!$E$66,1/2/(COUNTIFS($N:$N,"Exigences"&amp;"*")+COUNTIFS($N:$N,"Non"&amp;"*")),IF(N31=Suppl!$E$67,1/(COUNTIFS($N:$N,"Exigences"&amp;"*")+COUNTIFS($N:$N,"Non"&amp;"*")),0))),0)</f>
        <v>0</v>
      </c>
      <c r="Y31" s="30"/>
      <c r="Z31" s="30"/>
      <c r="AA31" s="30"/>
      <c r="AB31" s="30"/>
      <c r="AC31" s="30"/>
      <c r="AD31" s="30"/>
      <c r="AE31" s="30"/>
      <c r="AF31" s="30"/>
      <c r="AG31" s="30"/>
      <c r="AH31" s="30"/>
      <c r="AI31" s="112"/>
      <c r="AJ31" s="30"/>
    </row>
    <row r="32" spans="1:36" ht="30" customHeight="1" x14ac:dyDescent="0.3">
      <c r="A32" s="112"/>
      <c r="B32" s="30"/>
      <c r="C32" s="30" t="str">
        <f t="shared" si="0"/>
        <v>12</v>
      </c>
      <c r="D32" s="32">
        <f t="shared" si="2"/>
        <v>1</v>
      </c>
      <c r="E32" s="32" t="str">
        <f t="shared" si="3"/>
        <v>1216</v>
      </c>
      <c r="F32" s="147" t="s">
        <v>34</v>
      </c>
      <c r="G32" s="148" t="str">
        <f>VLOOKUP(E32,BDD!$A$2:$N$567,MATCH(G$24,BDD!$A$1:$P$1,0),FALSE)</f>
        <v>Les objectifs de la DSI sont définis conjointement avec les clients, notamment en ce qui concerne sa contribution à la génération de valeur pour l’entreprise.</v>
      </c>
      <c r="H32" s="149" t="str">
        <f>IF(VLOOKUP($E32,BDD!$A$2:$N$567,MATCH($H$23,BDD!$A$1:$P$1,0),FALSE)=H$24,'V12_Budget&amp;Perf.'!H$24,"")</f>
        <v/>
      </c>
      <c r="I32" s="150" t="str">
        <f>IF(VLOOKUP($E32,BDD!$A$2:$N$567,MATCH($H$23,BDD!$A$1:$P$1,0),FALSE)=I$24,'V12_Budget&amp;Perf.'!I$24,"")</f>
        <v/>
      </c>
      <c r="J32" s="150" t="str">
        <f>IF(VLOOKUP($E32,BDD!$A$2:$N$567,MATCH($H$23,BDD!$A$1:$P$1,0),FALSE)=J$24,'V12_Budget&amp;Perf.'!J$24,"")</f>
        <v/>
      </c>
      <c r="K32" s="150" t="str">
        <f>IF(VLOOKUP($E32,BDD!$A$2:$N$567,MATCH($H$23,BDD!$A$1:$P$1,0),FALSE)=K$24,'V12_Budget&amp;Perf.'!K$24,"")</f>
        <v/>
      </c>
      <c r="L32" s="151" t="str">
        <f>IF(VLOOKUP($E32,BDD!$A$2:$N$567,MATCH($H$23,BDD!$A$1:$P$1,0),FALSE)=L$24,'V12_Budget&amp;Perf.'!L$24,"")</f>
        <v>N5</v>
      </c>
      <c r="M32" s="63">
        <f t="shared" si="1"/>
        <v>0</v>
      </c>
      <c r="N32" s="148" t="str">
        <f>VLOOKUP(VLOOKUP(E32,BDD!$A$2:$P$550,15,FALSE),Suppl!$D$64:$E$68,2,FALSE)</f>
        <v>Non renseigné</v>
      </c>
      <c r="O32" s="670"/>
      <c r="P32" s="670"/>
      <c r="Q32" s="670"/>
      <c r="R32" s="670"/>
      <c r="S32" s="664">
        <f>IF(N32=Suppl!$E$65,0,IF(N32=Suppl!$E$66,1/2/(COUNTIFS($D:$D,D32,$N:$N,"Exigences"&amp;"*",G:G,"&lt;&gt;0")+COUNTIFS($D:$D,D32,$N:$N,"Non"&amp;"*",G:G,"&lt;&gt;0")),IF(N32=Suppl!$E$67,1/(COUNTIFS($D:$D,D32,$N:$N,"Exigences"&amp;"*",G:G,"&lt;&gt;0")+COUNTIFS($D:$D,D32,$N:$N,"Non"&amp;"*",G:G,"&lt;&gt;0")),0)))</f>
        <v>0</v>
      </c>
      <c r="T32" s="665"/>
      <c r="U32" s="665"/>
      <c r="V32" s="666"/>
      <c r="W32" s="432">
        <f>IFERROR(IF(M32=Suppl!$E$65,0,IF(M32=Suppl!$E$66,1/2/(COUNTIFS($N:$N,"Exigences"&amp;"*")+COUNTIFS($N:$N,"Non"&amp;"*")),IF(M32=Suppl!$E$67,1/(COUNTIFS($N:$N,"Exigences"&amp;"*")+COUNTIFS($N:$N,"Non"&amp;"*")),0))),0)</f>
        <v>0</v>
      </c>
      <c r="X32" s="433">
        <f>IFERROR(IF(N32=Suppl!$E$65,0,IF(N32=Suppl!$E$66,1/2/(COUNTIFS($N:$N,"Exigences"&amp;"*")+COUNTIFS($N:$N,"Non"&amp;"*")),IF(N32=Suppl!$E$67,1/(COUNTIFS($N:$N,"Exigences"&amp;"*")+COUNTIFS($N:$N,"Non"&amp;"*")),0))),0)</f>
        <v>0</v>
      </c>
      <c r="Y32" s="30"/>
      <c r="Z32" s="30"/>
      <c r="AA32" s="30"/>
      <c r="AB32" s="30"/>
      <c r="AC32" s="30"/>
      <c r="AD32" s="30"/>
      <c r="AE32" s="30"/>
      <c r="AF32" s="30"/>
      <c r="AG32" s="30"/>
      <c r="AH32" s="30"/>
      <c r="AI32" s="112"/>
      <c r="AJ32" s="30"/>
    </row>
    <row r="33" spans="1:36" ht="42" customHeight="1" x14ac:dyDescent="0.3">
      <c r="A33" s="112"/>
      <c r="B33" s="30"/>
      <c r="C33" s="30" t="str">
        <f t="shared" si="0"/>
        <v>12</v>
      </c>
      <c r="D33" s="32">
        <f t="shared" si="2"/>
        <v>1</v>
      </c>
      <c r="E33" s="32" t="str">
        <f t="shared" si="3"/>
        <v>1217</v>
      </c>
      <c r="F33" s="143" t="s">
        <v>36</v>
      </c>
      <c r="G33" s="144" t="str">
        <f>VLOOKUP(E33,BDD!$A$2:$N$567,MATCH(G$24,BDD!$A$1:$P$1,0),FALSE)</f>
        <v>Les objectifs de la DSI sont communiqués à toutes les parties prenantes (collaborateurs de la DSI, clients internes ou externes, comités de direction des autres directions, direction générale, partenaires, etc.).</v>
      </c>
      <c r="H33" s="149" t="str">
        <f>IF(VLOOKUP($E33,BDD!$A$2:$N$567,MATCH($H$23,BDD!$A$1:$P$1,0),FALSE)=H$24,'V12_Budget&amp;Perf.'!H$24,"")</f>
        <v>N1</v>
      </c>
      <c r="I33" s="150" t="str">
        <f>IF(VLOOKUP($E33,BDD!$A$2:$N$567,MATCH($H$23,BDD!$A$1:$P$1,0),FALSE)=I$24,'V12_Budget&amp;Perf.'!I$24,"")</f>
        <v/>
      </c>
      <c r="J33" s="150" t="str">
        <f>IF(VLOOKUP($E33,BDD!$A$2:$N$567,MATCH($H$23,BDD!$A$1:$P$1,0),FALSE)=J$24,'V12_Budget&amp;Perf.'!J$24,"")</f>
        <v/>
      </c>
      <c r="K33" s="150" t="str">
        <f>IF(VLOOKUP($E33,BDD!$A$2:$N$567,MATCH($H$23,BDD!$A$1:$P$1,0),FALSE)=K$24,'V12_Budget&amp;Perf.'!K$24,"")</f>
        <v/>
      </c>
      <c r="L33" s="151" t="str">
        <f>IF(VLOOKUP($E33,BDD!$A$2:$N$567,MATCH($H$23,BDD!$A$1:$P$1,0),FALSE)=L$24,'V12_Budget&amp;Perf.'!L$24,"")</f>
        <v/>
      </c>
      <c r="M33" s="63">
        <f t="shared" si="1"/>
        <v>0</v>
      </c>
      <c r="N33" s="144" t="str">
        <f>VLOOKUP(VLOOKUP(E33,BDD!$A$2:$P$550,15,FALSE),Suppl!$D$64:$E$68,2,FALSE)</f>
        <v>Non renseigné</v>
      </c>
      <c r="O33" s="678"/>
      <c r="P33" s="670"/>
      <c r="Q33" s="670"/>
      <c r="R33" s="670"/>
      <c r="S33" s="664">
        <f>IF(N33=Suppl!$E$65,0,IF(N33=Suppl!$E$66,1/2/(COUNTIFS($D:$D,D33,$N:$N,"Exigences"&amp;"*",G:G,"&lt;&gt;0")+COUNTIFS($D:$D,D33,$N:$N,"Non"&amp;"*",G:G,"&lt;&gt;0")),IF(N33=Suppl!$E$67,1/(COUNTIFS($D:$D,D33,$N:$N,"Exigences"&amp;"*",G:G,"&lt;&gt;0")+COUNTIFS($D:$D,D33,$N:$N,"Non"&amp;"*",G:G,"&lt;&gt;0")),0)))</f>
        <v>0</v>
      </c>
      <c r="T33" s="665"/>
      <c r="U33" s="665"/>
      <c r="V33" s="666"/>
      <c r="W33" s="432">
        <f>IFERROR(IF(M33=Suppl!$E$65,0,IF(M33=Suppl!$E$66,1/2/(COUNTIFS($N:$N,"Exigences"&amp;"*")+COUNTIFS($N:$N,"Non"&amp;"*")),IF(M33=Suppl!$E$67,1/(COUNTIFS($N:$N,"Exigences"&amp;"*")+COUNTIFS($N:$N,"Non"&amp;"*")),0))),0)</f>
        <v>0</v>
      </c>
      <c r="X33" s="433">
        <f>IFERROR(IF(N33=Suppl!$E$65,0,IF(N33=Suppl!$E$66,1/2/(COUNTIFS($N:$N,"Exigences"&amp;"*")+COUNTIFS($N:$N,"Non"&amp;"*")),IF(N33=Suppl!$E$67,1/(COUNTIFS($N:$N,"Exigences"&amp;"*")+COUNTIFS($N:$N,"Non"&amp;"*")),0))),0)</f>
        <v>0</v>
      </c>
      <c r="Y33" s="30"/>
      <c r="Z33" s="30"/>
      <c r="AA33" s="30"/>
      <c r="AB33" s="30"/>
      <c r="AC33" s="30"/>
      <c r="AD33" s="30"/>
      <c r="AE33" s="30"/>
      <c r="AF33" s="30"/>
      <c r="AG33" s="30"/>
      <c r="AH33" s="30"/>
      <c r="AI33" s="112"/>
      <c r="AJ33" s="30"/>
    </row>
    <row r="34" spans="1:36" ht="39.6" customHeight="1" x14ac:dyDescent="0.3">
      <c r="A34" s="112"/>
      <c r="B34" s="30"/>
      <c r="C34" s="30" t="str">
        <f t="shared" si="0"/>
        <v>12</v>
      </c>
      <c r="D34" s="32">
        <f t="shared" ref="D34" si="4">IF(LEFT(F34,5)="Bonne",D32+1,D33)</f>
        <v>1</v>
      </c>
      <c r="E34" s="32" t="str">
        <f t="shared" ref="E34" si="5">C34&amp;D34&amp;RIGHT(F34,1)</f>
        <v>1218</v>
      </c>
      <c r="F34" s="147" t="s">
        <v>641</v>
      </c>
      <c r="G34" s="148" t="str">
        <f>VLOOKUP(E34,BDD!$A$2:$N$567,MATCH(G$24,BDD!$A$1:$P$1,0),FALSE)</f>
        <v>Les objectifs sont revus régulièrement (au moins annuellement) à partir des mesures observées et de leur niveau d'atteinte, et au regard de la stratégie de l'entreprise et de son évolution.</v>
      </c>
      <c r="H34" s="149" t="str">
        <f>IF(VLOOKUP($E34,BDD!$A$2:$N$567,MATCH($H$23,BDD!$A$1:$P$1,0),FALSE)=H$24,'V12_Budget&amp;Perf.'!H$24,"")</f>
        <v/>
      </c>
      <c r="I34" s="150" t="str">
        <f>IF(VLOOKUP($E34,BDD!$A$2:$N$567,MATCH($H$23,BDD!$A$1:$P$1,0),FALSE)=I$24,'V12_Budget&amp;Perf.'!I$24,"")</f>
        <v>N2</v>
      </c>
      <c r="J34" s="150" t="str">
        <f>IF(VLOOKUP($E34,BDD!$A$2:$N$567,MATCH($H$23,BDD!$A$1:$P$1,0),FALSE)=J$24,'V12_Budget&amp;Perf.'!J$24,"")</f>
        <v/>
      </c>
      <c r="K34" s="150" t="str">
        <f>IF(VLOOKUP($E34,BDD!$A$2:$N$567,MATCH($H$23,BDD!$A$1:$P$1,0),FALSE)=K$24,'V12_Budget&amp;Perf.'!K$24,"")</f>
        <v/>
      </c>
      <c r="L34" s="151" t="str">
        <f>IF(VLOOKUP($E34,BDD!$A$2:$N$567,MATCH($H$23,BDD!$A$1:$P$1,0),FALSE)=L$24,'V12_Budget&amp;Perf.'!L$24,"")</f>
        <v/>
      </c>
      <c r="M34" s="63">
        <f t="shared" ref="M34" si="6">IF(N34="Exigences partiellement respectées",1,IF(N34="Exigences respectées",2,0))</f>
        <v>0</v>
      </c>
      <c r="N34" s="148" t="str">
        <f>VLOOKUP(VLOOKUP(E34,BDD!$A$2:$P$550,15,FALSE),Suppl!$D$64:$E$68,2,FALSE)</f>
        <v>Non renseigné</v>
      </c>
      <c r="O34" s="670"/>
      <c r="P34" s="670"/>
      <c r="Q34" s="670"/>
      <c r="R34" s="670"/>
      <c r="S34" s="675">
        <f>IF(N34=Suppl!$E$65,0,IF(N34=Suppl!$E$66,1/2/(COUNTIFS($D:$D,D34,$N:$N,"Exigences"&amp;"*",G:G,"&lt;&gt;0")+COUNTIFS($D:$D,D34,$N:$N,"Non"&amp;"*",G:G,"&lt;&gt;0")),IF(N34=Suppl!$E$67,1/(COUNTIFS($D:$D,D34,$N:$N,"Exigences"&amp;"*",G:G,"&lt;&gt;0")+COUNTIFS($D:$D,D34,$N:$N,"Non"&amp;"*",G:G,"&lt;&gt;0")),0)))</f>
        <v>0</v>
      </c>
      <c r="T34" s="676"/>
      <c r="U34" s="676"/>
      <c r="V34" s="677"/>
      <c r="W34" s="432">
        <f>IFERROR(IF(M34=Suppl!$E$65,0,IF(M34=Suppl!$E$66,1/2/(COUNTIFS($N:$N,"Exigences"&amp;"*")+COUNTIFS($N:$N,"Non"&amp;"*")),IF(M34=Suppl!$E$67,1/(COUNTIFS($N:$N,"Exigences"&amp;"*")+COUNTIFS($N:$N,"Non"&amp;"*")),0))),0)</f>
        <v>0</v>
      </c>
      <c r="X34" s="433">
        <f>IFERROR(IF(N34=Suppl!$E$65,0,IF(N34=Suppl!$E$66,1/2/(COUNTIFS($N:$N,"Exigences"&amp;"*")+COUNTIFS($N:$N,"Non"&amp;"*")),IF(N34=Suppl!$E$67,1/(COUNTIFS($N:$N,"Exigences"&amp;"*")+COUNTIFS($N:$N,"Non"&amp;"*")),0))),0)</f>
        <v>0</v>
      </c>
      <c r="Y34" s="30"/>
      <c r="Z34" s="30"/>
      <c r="AA34" s="30"/>
      <c r="AB34" s="30"/>
      <c r="AC34" s="30"/>
      <c r="AD34" s="30"/>
      <c r="AE34" s="30"/>
      <c r="AF34" s="30"/>
      <c r="AG34" s="30"/>
      <c r="AH34" s="30"/>
      <c r="AI34" s="112"/>
      <c r="AJ34" s="30"/>
    </row>
    <row r="35" spans="1:36" ht="30" customHeight="1" x14ac:dyDescent="0.3">
      <c r="A35" s="112"/>
      <c r="B35" s="30"/>
      <c r="C35" s="30" t="str">
        <f t="shared" si="0"/>
        <v>12</v>
      </c>
      <c r="D35" s="32">
        <f t="shared" ref="D35:D71" si="7">IF(LEFT(F35,5)="Bonne",D33+1,D34)</f>
        <v>2</v>
      </c>
      <c r="E35" s="32" t="str">
        <f t="shared" ref="E35:E71" si="8">C35&amp;D35&amp;RIGHT(F35,1)</f>
        <v>1222</v>
      </c>
      <c r="F35" s="191" t="s">
        <v>500</v>
      </c>
      <c r="G35" s="192" t="str">
        <f>VLOOKUP(E37,BDD!$A$2:$N$567,6,FALSE)</f>
        <v>Indicateurs</v>
      </c>
      <c r="H35" s="190" t="str">
        <f>VLOOKUP(E37,BDD!$A$2:$N$567,6,FALSE)</f>
        <v>Indicateurs</v>
      </c>
      <c r="I35" s="135"/>
      <c r="J35" s="135"/>
      <c r="K35" s="135"/>
      <c r="L35" s="136"/>
      <c r="M35" s="137"/>
      <c r="N35" s="138"/>
      <c r="O35" s="672">
        <v>0</v>
      </c>
      <c r="P35" s="672"/>
      <c r="Q35" s="672"/>
      <c r="R35" s="672"/>
      <c r="S35" s="657">
        <f>SUMIFS(S:S,$D:$D,D35,$N:$N,"Exigences"&amp;"*")</f>
        <v>0</v>
      </c>
      <c r="T35" s="657"/>
      <c r="U35" s="657"/>
      <c r="V35" s="658"/>
      <c r="W35" s="432">
        <f>IFERROR(IF(M35=Suppl!$E$65,0,IF(M35=Suppl!$E$66,1/2/(COUNTIFS($N:$N,"Exigences"&amp;"*")+COUNTIFS($N:$N,"Non"&amp;"*")),IF(M35=Suppl!$E$67,1/(COUNTIFS($N:$N,"Exigences"&amp;"*")+COUNTIFS($N:$N,"Non"&amp;"*")),0))),0)</f>
        <v>0</v>
      </c>
      <c r="X35" s="433">
        <f>IFERROR(IF(N35=Suppl!$E$65,0,IF(N35=Suppl!$E$66,1/2/(COUNTIFS($N:$N,"Exigences"&amp;"*")+COUNTIFS($N:$N,"Non"&amp;"*")),IF(N35=Suppl!$E$67,1/(COUNTIFS($N:$N,"Exigences"&amp;"*")+COUNTIFS($N:$N,"Non"&amp;"*")),0))),0)</f>
        <v>0</v>
      </c>
      <c r="Y35" s="30"/>
      <c r="Z35" s="30"/>
      <c r="AA35" s="30"/>
      <c r="AB35" s="30"/>
      <c r="AC35" s="30"/>
      <c r="AD35" s="30"/>
      <c r="AE35" s="30"/>
      <c r="AF35" s="30"/>
      <c r="AG35" s="30"/>
      <c r="AH35" s="30"/>
      <c r="AI35" s="112"/>
      <c r="AJ35" s="30"/>
    </row>
    <row r="36" spans="1:36" ht="30" customHeight="1" x14ac:dyDescent="0.3">
      <c r="A36" s="112"/>
      <c r="B36" s="30"/>
      <c r="C36" s="30" t="str">
        <f t="shared" si="0"/>
        <v>12</v>
      </c>
      <c r="D36" s="32">
        <f t="shared" si="7"/>
        <v>2</v>
      </c>
      <c r="E36" s="32" t="str">
        <f t="shared" si="8"/>
        <v>1221</v>
      </c>
      <c r="F36" s="211" t="s">
        <v>550</v>
      </c>
      <c r="G36" s="620" t="str">
        <f>VLOOKUP(E38,BDD!$A$2:$N$567,7,FALSE)</f>
        <v>Des indicateurs de mesure de la performance du SI sont définis et le niveau d'atteinte des objectifs de la DSI est suivi et partagé régulièrement avec les parties prenantes.</v>
      </c>
      <c r="H36" s="621"/>
      <c r="I36" s="621"/>
      <c r="J36" s="621"/>
      <c r="K36" s="621"/>
      <c r="L36" s="621"/>
      <c r="M36" s="621"/>
      <c r="N36" s="622"/>
      <c r="O36" s="673"/>
      <c r="P36" s="673"/>
      <c r="Q36" s="673"/>
      <c r="R36" s="673"/>
      <c r="S36" s="659"/>
      <c r="T36" s="659"/>
      <c r="U36" s="659"/>
      <c r="V36" s="660"/>
      <c r="W36" s="432">
        <f>IFERROR(IF(M36=Suppl!$E$65,0,IF(M36=Suppl!$E$66,1/2/(COUNTIFS($N:$N,"Exigences"&amp;"*")+COUNTIFS($N:$N,"Non"&amp;"*")),IF(M36=Suppl!$E$67,1/(COUNTIFS($N:$N,"Exigences"&amp;"*")+COUNTIFS($N:$N,"Non"&amp;"*")),0))),0)</f>
        <v>0</v>
      </c>
      <c r="X36" s="433">
        <f>IFERROR(IF(N36=Suppl!$E$65,0,IF(N36=Suppl!$E$66,1/2/(COUNTIFS($N:$N,"Exigences"&amp;"*")+COUNTIFS($N:$N,"Non"&amp;"*")),IF(N36=Suppl!$E$67,1/(COUNTIFS($N:$N,"Exigences"&amp;"*")+COUNTIFS($N:$N,"Non"&amp;"*")),0))),0)</f>
        <v>0</v>
      </c>
      <c r="Y36" s="30"/>
      <c r="Z36" s="30"/>
      <c r="AA36" s="30"/>
      <c r="AB36" s="30"/>
      <c r="AC36" s="30"/>
      <c r="AD36" s="30"/>
      <c r="AE36" s="30"/>
      <c r="AF36" s="30"/>
      <c r="AG36" s="30"/>
      <c r="AH36" s="30"/>
      <c r="AI36" s="112"/>
      <c r="AJ36" s="30"/>
    </row>
    <row r="37" spans="1:36" ht="42" customHeight="1" x14ac:dyDescent="0.3">
      <c r="A37" s="112"/>
      <c r="B37" s="30"/>
      <c r="C37" s="30" t="str">
        <f t="shared" si="0"/>
        <v>12</v>
      </c>
      <c r="D37" s="32">
        <f t="shared" si="7"/>
        <v>2</v>
      </c>
      <c r="E37" s="32" t="str">
        <f t="shared" si="8"/>
        <v>1221</v>
      </c>
      <c r="F37" s="143" t="s">
        <v>27</v>
      </c>
      <c r="G37" s="144" t="str">
        <f>VLOOKUP(E37,BDD!$A$2:$N$567,MATCH(G$24,BDD!$A$1:$P$1,0),FALSE)</f>
        <v>Des indicateurs de mesure de la performance (quantitatifs et qualitatifs) sont formalisés dans des tableaux de bord. Ils permettent de mesurer le niveau d'atteinte des objectifs du numérique.</v>
      </c>
      <c r="H37" s="149" t="str">
        <f>IF(VLOOKUP($E37,BDD!$A$2:$N$567,MATCH($H$23,BDD!$A$1:$P$1,0),FALSE)=H$24,'V12_Budget&amp;Perf.'!H$24,"")</f>
        <v>N1</v>
      </c>
      <c r="I37" s="150" t="str">
        <f>IF(VLOOKUP($E37,BDD!$A$2:$N$567,MATCH($H$23,BDD!$A$1:$P$1,0),FALSE)=I$24,'V12_Budget&amp;Perf.'!I$24,"")</f>
        <v/>
      </c>
      <c r="J37" s="150" t="str">
        <f>IF(VLOOKUP($E37,BDD!$A$2:$N$567,MATCH($H$23,BDD!$A$1:$P$1,0),FALSE)=J$24,'V12_Budget&amp;Perf.'!J$24,"")</f>
        <v/>
      </c>
      <c r="K37" s="150" t="str">
        <f>IF(VLOOKUP($E37,BDD!$A$2:$N$567,MATCH($H$23,BDD!$A$1:$P$1,0),FALSE)=K$24,'V12_Budget&amp;Perf.'!K$24,"")</f>
        <v/>
      </c>
      <c r="L37" s="151" t="str">
        <f>IF(VLOOKUP($E37,BDD!$A$2:$N$567,MATCH($H$23,BDD!$A$1:$P$1,0),FALSE)=L$24,'V12_Budget&amp;Perf.'!L$24,"")</f>
        <v/>
      </c>
      <c r="M37" s="63">
        <f>IF(N37="Exigences partiellement respectées",1,IF(N37="Exigences respectées",2,0))</f>
        <v>0</v>
      </c>
      <c r="N37" s="144" t="str">
        <f>VLOOKUP(VLOOKUP(E37,BDD!$A$2:$P$550,15,FALSE),Suppl!$D$64:$E$68,2,FALSE)</f>
        <v>Non renseigné</v>
      </c>
      <c r="O37" s="674"/>
      <c r="P37" s="674"/>
      <c r="Q37" s="674"/>
      <c r="R37" s="674"/>
      <c r="S37" s="661">
        <f>IF(N37=Suppl!$E$65,0,IF(N37=Suppl!$E$66,1/2/(COUNTIFS($D:$D,D37,$N:$N,"Exigences"&amp;"*",G:G,"&lt;&gt;0")+COUNTIFS($D:$D,D37,$N:$N,"Non"&amp;"*",G:G,"&lt;&gt;0")),IF(N37=Suppl!$E$67,1/(COUNTIFS($D:$D,D37,$N:$N,"Exigences"&amp;"*",G:G,"&lt;&gt;0")+COUNTIFS($D:$D,D37,$N:$N,"Non"&amp;"*",G:G,"&lt;&gt;0")),0)))</f>
        <v>0</v>
      </c>
      <c r="T37" s="662"/>
      <c r="U37" s="662"/>
      <c r="V37" s="663"/>
      <c r="W37" s="432">
        <f>IFERROR(IF(M37=Suppl!$E$65,0,IF(M37=Suppl!$E$66,1/2/(COUNTIFS($N:$N,"Exigences"&amp;"*")+COUNTIFS($N:$N,"Non"&amp;"*")),IF(M37=Suppl!$E$67,1/(COUNTIFS($N:$N,"Exigences"&amp;"*")+COUNTIFS($N:$N,"Non"&amp;"*")),0))),0)</f>
        <v>0</v>
      </c>
      <c r="X37" s="433">
        <f>IFERROR(IF(N37=Suppl!$E$65,0,IF(N37=Suppl!$E$66,1/2/(COUNTIFS($N:$N,"Exigences"&amp;"*")+COUNTIFS($N:$N,"Non"&amp;"*")),IF(N37=Suppl!$E$67,1/(COUNTIFS($N:$N,"Exigences"&amp;"*")+COUNTIFS($N:$N,"Non"&amp;"*")),0))),0)</f>
        <v>0</v>
      </c>
      <c r="Y37" s="30"/>
      <c r="Z37" s="30"/>
      <c r="AA37" s="30"/>
      <c r="AB37" s="30"/>
      <c r="AC37" s="30"/>
      <c r="AD37" s="30"/>
      <c r="AE37" s="30"/>
      <c r="AF37" s="30"/>
      <c r="AG37" s="30"/>
      <c r="AH37" s="30"/>
      <c r="AI37" s="112"/>
      <c r="AJ37" s="30"/>
    </row>
    <row r="38" spans="1:36" ht="30" customHeight="1" x14ac:dyDescent="0.3">
      <c r="A38" s="112"/>
      <c r="B38" s="30"/>
      <c r="C38" s="30" t="str">
        <f t="shared" si="0"/>
        <v>12</v>
      </c>
      <c r="D38" s="32">
        <f t="shared" si="7"/>
        <v>2</v>
      </c>
      <c r="E38" s="32" t="str">
        <f t="shared" si="8"/>
        <v>1222</v>
      </c>
      <c r="F38" s="145" t="s">
        <v>28</v>
      </c>
      <c r="G38" s="146" t="str">
        <f>VLOOKUP(E38,BDD!$A$2:$N$567,MATCH(G$24,BDD!$A$1:$P$1,0),FALSE)</f>
        <v>Des valeurs cibles d'amélioration ou des seuils d'alerte sont associés aux indicateurs de mesure de la performance.</v>
      </c>
      <c r="H38" s="149" t="str">
        <f>IF(VLOOKUP($E38,BDD!$A$2:$N$567,MATCH($H$23,BDD!$A$1:$P$1,0),FALSE)=H$24,'V12_Budget&amp;Perf.'!H$24,"")</f>
        <v/>
      </c>
      <c r="I38" s="150" t="str">
        <f>IF(VLOOKUP($E38,BDD!$A$2:$N$567,MATCH($H$23,BDD!$A$1:$P$1,0),FALSE)=I$24,'V12_Budget&amp;Perf.'!I$24,"")</f>
        <v>N2</v>
      </c>
      <c r="J38" s="150" t="str">
        <f>IF(VLOOKUP($E38,BDD!$A$2:$N$567,MATCH($H$23,BDD!$A$1:$P$1,0),FALSE)=J$24,'V12_Budget&amp;Perf.'!J$24,"")</f>
        <v/>
      </c>
      <c r="K38" s="150" t="str">
        <f>IF(VLOOKUP($E38,BDD!$A$2:$N$567,MATCH($H$23,BDD!$A$1:$P$1,0),FALSE)=K$24,'V12_Budget&amp;Perf.'!K$24,"")</f>
        <v/>
      </c>
      <c r="L38" s="151" t="str">
        <f>IF(VLOOKUP($E38,BDD!$A$2:$N$567,MATCH($H$23,BDD!$A$1:$P$1,0),FALSE)=L$24,'V12_Budget&amp;Perf.'!L$24,"")</f>
        <v/>
      </c>
      <c r="M38" s="63">
        <f t="shared" ref="M38:M41" si="9">IF(N38="Exigences partiellement respectées",1,IF(N38="Exigences respectées",2,0))</f>
        <v>0</v>
      </c>
      <c r="N38" s="146" t="str">
        <f>VLOOKUP(VLOOKUP(E38,BDD!$A$2:$P$550,15,FALSE),Suppl!$D$64:$E$68,2,FALSE)</f>
        <v>Non renseigné</v>
      </c>
      <c r="O38" s="670"/>
      <c r="P38" s="670"/>
      <c r="Q38" s="670"/>
      <c r="R38" s="670"/>
      <c r="S38" s="664">
        <f>IF(N38=Suppl!$E$65,0,IF(N38=Suppl!$E$66,1/2/(COUNTIFS($D:$D,D38,$N:$N,"Exigences"&amp;"*",G:G,"&lt;&gt;0")+COUNTIFS($D:$D,D38,$N:$N,"Non"&amp;"*",G:G,"&lt;&gt;0")),IF(N38=Suppl!$E$67,1/(COUNTIFS($D:$D,D38,$N:$N,"Exigences"&amp;"*",G:G,"&lt;&gt;0")+COUNTIFS($D:$D,D38,$N:$N,"Non"&amp;"*",G:G,"&lt;&gt;0")),0)))</f>
        <v>0</v>
      </c>
      <c r="T38" s="665"/>
      <c r="U38" s="665"/>
      <c r="V38" s="666"/>
      <c r="W38" s="432">
        <f>IFERROR(IF(M38=Suppl!$E$65,0,IF(M38=Suppl!$E$66,1/2/(COUNTIFS($N:$N,"Exigences"&amp;"*")+COUNTIFS($N:$N,"Non"&amp;"*")),IF(M38=Suppl!$E$67,1/(COUNTIFS($N:$N,"Exigences"&amp;"*")+COUNTIFS($N:$N,"Non"&amp;"*")),0))),0)</f>
        <v>0</v>
      </c>
      <c r="X38" s="433">
        <f>IFERROR(IF(N38=Suppl!$E$65,0,IF(N38=Suppl!$E$66,1/2/(COUNTIFS($N:$N,"Exigences"&amp;"*")+COUNTIFS($N:$N,"Non"&amp;"*")),IF(N38=Suppl!$E$67,1/(COUNTIFS($N:$N,"Exigences"&amp;"*")+COUNTIFS($N:$N,"Non"&amp;"*")),0))),0)</f>
        <v>0</v>
      </c>
      <c r="Y38" s="30"/>
      <c r="Z38" s="30"/>
      <c r="AA38" s="30"/>
      <c r="AB38" s="30"/>
      <c r="AC38" s="30"/>
      <c r="AD38" s="30"/>
      <c r="AE38" s="30"/>
      <c r="AF38" s="30"/>
      <c r="AG38" s="30"/>
      <c r="AH38" s="30"/>
      <c r="AI38" s="112"/>
      <c r="AJ38" s="30"/>
    </row>
    <row r="39" spans="1:36" ht="41.4" x14ac:dyDescent="0.3">
      <c r="A39" s="112"/>
      <c r="B39" s="30"/>
      <c r="C39" s="30" t="str">
        <f t="shared" si="0"/>
        <v>12</v>
      </c>
      <c r="D39" s="32">
        <f t="shared" si="7"/>
        <v>2</v>
      </c>
      <c r="E39" s="32" t="str">
        <f t="shared" si="8"/>
        <v>1223</v>
      </c>
      <c r="F39" s="143" t="s">
        <v>30</v>
      </c>
      <c r="G39" s="144" t="str">
        <f>VLOOKUP(E39,BDD!$A$2:$N$567,MATCH(G$24,BDD!$A$1:$P$1,0),FALSE)</f>
        <v>Des moyens de mesure et de contrôle de l’atteinte des objectifs (définition d’indicateurs, mesures régulières) sont en place au niveau de la DSI avec les parties prenantes concernées.</v>
      </c>
      <c r="H39" s="149" t="str">
        <f>IF(VLOOKUP($E39,BDD!$A$2:$N$567,MATCH($H$23,BDD!$A$1:$P$1,0),FALSE)=H$24,'V12_Budget&amp;Perf.'!H$24,"")</f>
        <v/>
      </c>
      <c r="I39" s="150" t="str">
        <f>IF(VLOOKUP($E39,BDD!$A$2:$N$567,MATCH($H$23,BDD!$A$1:$P$1,0),FALSE)=I$24,'V12_Budget&amp;Perf.'!I$24,"")</f>
        <v>N2</v>
      </c>
      <c r="J39" s="150" t="str">
        <f>IF(VLOOKUP($E39,BDD!$A$2:$N$567,MATCH($H$23,BDD!$A$1:$P$1,0),FALSE)=J$24,'V12_Budget&amp;Perf.'!J$24,"")</f>
        <v/>
      </c>
      <c r="K39" s="150" t="str">
        <f>IF(VLOOKUP($E39,BDD!$A$2:$N$567,MATCH($H$23,BDD!$A$1:$P$1,0),FALSE)=K$24,'V12_Budget&amp;Perf.'!K$24,"")</f>
        <v/>
      </c>
      <c r="L39" s="151" t="str">
        <f>IF(VLOOKUP($E39,BDD!$A$2:$N$567,MATCH($H$23,BDD!$A$1:$P$1,0),FALSE)=L$24,'V12_Budget&amp;Perf.'!L$24,"")</f>
        <v/>
      </c>
      <c r="M39" s="63">
        <f t="shared" si="9"/>
        <v>0</v>
      </c>
      <c r="N39" s="144" t="str">
        <f>VLOOKUP(VLOOKUP(E39,BDD!$A$2:$P$550,15,FALSE),Suppl!$D$64:$E$68,2,FALSE)</f>
        <v>Non renseigné</v>
      </c>
      <c r="O39" s="670"/>
      <c r="P39" s="670"/>
      <c r="Q39" s="670"/>
      <c r="R39" s="670"/>
      <c r="S39" s="664">
        <f>IF(N39=Suppl!$E$65,0,IF(N39=Suppl!$E$66,1/2/(COUNTIFS($D:$D,D39,$N:$N,"Exigences"&amp;"*",G:G,"&lt;&gt;0")+COUNTIFS($D:$D,D39,$N:$N,"Non"&amp;"*",G:G,"&lt;&gt;0")),IF(N39=Suppl!$E$67,1/(COUNTIFS($D:$D,D39,$N:$N,"Exigences"&amp;"*",G:G,"&lt;&gt;0")+COUNTIFS($D:$D,D39,$N:$N,"Non"&amp;"*",G:G,"&lt;&gt;0")),0)))</f>
        <v>0</v>
      </c>
      <c r="T39" s="665"/>
      <c r="U39" s="665"/>
      <c r="V39" s="666"/>
      <c r="W39" s="432">
        <f>IFERROR(IF(M39=Suppl!$E$65,0,IF(M39=Suppl!$E$66,1/2/(COUNTIFS($N:$N,"Exigences"&amp;"*")+COUNTIFS($N:$N,"Non"&amp;"*")),IF(M39=Suppl!$E$67,1/(COUNTIFS($N:$N,"Exigences"&amp;"*")+COUNTIFS($N:$N,"Non"&amp;"*")),0))),0)</f>
        <v>0</v>
      </c>
      <c r="X39" s="433">
        <f>IFERROR(IF(N39=Suppl!$E$65,0,IF(N39=Suppl!$E$66,1/2/(COUNTIFS($N:$N,"Exigences"&amp;"*")+COUNTIFS($N:$N,"Non"&amp;"*")),IF(N39=Suppl!$E$67,1/(COUNTIFS($N:$N,"Exigences"&amp;"*")+COUNTIFS($N:$N,"Non"&amp;"*")),0))),0)</f>
        <v>0</v>
      </c>
      <c r="Y39" s="30"/>
      <c r="Z39" s="30"/>
      <c r="AA39" s="30"/>
      <c r="AB39" s="30"/>
      <c r="AC39" s="30"/>
      <c r="AD39" s="30"/>
      <c r="AE39" s="30"/>
      <c r="AF39" s="30"/>
      <c r="AG39" s="30"/>
      <c r="AH39" s="30"/>
      <c r="AI39" s="112"/>
      <c r="AJ39" s="30"/>
    </row>
    <row r="40" spans="1:36" ht="41.4" x14ac:dyDescent="0.3">
      <c r="A40" s="112"/>
      <c r="B40" s="30"/>
      <c r="C40" s="30" t="str">
        <f t="shared" si="0"/>
        <v>12</v>
      </c>
      <c r="D40" s="32">
        <f t="shared" si="7"/>
        <v>2</v>
      </c>
      <c r="E40" s="32" t="str">
        <f t="shared" si="8"/>
        <v>1224</v>
      </c>
      <c r="F40" s="145" t="s">
        <v>32</v>
      </c>
      <c r="G40" s="146" t="str">
        <f>VLOOKUP(E40,BDD!$A$2:$N$567,MATCH(G$24,BDD!$A$1:$P$1,0),FALSE)</f>
        <v>Les indicateurs de mesure de la performance sont revus et mis à jour régulièrement (changements de stratégie ou d’objectifs de l'entreprise ou de la DSI) afin de permettre des améliorations de cette mesure.</v>
      </c>
      <c r="H40" s="149" t="str">
        <f>IF(VLOOKUP($E40,BDD!$A$2:$N$567,MATCH($H$23,BDD!$A$1:$P$1,0),FALSE)=H$24,'V12_Budget&amp;Perf.'!H$24,"")</f>
        <v/>
      </c>
      <c r="I40" s="150" t="str">
        <f>IF(VLOOKUP($E40,BDD!$A$2:$N$567,MATCH($H$23,BDD!$A$1:$P$1,0),FALSE)=I$24,'V12_Budget&amp;Perf.'!I$24,"")</f>
        <v/>
      </c>
      <c r="J40" s="150" t="str">
        <f>IF(VLOOKUP($E40,BDD!$A$2:$N$567,MATCH($H$23,BDD!$A$1:$P$1,0),FALSE)=J$24,'V12_Budget&amp;Perf.'!J$24,"")</f>
        <v/>
      </c>
      <c r="K40" s="150" t="str">
        <f>IF(VLOOKUP($E40,BDD!$A$2:$N$567,MATCH($H$23,BDD!$A$1:$P$1,0),FALSE)=K$24,'V12_Budget&amp;Perf.'!K$24,"")</f>
        <v>N4</v>
      </c>
      <c r="L40" s="151" t="str">
        <f>IF(VLOOKUP($E40,BDD!$A$2:$N$567,MATCH($H$23,BDD!$A$1:$P$1,0),FALSE)=L$24,'V12_Budget&amp;Perf.'!L$24,"")</f>
        <v/>
      </c>
      <c r="M40" s="63">
        <f t="shared" si="9"/>
        <v>0</v>
      </c>
      <c r="N40" s="146" t="str">
        <f>VLOOKUP(VLOOKUP(E40,BDD!$A$2:$P$550,15,FALSE),Suppl!$D$64:$E$68,2,FALSE)</f>
        <v>Non renseigné</v>
      </c>
      <c r="O40" s="670"/>
      <c r="P40" s="670"/>
      <c r="Q40" s="670"/>
      <c r="R40" s="670"/>
      <c r="S40" s="664">
        <f>IF(N40=Suppl!$E$65,0,IF(N40=Suppl!$E$66,1/2/(COUNTIFS($D:$D,D40,$N:$N,"Exigences"&amp;"*",G:G,"&lt;&gt;0")+COUNTIFS($D:$D,D40,$N:$N,"Non"&amp;"*",G:G,"&lt;&gt;0")),IF(N40=Suppl!$E$67,1/(COUNTIFS($D:$D,D40,$N:$N,"Exigences"&amp;"*",G:G,"&lt;&gt;0")+COUNTIFS($D:$D,D40,$N:$N,"Non"&amp;"*",G:G,"&lt;&gt;0")),0)))</f>
        <v>0</v>
      </c>
      <c r="T40" s="665"/>
      <c r="U40" s="665"/>
      <c r="V40" s="666"/>
      <c r="W40" s="432">
        <f>IFERROR(IF(M40=Suppl!$E$65,0,IF(M40=Suppl!$E$66,1/2/(COUNTIFS($N:$N,"Exigences"&amp;"*")+COUNTIFS($N:$N,"Non"&amp;"*")),IF(M40=Suppl!$E$67,1/(COUNTIFS($N:$N,"Exigences"&amp;"*")+COUNTIFS($N:$N,"Non"&amp;"*")),0))),0)</f>
        <v>0</v>
      </c>
      <c r="X40" s="433">
        <f>IFERROR(IF(N40=Suppl!$E$65,0,IF(N40=Suppl!$E$66,1/2/(COUNTIFS($N:$N,"Exigences"&amp;"*")+COUNTIFS($N:$N,"Non"&amp;"*")),IF(N40=Suppl!$E$67,1/(COUNTIFS($N:$N,"Exigences"&amp;"*")+COUNTIFS($N:$N,"Non"&amp;"*")),0))),0)</f>
        <v>0</v>
      </c>
      <c r="Y40" s="30"/>
      <c r="Z40" s="30"/>
      <c r="AA40" s="30"/>
      <c r="AB40" s="30"/>
      <c r="AC40" s="30"/>
      <c r="AD40" s="30"/>
      <c r="AE40" s="30"/>
      <c r="AF40" s="30"/>
      <c r="AG40" s="30"/>
      <c r="AH40" s="30"/>
      <c r="AI40" s="112"/>
      <c r="AJ40" s="30"/>
    </row>
    <row r="41" spans="1:36" ht="41.4" x14ac:dyDescent="0.3">
      <c r="A41" s="112"/>
      <c r="B41" s="30"/>
      <c r="C41" s="30" t="str">
        <f t="shared" si="0"/>
        <v>12</v>
      </c>
      <c r="D41" s="32">
        <f t="shared" si="7"/>
        <v>2</v>
      </c>
      <c r="E41" s="32" t="str">
        <f t="shared" si="8"/>
        <v>1225</v>
      </c>
      <c r="F41" s="143" t="s">
        <v>33</v>
      </c>
      <c r="G41" s="144" t="str">
        <f>VLOOKUP(E41,BDD!$A$2:$N$567,MATCH(G$24,BDD!$A$1:$P$1,0),FALSE)</f>
        <v>Les indicateurs de performance sont consolidés dans des tableaux de bord qui sont partagés régulièrement avec les parties prenantes et la direction générale dans un format adapté en faisant apparaître la contribution de chacun.</v>
      </c>
      <c r="H41" s="149" t="str">
        <f>IF(VLOOKUP($E41,BDD!$A$2:$N$567,MATCH($H$23,BDD!$A$1:$P$1,0),FALSE)=H$24,'V12_Budget&amp;Perf.'!H$24,"")</f>
        <v/>
      </c>
      <c r="I41" s="150" t="str">
        <f>IF(VLOOKUP($E41,BDD!$A$2:$N$567,MATCH($H$23,BDD!$A$1:$P$1,0),FALSE)=I$24,'V12_Budget&amp;Perf.'!I$24,"")</f>
        <v/>
      </c>
      <c r="J41" s="150" t="str">
        <f>IF(VLOOKUP($E41,BDD!$A$2:$N$567,MATCH($H$23,BDD!$A$1:$P$1,0),FALSE)=J$24,'V12_Budget&amp;Perf.'!J$24,"")</f>
        <v/>
      </c>
      <c r="K41" s="150" t="str">
        <f>IF(VLOOKUP($E41,BDD!$A$2:$N$567,MATCH($H$23,BDD!$A$1:$P$1,0),FALSE)=K$24,'V12_Budget&amp;Perf.'!K$24,"")</f>
        <v/>
      </c>
      <c r="L41" s="151" t="str">
        <f>IF(VLOOKUP($E41,BDD!$A$2:$N$567,MATCH($H$23,BDD!$A$1:$P$1,0),FALSE)=L$24,'V12_Budget&amp;Perf.'!L$24,"")</f>
        <v>N5</v>
      </c>
      <c r="M41" s="63">
        <f t="shared" si="9"/>
        <v>0</v>
      </c>
      <c r="N41" s="144" t="str">
        <f>VLOOKUP(VLOOKUP(E41,BDD!$A$2:$P$550,15,FALSE),Suppl!$D$64:$E$68,2,FALSE)</f>
        <v>Non renseigné</v>
      </c>
      <c r="O41" s="670"/>
      <c r="P41" s="670"/>
      <c r="Q41" s="670"/>
      <c r="R41" s="670"/>
      <c r="S41" s="675">
        <f>IF(N41=Suppl!$E$65,0,IF(N41=Suppl!$E$66,1/2/(COUNTIFS($D:$D,D41,$N:$N,"Exigences"&amp;"*",G:G,"&lt;&gt;0")+COUNTIFS($D:$D,D41,$N:$N,"Non"&amp;"*",G:G,"&lt;&gt;0")),IF(N41=Suppl!$E$67,1/(COUNTIFS($D:$D,D41,$N:$N,"Exigences"&amp;"*",G:G,"&lt;&gt;0")+COUNTIFS($D:$D,D41,$N:$N,"Non"&amp;"*",G:G,"&lt;&gt;0")),0)))</f>
        <v>0</v>
      </c>
      <c r="T41" s="676"/>
      <c r="U41" s="676"/>
      <c r="V41" s="677"/>
      <c r="W41" s="432">
        <f>IFERROR(IF(M41=Suppl!$E$65,0,IF(M41=Suppl!$E$66,1/2/(COUNTIFS($N:$N,"Exigences"&amp;"*")+COUNTIFS($N:$N,"Non"&amp;"*")),IF(M41=Suppl!$E$67,1/(COUNTIFS($N:$N,"Exigences"&amp;"*")+COUNTIFS($N:$N,"Non"&amp;"*")),0))),0)</f>
        <v>0</v>
      </c>
      <c r="X41" s="433">
        <f>IFERROR(IF(N41=Suppl!$E$65,0,IF(N41=Suppl!$E$66,1/2/(COUNTIFS($N:$N,"Exigences"&amp;"*")+COUNTIFS($N:$N,"Non"&amp;"*")),IF(N41=Suppl!$E$67,1/(COUNTIFS($N:$N,"Exigences"&amp;"*")+COUNTIFS($N:$N,"Non"&amp;"*")),0))),0)</f>
        <v>0</v>
      </c>
      <c r="Y41" s="30"/>
      <c r="Z41" s="30"/>
      <c r="AA41" s="30"/>
      <c r="AB41" s="30"/>
      <c r="AC41" s="30"/>
      <c r="AD41" s="30"/>
      <c r="AE41" s="30"/>
      <c r="AF41" s="30"/>
      <c r="AG41" s="30"/>
      <c r="AH41" s="30"/>
      <c r="AI41" s="112"/>
      <c r="AJ41" s="30"/>
    </row>
    <row r="42" spans="1:36" ht="30" customHeight="1" x14ac:dyDescent="0.3">
      <c r="A42" s="112"/>
      <c r="B42" s="30"/>
      <c r="C42" s="30" t="str">
        <f t="shared" si="0"/>
        <v>12</v>
      </c>
      <c r="D42" s="32">
        <f t="shared" si="7"/>
        <v>3</v>
      </c>
      <c r="E42" s="32" t="str">
        <f t="shared" si="8"/>
        <v>1233</v>
      </c>
      <c r="F42" s="191" t="s">
        <v>501</v>
      </c>
      <c r="G42" s="192" t="str">
        <f>VLOOKUP(E44,BDD!$A$2:$N$567,6,FALSE)</f>
        <v>Budget</v>
      </c>
      <c r="H42" s="190"/>
      <c r="I42" s="135"/>
      <c r="J42" s="135"/>
      <c r="K42" s="135"/>
      <c r="L42" s="136"/>
      <c r="M42" s="137"/>
      <c r="N42" s="138"/>
      <c r="O42" s="672">
        <v>0</v>
      </c>
      <c r="P42" s="672"/>
      <c r="Q42" s="672"/>
      <c r="R42" s="672"/>
      <c r="S42" s="657">
        <f>SUMIFS(S:S,$D:$D,D42,$N:$N,"Exigences"&amp;"*")</f>
        <v>0</v>
      </c>
      <c r="T42" s="657"/>
      <c r="U42" s="657"/>
      <c r="V42" s="658"/>
      <c r="W42" s="432">
        <f>IFERROR(IF(M42=Suppl!$E$65,0,IF(M42=Suppl!$E$66,1/2/(COUNTIFS($N:$N,"Exigences"&amp;"*")+COUNTIFS($N:$N,"Non"&amp;"*")),IF(M42=Suppl!$E$67,1/(COUNTIFS($N:$N,"Exigences"&amp;"*")+COUNTIFS($N:$N,"Non"&amp;"*")),0))),0)</f>
        <v>0</v>
      </c>
      <c r="X42" s="433">
        <f>IFERROR(IF(N42=Suppl!$E$65,0,IF(N42=Suppl!$E$66,1/2/(COUNTIFS($N:$N,"Exigences"&amp;"*")+COUNTIFS($N:$N,"Non"&amp;"*")),IF(N42=Suppl!$E$67,1/(COUNTIFS($N:$N,"Exigences"&amp;"*")+COUNTIFS($N:$N,"Non"&amp;"*")),0))),0)</f>
        <v>0</v>
      </c>
      <c r="Y42" s="30"/>
      <c r="Z42" s="30"/>
      <c r="AA42" s="30"/>
      <c r="AB42" s="30"/>
      <c r="AC42" s="30"/>
      <c r="AD42" s="30"/>
      <c r="AE42" s="30"/>
      <c r="AF42" s="30"/>
      <c r="AG42" s="30"/>
      <c r="AH42" s="30"/>
      <c r="AI42" s="112"/>
      <c r="AJ42" s="30"/>
    </row>
    <row r="43" spans="1:36" ht="30" customHeight="1" x14ac:dyDescent="0.3">
      <c r="A43" s="112"/>
      <c r="B43" s="30"/>
      <c r="C43" s="30" t="str">
        <f t="shared" si="0"/>
        <v>12</v>
      </c>
      <c r="D43" s="32">
        <f t="shared" si="7"/>
        <v>3</v>
      </c>
      <c r="E43" s="32" t="str">
        <f t="shared" si="8"/>
        <v>1231</v>
      </c>
      <c r="F43" s="211" t="s">
        <v>550</v>
      </c>
      <c r="G43" s="620" t="str">
        <f>VLOOKUP(E45,BDD!$A$2:$N$567,7,FALSE)</f>
        <v>La DSI met en œuvre un processus de gestion budgétaire permettant de gérer les arbitrages avec la direction générale et les directions métiers et parties prenantes, relatif aux projets, aux évolutions et au fonctionnement récurrent.</v>
      </c>
      <c r="H43" s="621"/>
      <c r="I43" s="621"/>
      <c r="J43" s="621"/>
      <c r="K43" s="621"/>
      <c r="L43" s="621"/>
      <c r="M43" s="621"/>
      <c r="N43" s="622"/>
      <c r="O43" s="673"/>
      <c r="P43" s="673"/>
      <c r="Q43" s="673"/>
      <c r="R43" s="673"/>
      <c r="S43" s="659"/>
      <c r="T43" s="659"/>
      <c r="U43" s="659"/>
      <c r="V43" s="660"/>
      <c r="W43" s="432">
        <f>IFERROR(IF(M43=Suppl!$E$65,0,IF(M43=Suppl!$E$66,1/2/(COUNTIFS($N:$N,"Exigences"&amp;"*")+COUNTIFS($N:$N,"Non"&amp;"*")),IF(M43=Suppl!$E$67,1/(COUNTIFS($N:$N,"Exigences"&amp;"*")+COUNTIFS($N:$N,"Non"&amp;"*")),0))),0)</f>
        <v>0</v>
      </c>
      <c r="X43" s="433">
        <f>IFERROR(IF(N43=Suppl!$E$65,0,IF(N43=Suppl!$E$66,1/2/(COUNTIFS($N:$N,"Exigences"&amp;"*")+COUNTIFS($N:$N,"Non"&amp;"*")),IF(N43=Suppl!$E$67,1/(COUNTIFS($N:$N,"Exigences"&amp;"*")+COUNTIFS($N:$N,"Non"&amp;"*")),0))),0)</f>
        <v>0</v>
      </c>
      <c r="Y43" s="30"/>
      <c r="Z43" s="30"/>
      <c r="AA43" s="30"/>
      <c r="AB43" s="30"/>
      <c r="AC43" s="30"/>
      <c r="AD43" s="30"/>
      <c r="AE43" s="30"/>
      <c r="AF43" s="30"/>
      <c r="AG43" s="30"/>
      <c r="AH43" s="30"/>
      <c r="AI43" s="112"/>
      <c r="AJ43" s="30"/>
    </row>
    <row r="44" spans="1:36" ht="30" customHeight="1" x14ac:dyDescent="0.3">
      <c r="A44" s="112"/>
      <c r="B44" s="30"/>
      <c r="C44" s="30" t="str">
        <f t="shared" si="0"/>
        <v>12</v>
      </c>
      <c r="D44" s="32">
        <f t="shared" si="7"/>
        <v>3</v>
      </c>
      <c r="E44" s="32" t="str">
        <f t="shared" si="8"/>
        <v>1231</v>
      </c>
      <c r="F44" s="143" t="s">
        <v>27</v>
      </c>
      <c r="G44" s="144" t="str">
        <f>VLOOKUP(E44,BDD!$A$2:$N$567,MATCH(G$24,BDD!$A$1:$P$1,0),FALSE)</f>
        <v>Un budget consolidant l'ensemble des coûts de la DSI est établi.</v>
      </c>
      <c r="H44" s="149" t="str">
        <f>IF(VLOOKUP($E44,BDD!$A$2:$N$567,MATCH($H$23,BDD!$A$1:$P$1,0),FALSE)=H$24,'V12_Budget&amp;Perf.'!H$24,"")</f>
        <v>N1</v>
      </c>
      <c r="I44" s="150" t="str">
        <f>IF(VLOOKUP($E44,BDD!$A$2:$N$567,MATCH($H$23,BDD!$A$1:$P$1,0),FALSE)=I$24,'V12_Budget&amp;Perf.'!I$24,"")</f>
        <v/>
      </c>
      <c r="J44" s="150" t="str">
        <f>IF(VLOOKUP($E44,BDD!$A$2:$N$567,MATCH($H$23,BDD!$A$1:$P$1,0),FALSE)=J$24,'V12_Budget&amp;Perf.'!J$24,"")</f>
        <v/>
      </c>
      <c r="K44" s="150" t="str">
        <f>IF(VLOOKUP($E44,BDD!$A$2:$N$567,MATCH($H$23,BDD!$A$1:$P$1,0),FALSE)=K$24,'V12_Budget&amp;Perf.'!K$24,"")</f>
        <v/>
      </c>
      <c r="L44" s="151" t="str">
        <f>IF(VLOOKUP($E44,BDD!$A$2:$N$567,MATCH($H$23,BDD!$A$1:$P$1,0),FALSE)=L$24,'V12_Budget&amp;Perf.'!L$24,"")</f>
        <v/>
      </c>
      <c r="M44" s="63">
        <f t="shared" ref="M44:M50" si="10">IF(N44="Exigences partiellement respectées",1,IF(N44="Exigences respectées",2,0))</f>
        <v>0</v>
      </c>
      <c r="N44" s="144" t="str">
        <f>VLOOKUP(VLOOKUP(E44,BDD!$A$2:$P$550,15,FALSE),Suppl!$D$64:$E$68,2,FALSE)</f>
        <v>Non renseigné</v>
      </c>
      <c r="O44" s="674"/>
      <c r="P44" s="674"/>
      <c r="Q44" s="674"/>
      <c r="R44" s="674"/>
      <c r="S44" s="661">
        <f>IF(N44=Suppl!$E$65,0,IF(N44=Suppl!$E$66,1/2/(COUNTIFS($D:$D,D44,$N:$N,"Exigences"&amp;"*",G:G,"&lt;&gt;0")+COUNTIFS($D:$D,D44,$N:$N,"Non"&amp;"*",G:G,"&lt;&gt;0")),IF(N44=Suppl!$E$67,1/(COUNTIFS($D:$D,D44,$N:$N,"Exigences"&amp;"*",G:G,"&lt;&gt;0")+COUNTIFS($D:$D,D44,$N:$N,"Non"&amp;"*",G:G,"&lt;&gt;0")),0)))</f>
        <v>0</v>
      </c>
      <c r="T44" s="662"/>
      <c r="U44" s="662"/>
      <c r="V44" s="663"/>
      <c r="W44" s="432">
        <f>IFERROR(IF(M44=Suppl!$E$65,0,IF(M44=Suppl!$E$66,1/2/(COUNTIFS($N:$N,"Exigences"&amp;"*")+COUNTIFS($N:$N,"Non"&amp;"*")),IF(M44=Suppl!$E$67,1/(COUNTIFS($N:$N,"Exigences"&amp;"*")+COUNTIFS($N:$N,"Non"&amp;"*")),0))),0)</f>
        <v>0</v>
      </c>
      <c r="X44" s="433">
        <f>IFERROR(IF(N44=Suppl!$E$65,0,IF(N44=Suppl!$E$66,1/2/(COUNTIFS($N:$N,"Exigences"&amp;"*")+COUNTIFS($N:$N,"Non"&amp;"*")),IF(N44=Suppl!$E$67,1/(COUNTIFS($N:$N,"Exigences"&amp;"*")+COUNTIFS($N:$N,"Non"&amp;"*")),0))),0)</f>
        <v>0</v>
      </c>
      <c r="Y44" s="30"/>
      <c r="Z44" s="30"/>
      <c r="AA44" s="30"/>
      <c r="AB44" s="30"/>
      <c r="AC44" s="30"/>
      <c r="AD44" s="30"/>
      <c r="AE44" s="30"/>
      <c r="AF44" s="30"/>
      <c r="AG44" s="30"/>
      <c r="AH44" s="30"/>
      <c r="AI44" s="112"/>
      <c r="AJ44" s="30"/>
    </row>
    <row r="45" spans="1:36" ht="30" customHeight="1" x14ac:dyDescent="0.3">
      <c r="A45" s="112"/>
      <c r="B45" s="30"/>
      <c r="C45" s="30" t="str">
        <f t="shared" si="0"/>
        <v>12</v>
      </c>
      <c r="D45" s="32">
        <f t="shared" si="7"/>
        <v>3</v>
      </c>
      <c r="E45" s="32" t="str">
        <f t="shared" si="8"/>
        <v>1232</v>
      </c>
      <c r="F45" s="145" t="s">
        <v>28</v>
      </c>
      <c r="G45" s="146" t="str">
        <f>VLOOKUP(E45,BDD!$A$2:$N$567,MATCH(G$24,BDD!$A$1:$P$1,0),FALSE)</f>
        <v>Les coûts sont consolidés par périmètre de responsabilité.</v>
      </c>
      <c r="H45" s="149" t="str">
        <f>IF(VLOOKUP($E45,BDD!$A$2:$N$567,MATCH($H$23,BDD!$A$1:$P$1,0),FALSE)=H$24,'V12_Budget&amp;Perf.'!H$24,"")</f>
        <v>N1</v>
      </c>
      <c r="I45" s="150" t="str">
        <f>IF(VLOOKUP($E45,BDD!$A$2:$N$567,MATCH($H$23,BDD!$A$1:$P$1,0),FALSE)=I$24,'V12_Budget&amp;Perf.'!I$24,"")</f>
        <v/>
      </c>
      <c r="J45" s="150" t="str">
        <f>IF(VLOOKUP($E45,BDD!$A$2:$N$567,MATCH($H$23,BDD!$A$1:$P$1,0),FALSE)=J$24,'V12_Budget&amp;Perf.'!J$24,"")</f>
        <v/>
      </c>
      <c r="K45" s="150" t="str">
        <f>IF(VLOOKUP($E45,BDD!$A$2:$N$567,MATCH($H$23,BDD!$A$1:$P$1,0),FALSE)=K$24,'V12_Budget&amp;Perf.'!K$24,"")</f>
        <v/>
      </c>
      <c r="L45" s="151" t="str">
        <f>IF(VLOOKUP($E45,BDD!$A$2:$N$567,MATCH($H$23,BDD!$A$1:$P$1,0),FALSE)=L$24,'V12_Budget&amp;Perf.'!L$24,"")</f>
        <v/>
      </c>
      <c r="M45" s="63">
        <f t="shared" si="10"/>
        <v>0</v>
      </c>
      <c r="N45" s="146" t="str">
        <f>VLOOKUP(VLOOKUP(E45,BDD!$A$2:$P$550,15,FALSE),Suppl!$D$64:$E$68,2,FALSE)</f>
        <v>Non renseigné</v>
      </c>
      <c r="O45" s="670"/>
      <c r="P45" s="670"/>
      <c r="Q45" s="670"/>
      <c r="R45" s="670"/>
      <c r="S45" s="664">
        <f>IF(N45=Suppl!$E$65,0,IF(N45=Suppl!$E$66,1/2/(COUNTIFS($D:$D,D45,$N:$N,"Exigences"&amp;"*",G:G,"&lt;&gt;0")+COUNTIFS($D:$D,D45,$N:$N,"Non"&amp;"*",G:G,"&lt;&gt;0")),IF(N45=Suppl!$E$67,1/(COUNTIFS($D:$D,D45,$N:$N,"Exigences"&amp;"*",G:G,"&lt;&gt;0")+COUNTIFS($D:$D,D45,$N:$N,"Non"&amp;"*",G:G,"&lt;&gt;0")),0)))</f>
        <v>0</v>
      </c>
      <c r="T45" s="665"/>
      <c r="U45" s="665"/>
      <c r="V45" s="666"/>
      <c r="W45" s="432">
        <f>IFERROR(IF(M45=Suppl!$E$65,0,IF(M45=Suppl!$E$66,1/2/(COUNTIFS($N:$N,"Exigences"&amp;"*")+COUNTIFS($N:$N,"Non"&amp;"*")),IF(M45=Suppl!$E$67,1/(COUNTIFS($N:$N,"Exigences"&amp;"*")+COUNTIFS($N:$N,"Non"&amp;"*")),0))),0)</f>
        <v>0</v>
      </c>
      <c r="X45" s="433">
        <f>IFERROR(IF(N45=Suppl!$E$65,0,IF(N45=Suppl!$E$66,1/2/(COUNTIFS($N:$N,"Exigences"&amp;"*")+COUNTIFS($N:$N,"Non"&amp;"*")),IF(N45=Suppl!$E$67,1/(COUNTIFS($N:$N,"Exigences"&amp;"*")+COUNTIFS($N:$N,"Non"&amp;"*")),0))),0)</f>
        <v>0</v>
      </c>
      <c r="Y45" s="30"/>
      <c r="Z45" s="30"/>
      <c r="AA45" s="30"/>
      <c r="AB45" s="30"/>
      <c r="AC45" s="30"/>
      <c r="AD45" s="30"/>
      <c r="AE45" s="30"/>
      <c r="AF45" s="30"/>
      <c r="AG45" s="30"/>
      <c r="AH45" s="30"/>
      <c r="AI45" s="112"/>
      <c r="AJ45" s="30"/>
    </row>
    <row r="46" spans="1:36" ht="30" customHeight="1" x14ac:dyDescent="0.3">
      <c r="A46" s="112"/>
      <c r="B46" s="30"/>
      <c r="C46" s="30" t="str">
        <f t="shared" si="0"/>
        <v>12</v>
      </c>
      <c r="D46" s="32">
        <f t="shared" si="7"/>
        <v>3</v>
      </c>
      <c r="E46" s="32" t="str">
        <f t="shared" si="8"/>
        <v>1233</v>
      </c>
      <c r="F46" s="143" t="s">
        <v>30</v>
      </c>
      <c r="G46" s="144" t="str">
        <f>VLOOKUP(E46,BDD!$A$2:$N$567,MATCH(G$24,BDD!$A$1:$P$1,0),FALSE)</f>
        <v>Un budget consolidant l’ensemble des coûts de la filière numérique existe.</v>
      </c>
      <c r="H46" s="149" t="str">
        <f>IF(VLOOKUP($E46,BDD!$A$2:$N$567,MATCH($H$23,BDD!$A$1:$P$1,0),FALSE)=H$24,'V12_Budget&amp;Perf.'!H$24,"")</f>
        <v/>
      </c>
      <c r="I46" s="150" t="str">
        <f>IF(VLOOKUP($E46,BDD!$A$2:$N$567,MATCH($H$23,BDD!$A$1:$P$1,0),FALSE)=I$24,'V12_Budget&amp;Perf.'!I$24,"")</f>
        <v/>
      </c>
      <c r="J46" s="150" t="str">
        <f>IF(VLOOKUP($E46,BDD!$A$2:$N$567,MATCH($H$23,BDD!$A$1:$P$1,0),FALSE)=J$24,'V12_Budget&amp;Perf.'!J$24,"")</f>
        <v/>
      </c>
      <c r="K46" s="150" t="str">
        <f>IF(VLOOKUP($E46,BDD!$A$2:$N$567,MATCH($H$23,BDD!$A$1:$P$1,0),FALSE)=K$24,'V12_Budget&amp;Perf.'!K$24,"")</f>
        <v>N4</v>
      </c>
      <c r="L46" s="151" t="str">
        <f>IF(VLOOKUP($E46,BDD!$A$2:$N$567,MATCH($H$23,BDD!$A$1:$P$1,0),FALSE)=L$24,'V12_Budget&amp;Perf.'!L$24,"")</f>
        <v/>
      </c>
      <c r="M46" s="63">
        <f t="shared" si="10"/>
        <v>0</v>
      </c>
      <c r="N46" s="144" t="str">
        <f>VLOOKUP(VLOOKUP(E46,BDD!$A$2:$P$550,15,FALSE),Suppl!$D$64:$E$68,2,FALSE)</f>
        <v>Non renseigné</v>
      </c>
      <c r="O46" s="670"/>
      <c r="P46" s="670"/>
      <c r="Q46" s="670"/>
      <c r="R46" s="670"/>
      <c r="S46" s="664">
        <f>IF(N46=Suppl!$E$65,0,IF(N46=Suppl!$E$66,1/2/(COUNTIFS($D:$D,D46,$N:$N,"Exigences"&amp;"*",G:G,"&lt;&gt;0")+COUNTIFS($D:$D,D46,$N:$N,"Non"&amp;"*",G:G,"&lt;&gt;0")),IF(N46=Suppl!$E$67,1/(COUNTIFS($D:$D,D46,$N:$N,"Exigences"&amp;"*",G:G,"&lt;&gt;0")+COUNTIFS($D:$D,D46,$N:$N,"Non"&amp;"*",G:G,"&lt;&gt;0")),0)))</f>
        <v>0</v>
      </c>
      <c r="T46" s="665"/>
      <c r="U46" s="665"/>
      <c r="V46" s="666"/>
      <c r="W46" s="432">
        <f>IFERROR(IF(M46=Suppl!$E$65,0,IF(M46=Suppl!$E$66,1/2/(COUNTIFS($N:$N,"Exigences"&amp;"*")+COUNTIFS($N:$N,"Non"&amp;"*")),IF(M46=Suppl!$E$67,1/(COUNTIFS($N:$N,"Exigences"&amp;"*")+COUNTIFS($N:$N,"Non"&amp;"*")),0))),0)</f>
        <v>0</v>
      </c>
      <c r="X46" s="433">
        <f>IFERROR(IF(N46=Suppl!$E$65,0,IF(N46=Suppl!$E$66,1/2/(COUNTIFS($N:$N,"Exigences"&amp;"*")+COUNTIFS($N:$N,"Non"&amp;"*")),IF(N46=Suppl!$E$67,1/(COUNTIFS($N:$N,"Exigences"&amp;"*")+COUNTIFS($N:$N,"Non"&amp;"*")),0))),0)</f>
        <v>0</v>
      </c>
      <c r="Y46" s="30"/>
      <c r="Z46" s="30"/>
      <c r="AA46" s="30"/>
      <c r="AB46" s="30"/>
      <c r="AC46" s="30"/>
      <c r="AD46" s="30"/>
      <c r="AE46" s="30"/>
      <c r="AF46" s="30"/>
      <c r="AG46" s="30"/>
      <c r="AH46" s="30"/>
      <c r="AI46" s="112"/>
      <c r="AJ46" s="30"/>
    </row>
    <row r="47" spans="1:36" ht="30" customHeight="1" x14ac:dyDescent="0.3">
      <c r="A47" s="112"/>
      <c r="B47" s="30"/>
      <c r="C47" s="30" t="str">
        <f t="shared" si="0"/>
        <v>12</v>
      </c>
      <c r="D47" s="32">
        <f t="shared" si="7"/>
        <v>3</v>
      </c>
      <c r="E47" s="32" t="str">
        <f t="shared" si="8"/>
        <v>1234</v>
      </c>
      <c r="F47" s="145" t="s">
        <v>32</v>
      </c>
      <c r="G47" s="146" t="str">
        <f>VLOOKUP(E47,BDD!$A$2:$N$567,MATCH(G$24,BDD!$A$1:$P$1,0),FALSE)</f>
        <v>Le budget du numérique est construit sur la base de natures de dépenses qui lui sont propres, il est ventilé par centre de responsabilité pour faciliter le pilotage.</v>
      </c>
      <c r="H47" s="149" t="str">
        <f>IF(VLOOKUP($E47,BDD!$A$2:$N$567,MATCH($H$23,BDD!$A$1:$P$1,0),FALSE)=H$24,'V12_Budget&amp;Perf.'!H$24,"")</f>
        <v>N1</v>
      </c>
      <c r="I47" s="150" t="str">
        <f>IF(VLOOKUP($E47,BDD!$A$2:$N$567,MATCH($H$23,BDD!$A$1:$P$1,0),FALSE)=I$24,'V12_Budget&amp;Perf.'!I$24,"")</f>
        <v/>
      </c>
      <c r="J47" s="150" t="str">
        <f>IF(VLOOKUP($E47,BDD!$A$2:$N$567,MATCH($H$23,BDD!$A$1:$P$1,0),FALSE)=J$24,'V12_Budget&amp;Perf.'!J$24,"")</f>
        <v/>
      </c>
      <c r="K47" s="150" t="str">
        <f>IF(VLOOKUP($E47,BDD!$A$2:$N$567,MATCH($H$23,BDD!$A$1:$P$1,0),FALSE)=K$24,'V12_Budget&amp;Perf.'!K$24,"")</f>
        <v/>
      </c>
      <c r="L47" s="151" t="str">
        <f>IF(VLOOKUP($E47,BDD!$A$2:$N$567,MATCH($H$23,BDD!$A$1:$P$1,0),FALSE)=L$24,'V12_Budget&amp;Perf.'!L$24,"")</f>
        <v/>
      </c>
      <c r="M47" s="63">
        <f t="shared" si="10"/>
        <v>0</v>
      </c>
      <c r="N47" s="146" t="str">
        <f>VLOOKUP(VLOOKUP(E47,BDD!$A$2:$P$550,15,FALSE),Suppl!$D$64:$E$68,2,FALSE)</f>
        <v>Non renseigné</v>
      </c>
      <c r="O47" s="670"/>
      <c r="P47" s="670"/>
      <c r="Q47" s="670"/>
      <c r="R47" s="670"/>
      <c r="S47" s="664">
        <f>IF(N47=Suppl!$E$65,0,IF(N47=Suppl!$E$66,1/2/(COUNTIFS($D:$D,D47,$N:$N,"Exigences"&amp;"*",G:G,"&lt;&gt;0")+COUNTIFS($D:$D,D47,$N:$N,"Non"&amp;"*",G:G,"&lt;&gt;0")),IF(N47=Suppl!$E$67,1/(COUNTIFS($D:$D,D47,$N:$N,"Exigences"&amp;"*",G:G,"&lt;&gt;0")+COUNTIFS($D:$D,D47,$N:$N,"Non"&amp;"*",G:G,"&lt;&gt;0")),0)))</f>
        <v>0</v>
      </c>
      <c r="T47" s="665"/>
      <c r="U47" s="665"/>
      <c r="V47" s="666"/>
      <c r="W47" s="432">
        <f>IFERROR(IF(M47=Suppl!$E$65,0,IF(M47=Suppl!$E$66,1/2/(COUNTIFS($N:$N,"Exigences"&amp;"*")+COUNTIFS($N:$N,"Non"&amp;"*")),IF(M47=Suppl!$E$67,1/(COUNTIFS($N:$N,"Exigences"&amp;"*")+COUNTIFS($N:$N,"Non"&amp;"*")),0))),0)</f>
        <v>0</v>
      </c>
      <c r="X47" s="433">
        <f>IFERROR(IF(N47=Suppl!$E$65,0,IF(N47=Suppl!$E$66,1/2/(COUNTIFS($N:$N,"Exigences"&amp;"*")+COUNTIFS($N:$N,"Non"&amp;"*")),IF(N47=Suppl!$E$67,1/(COUNTIFS($N:$N,"Exigences"&amp;"*")+COUNTIFS($N:$N,"Non"&amp;"*")),0))),0)</f>
        <v>0</v>
      </c>
      <c r="Y47" s="30"/>
      <c r="Z47" s="30"/>
      <c r="AA47" s="30"/>
      <c r="AB47" s="30"/>
      <c r="AC47" s="30"/>
      <c r="AD47" s="30"/>
      <c r="AE47" s="30"/>
      <c r="AF47" s="30"/>
      <c r="AG47" s="30"/>
      <c r="AH47" s="30"/>
      <c r="AI47" s="112"/>
      <c r="AJ47" s="30"/>
    </row>
    <row r="48" spans="1:36" ht="41.4" x14ac:dyDescent="0.3">
      <c r="A48" s="112"/>
      <c r="B48" s="30"/>
      <c r="C48" s="30" t="str">
        <f t="shared" si="0"/>
        <v>12</v>
      </c>
      <c r="D48" s="32">
        <f t="shared" si="7"/>
        <v>3</v>
      </c>
      <c r="E48" s="32" t="str">
        <f t="shared" si="8"/>
        <v>1235</v>
      </c>
      <c r="F48" s="143" t="s">
        <v>33</v>
      </c>
      <c r="G48" s="144" t="str">
        <f>VLOOKUP(E48,BDD!$A$2:$N$567,MATCH(G$24,BDD!$A$1:$P$1,0),FALSE)</f>
        <v>Le budget du numérique permet d'identifier les ressources allouées aux projets (transformation), à la maintenance évolutive, et aux autres coûts récurrents, en particulier la production informatique.</v>
      </c>
      <c r="H48" s="149" t="str">
        <f>IF(VLOOKUP($E48,BDD!$A$2:$N$567,MATCH($H$23,BDD!$A$1:$P$1,0),FALSE)=H$24,'V12_Budget&amp;Perf.'!H$24,"")</f>
        <v/>
      </c>
      <c r="I48" s="150" t="str">
        <f>IF(VLOOKUP($E48,BDD!$A$2:$N$567,MATCH($H$23,BDD!$A$1:$P$1,0),FALSE)=I$24,'V12_Budget&amp;Perf.'!I$24,"")</f>
        <v>N2</v>
      </c>
      <c r="J48" s="150" t="str">
        <f>IF(VLOOKUP($E48,BDD!$A$2:$N$567,MATCH($H$23,BDD!$A$1:$P$1,0),FALSE)=J$24,'V12_Budget&amp;Perf.'!J$24,"")</f>
        <v/>
      </c>
      <c r="K48" s="150" t="str">
        <f>IF(VLOOKUP($E48,BDD!$A$2:$N$567,MATCH($H$23,BDD!$A$1:$P$1,0),FALSE)=K$24,'V12_Budget&amp;Perf.'!K$24,"")</f>
        <v/>
      </c>
      <c r="L48" s="151" t="str">
        <f>IF(VLOOKUP($E48,BDD!$A$2:$N$567,MATCH($H$23,BDD!$A$1:$P$1,0),FALSE)=L$24,'V12_Budget&amp;Perf.'!L$24,"")</f>
        <v/>
      </c>
      <c r="M48" s="63">
        <f t="shared" si="10"/>
        <v>0</v>
      </c>
      <c r="N48" s="144" t="str">
        <f>VLOOKUP(VLOOKUP(E48,BDD!$A$2:$P$550,15,FALSE),Suppl!$D$64:$E$68,2,FALSE)</f>
        <v>Non renseigné</v>
      </c>
      <c r="O48" s="670"/>
      <c r="P48" s="670"/>
      <c r="Q48" s="670"/>
      <c r="R48" s="670"/>
      <c r="S48" s="664">
        <f>IF(N48=Suppl!$E$65,0,IF(N48=Suppl!$E$66,1/2/(COUNTIFS($D:$D,D48,$N:$N,"Exigences"&amp;"*",G:G,"&lt;&gt;0")+COUNTIFS($D:$D,D48,$N:$N,"Non"&amp;"*",G:G,"&lt;&gt;0")),IF(N48=Suppl!$E$67,1/(COUNTIFS($D:$D,D48,$N:$N,"Exigences"&amp;"*",G:G,"&lt;&gt;0")+COUNTIFS($D:$D,D48,$N:$N,"Non"&amp;"*",G:G,"&lt;&gt;0")),0)))</f>
        <v>0</v>
      </c>
      <c r="T48" s="665"/>
      <c r="U48" s="665"/>
      <c r="V48" s="666"/>
      <c r="W48" s="432">
        <f>IFERROR(IF(M48=Suppl!$E$65,0,IF(M48=Suppl!$E$66,1/2/(COUNTIFS($N:$N,"Exigences"&amp;"*")+COUNTIFS($N:$N,"Non"&amp;"*")),IF(M48=Suppl!$E$67,1/(COUNTIFS($N:$N,"Exigences"&amp;"*")+COUNTIFS($N:$N,"Non"&amp;"*")),0))),0)</f>
        <v>0</v>
      </c>
      <c r="X48" s="433">
        <f>IFERROR(IF(N48=Suppl!$E$65,0,IF(N48=Suppl!$E$66,1/2/(COUNTIFS($N:$N,"Exigences"&amp;"*")+COUNTIFS($N:$N,"Non"&amp;"*")),IF(N48=Suppl!$E$67,1/(COUNTIFS($N:$N,"Exigences"&amp;"*")+COUNTIFS($N:$N,"Non"&amp;"*")),0))),0)</f>
        <v>0</v>
      </c>
      <c r="Y48" s="30"/>
      <c r="Z48" s="30"/>
      <c r="AA48" s="30"/>
      <c r="AB48" s="30"/>
      <c r="AC48" s="30"/>
      <c r="AD48" s="30"/>
      <c r="AE48" s="30"/>
      <c r="AF48" s="30"/>
      <c r="AG48" s="30"/>
      <c r="AH48" s="30"/>
      <c r="AI48" s="112"/>
      <c r="AJ48" s="30"/>
    </row>
    <row r="49" spans="1:36" ht="30" customHeight="1" x14ac:dyDescent="0.3">
      <c r="A49" s="112"/>
      <c r="B49" s="30"/>
      <c r="C49" s="30" t="str">
        <f t="shared" si="0"/>
        <v>12</v>
      </c>
      <c r="D49" s="32">
        <f t="shared" si="7"/>
        <v>3</v>
      </c>
      <c r="E49" s="32" t="str">
        <f t="shared" si="8"/>
        <v>1236</v>
      </c>
      <c r="F49" s="147" t="s">
        <v>34</v>
      </c>
      <c r="G49" s="148" t="str">
        <f>VLOOKUP(E49,BDD!$A$2:$N$567,MATCH(G$24,BDD!$A$1:$P$1,0),FALSE)</f>
        <v>L'organisation a mis en place un processus budgétaire. Il est formalisé et clarifie les rôles et les responsabilités.</v>
      </c>
      <c r="H49" s="149" t="str">
        <f>IF(VLOOKUP($E49,BDD!$A$2:$N$567,MATCH($H$23,BDD!$A$1:$P$1,0),FALSE)=H$24,'V12_Budget&amp;Perf.'!H$24,"")</f>
        <v>N1</v>
      </c>
      <c r="I49" s="150" t="str">
        <f>IF(VLOOKUP($E49,BDD!$A$2:$N$567,MATCH($H$23,BDD!$A$1:$P$1,0),FALSE)=I$24,'V12_Budget&amp;Perf.'!I$24,"")</f>
        <v/>
      </c>
      <c r="J49" s="150" t="str">
        <f>IF(VLOOKUP($E49,BDD!$A$2:$N$567,MATCH($H$23,BDD!$A$1:$P$1,0),FALSE)=J$24,'V12_Budget&amp;Perf.'!J$24,"")</f>
        <v/>
      </c>
      <c r="K49" s="150" t="str">
        <f>IF(VLOOKUP($E49,BDD!$A$2:$N$567,MATCH($H$23,BDD!$A$1:$P$1,0),FALSE)=K$24,'V12_Budget&amp;Perf.'!K$24,"")</f>
        <v/>
      </c>
      <c r="L49" s="151" t="str">
        <f>IF(VLOOKUP($E49,BDD!$A$2:$N$567,MATCH($H$23,BDD!$A$1:$P$1,0),FALSE)=L$24,'V12_Budget&amp;Perf.'!L$24,"")</f>
        <v/>
      </c>
      <c r="M49" s="63">
        <f t="shared" si="10"/>
        <v>0</v>
      </c>
      <c r="N49" s="148" t="str">
        <f>VLOOKUP(VLOOKUP(E49,BDD!$A$2:$P$550,15,FALSE),Suppl!$D$64:$E$68,2,FALSE)</f>
        <v>Non renseigné</v>
      </c>
      <c r="O49" s="670"/>
      <c r="P49" s="670"/>
      <c r="Q49" s="670"/>
      <c r="R49" s="670"/>
      <c r="S49" s="664">
        <f>IF(N49=Suppl!$E$65,0,IF(N49=Suppl!$E$66,1/2/(COUNTIFS($D:$D,D49,$N:$N,"Exigences"&amp;"*",G:G,"&lt;&gt;0")+COUNTIFS($D:$D,D49,$N:$N,"Non"&amp;"*",G:G,"&lt;&gt;0")),IF(N49=Suppl!$E$67,1/(COUNTIFS($D:$D,D49,$N:$N,"Exigences"&amp;"*",G:G,"&lt;&gt;0")+COUNTIFS($D:$D,D49,$N:$N,"Non"&amp;"*",G:G,"&lt;&gt;0")),0)))</f>
        <v>0</v>
      </c>
      <c r="T49" s="665"/>
      <c r="U49" s="665"/>
      <c r="V49" s="666"/>
      <c r="W49" s="432">
        <f>IFERROR(IF(M49=Suppl!$E$65,0,IF(M49=Suppl!$E$66,1/2/(COUNTIFS($N:$N,"Exigences"&amp;"*")+COUNTIFS($N:$N,"Non"&amp;"*")),IF(M49=Suppl!$E$67,1/(COUNTIFS($N:$N,"Exigences"&amp;"*")+COUNTIFS($N:$N,"Non"&amp;"*")),0))),0)</f>
        <v>0</v>
      </c>
      <c r="X49" s="433">
        <f>IFERROR(IF(N49=Suppl!$E$65,0,IF(N49=Suppl!$E$66,1/2/(COUNTIFS($N:$N,"Exigences"&amp;"*")+COUNTIFS($N:$N,"Non"&amp;"*")),IF(N49=Suppl!$E$67,1/(COUNTIFS($N:$N,"Exigences"&amp;"*")+COUNTIFS($N:$N,"Non"&amp;"*")),0))),0)</f>
        <v>0</v>
      </c>
      <c r="Y49" s="30"/>
      <c r="Z49" s="30"/>
      <c r="AA49" s="30"/>
      <c r="AB49" s="30"/>
      <c r="AC49" s="30"/>
      <c r="AD49" s="30"/>
      <c r="AE49" s="30"/>
      <c r="AF49" s="30"/>
      <c r="AG49" s="30"/>
      <c r="AH49" s="30"/>
      <c r="AI49" s="112"/>
      <c r="AJ49" s="30"/>
    </row>
    <row r="50" spans="1:36" ht="41.4" x14ac:dyDescent="0.3">
      <c r="A50" s="112"/>
      <c r="B50" s="30"/>
      <c r="C50" s="30" t="str">
        <f t="shared" si="0"/>
        <v>12</v>
      </c>
      <c r="D50" s="32">
        <f t="shared" si="7"/>
        <v>3</v>
      </c>
      <c r="E50" s="32" t="str">
        <f t="shared" si="8"/>
        <v>1237</v>
      </c>
      <c r="F50" s="143" t="s">
        <v>36</v>
      </c>
      <c r="G50" s="144" t="str">
        <f>VLOOKUP(E50,BDD!$A$2:$N$567,MATCH(G$24,BDD!$A$1:$P$1,0),FALSE)</f>
        <v>Le numérique fait l'objet d'un processus budgétaire dédié. Les rôles et responsabilités du processus budgétaire sont formellement attribués (cadrage, élaboration, suivi des écarts, mises à jour, …). Il existe un processus d'arbitrage clairement défini.</v>
      </c>
      <c r="H50" s="149" t="str">
        <f>IF(VLOOKUP($E50,BDD!$A$2:$N$567,MATCH($H$23,BDD!$A$1:$P$1,0),FALSE)=H$24,'V12_Budget&amp;Perf.'!H$24,"")</f>
        <v/>
      </c>
      <c r="I50" s="150" t="str">
        <f>IF(VLOOKUP($E50,BDD!$A$2:$N$567,MATCH($H$23,BDD!$A$1:$P$1,0),FALSE)=I$24,'V12_Budget&amp;Perf.'!I$24,"")</f>
        <v>N2</v>
      </c>
      <c r="J50" s="150" t="str">
        <f>IF(VLOOKUP($E50,BDD!$A$2:$N$567,MATCH($H$23,BDD!$A$1:$P$1,0),FALSE)=J$24,'V12_Budget&amp;Perf.'!J$24,"")</f>
        <v/>
      </c>
      <c r="K50" s="150" t="str">
        <f>IF(VLOOKUP($E50,BDD!$A$2:$N$567,MATCH($H$23,BDD!$A$1:$P$1,0),FALSE)=K$24,'V12_Budget&amp;Perf.'!K$24,"")</f>
        <v/>
      </c>
      <c r="L50" s="151" t="str">
        <f>IF(VLOOKUP($E50,BDD!$A$2:$N$567,MATCH($H$23,BDD!$A$1:$P$1,0),FALSE)=L$24,'V12_Budget&amp;Perf.'!L$24,"")</f>
        <v/>
      </c>
      <c r="M50" s="63">
        <f t="shared" si="10"/>
        <v>0</v>
      </c>
      <c r="N50" s="144" t="str">
        <f>VLOOKUP(VLOOKUP(E50,BDD!$A$2:$P$550,15,FALSE),Suppl!$D$64:$E$68,2,FALSE)</f>
        <v>Non renseigné</v>
      </c>
      <c r="O50" s="671"/>
      <c r="P50" s="671"/>
      <c r="Q50" s="671"/>
      <c r="R50" s="671"/>
      <c r="S50" s="667">
        <f>IF(N50=Suppl!$E$65,0,IF(N50=Suppl!$E$66,1/2/(COUNTIFS($D:$D,D50,$N:$N,"Exigences"&amp;"*",G:G,"&lt;&gt;0")+COUNTIFS($D:$D,D50,$N:$N,"Non"&amp;"*",G:G,"&lt;&gt;0")),IF(N50=Suppl!$E$67,1/(COUNTIFS($D:$D,D50,$N:$N,"Exigences"&amp;"*",G:G,"&lt;&gt;0")+COUNTIFS($D:$D,D50,$N:$N,"Non"&amp;"*",G:G,"&lt;&gt;0")),0)))</f>
        <v>0</v>
      </c>
      <c r="T50" s="668"/>
      <c r="U50" s="668"/>
      <c r="V50" s="669"/>
      <c r="W50" s="432">
        <f>IFERROR(IF(M50=Suppl!$E$65,0,IF(M50=Suppl!$E$66,1/2/(COUNTIFS($N:$N,"Exigences"&amp;"*")+COUNTIFS($N:$N,"Non"&amp;"*")),IF(M50=Suppl!$E$67,1/(COUNTIFS($N:$N,"Exigences"&amp;"*")+COUNTIFS($N:$N,"Non"&amp;"*")),0))),0)</f>
        <v>0</v>
      </c>
      <c r="X50" s="433">
        <f>IFERROR(IF(N50=Suppl!$E$65,0,IF(N50=Suppl!$E$66,1/2/(COUNTIFS($N:$N,"Exigences"&amp;"*")+COUNTIFS($N:$N,"Non"&amp;"*")),IF(N50=Suppl!$E$67,1/(COUNTIFS($N:$N,"Exigences"&amp;"*")+COUNTIFS($N:$N,"Non"&amp;"*")),0))),0)</f>
        <v>0</v>
      </c>
      <c r="Y50" s="30"/>
      <c r="Z50" s="30"/>
      <c r="AA50" s="30"/>
      <c r="AB50" s="30"/>
      <c r="AC50" s="30"/>
      <c r="AD50" s="30"/>
      <c r="AE50" s="30"/>
      <c r="AF50" s="30"/>
      <c r="AG50" s="30"/>
      <c r="AH50" s="30"/>
      <c r="AI50" s="112"/>
      <c r="AJ50" s="30"/>
    </row>
    <row r="51" spans="1:36" ht="30" customHeight="1" x14ac:dyDescent="0.3">
      <c r="A51" s="112"/>
      <c r="B51" s="30"/>
      <c r="C51" s="30" t="str">
        <f t="shared" si="0"/>
        <v>12</v>
      </c>
      <c r="D51" s="32">
        <f t="shared" si="7"/>
        <v>4</v>
      </c>
      <c r="E51" s="32" t="str">
        <f t="shared" si="8"/>
        <v>1244</v>
      </c>
      <c r="F51" s="191" t="s">
        <v>502</v>
      </c>
      <c r="G51" s="192" t="str">
        <f>VLOOKUP(E53,BDD!$A$2:$N$567,6,FALSE)</f>
        <v>Coûts complets des services</v>
      </c>
      <c r="H51" s="190"/>
      <c r="I51" s="135"/>
      <c r="J51" s="135"/>
      <c r="K51" s="135"/>
      <c r="L51" s="136"/>
      <c r="M51" s="137"/>
      <c r="N51" s="138"/>
      <c r="O51" s="672">
        <v>0</v>
      </c>
      <c r="P51" s="672"/>
      <c r="Q51" s="672"/>
      <c r="R51" s="672"/>
      <c r="S51" s="657">
        <f>SUMIFS(S:S,$D:$D,D51,$N:$N,"Exigences"&amp;"*")</f>
        <v>0</v>
      </c>
      <c r="T51" s="657"/>
      <c r="U51" s="657"/>
      <c r="V51" s="658"/>
      <c r="W51" s="432">
        <f>IFERROR(IF(M51=Suppl!$E$65,0,IF(M51=Suppl!$E$66,1/2/(COUNTIFS($N:$N,"Exigences"&amp;"*")+COUNTIFS($N:$N,"Non"&amp;"*")),IF(M51=Suppl!$E$67,1/(COUNTIFS($N:$N,"Exigences"&amp;"*")+COUNTIFS($N:$N,"Non"&amp;"*")),0))),0)</f>
        <v>0</v>
      </c>
      <c r="X51" s="433">
        <f>IFERROR(IF(N51=Suppl!$E$65,0,IF(N51=Suppl!$E$66,1/2/(COUNTIFS($N:$N,"Exigences"&amp;"*")+COUNTIFS($N:$N,"Non"&amp;"*")),IF(N51=Suppl!$E$67,1/(COUNTIFS($N:$N,"Exigences"&amp;"*")+COUNTIFS($N:$N,"Non"&amp;"*")),0))),0)</f>
        <v>0</v>
      </c>
      <c r="Y51" s="30"/>
      <c r="Z51" s="30"/>
      <c r="AA51" s="30"/>
      <c r="AB51" s="30"/>
      <c r="AC51" s="30"/>
      <c r="AD51" s="30"/>
      <c r="AE51" s="30"/>
      <c r="AF51" s="30"/>
      <c r="AG51" s="30"/>
      <c r="AH51" s="30"/>
      <c r="AI51" s="112"/>
      <c r="AJ51" s="30"/>
    </row>
    <row r="52" spans="1:36" ht="30" customHeight="1" x14ac:dyDescent="0.3">
      <c r="A52" s="112"/>
      <c r="B52" s="30"/>
      <c r="C52" s="30" t="str">
        <f t="shared" si="0"/>
        <v>12</v>
      </c>
      <c r="D52" s="32">
        <f t="shared" si="7"/>
        <v>4</v>
      </c>
      <c r="E52" s="32" t="str">
        <f t="shared" si="8"/>
        <v>1241</v>
      </c>
      <c r="F52" s="211" t="s">
        <v>550</v>
      </c>
      <c r="G52" s="620" t="str">
        <f>VLOOKUP(E54,BDD!$A$2:$N$567,7,FALSE)</f>
        <v>La DSI calcule le coût complet des prestations du catalogue de services fournis à ses clients, en le décomposant en coûts unitaires et en volumes, afin de co-responsabiliser les métiers sur les coûts du numérique.</v>
      </c>
      <c r="H52" s="621"/>
      <c r="I52" s="621"/>
      <c r="J52" s="621"/>
      <c r="K52" s="621"/>
      <c r="L52" s="621"/>
      <c r="M52" s="621"/>
      <c r="N52" s="622"/>
      <c r="O52" s="673"/>
      <c r="P52" s="673"/>
      <c r="Q52" s="673"/>
      <c r="R52" s="673"/>
      <c r="S52" s="659"/>
      <c r="T52" s="659"/>
      <c r="U52" s="659"/>
      <c r="V52" s="660"/>
      <c r="W52" s="432">
        <f>IFERROR(IF(M52=Suppl!$E$65,0,IF(M52=Suppl!$E$66,1/2/(COUNTIFS($N:$N,"Exigences"&amp;"*")+COUNTIFS($N:$N,"Non"&amp;"*")),IF(M52=Suppl!$E$67,1/(COUNTIFS($N:$N,"Exigences"&amp;"*")+COUNTIFS($N:$N,"Non"&amp;"*")),0))),0)</f>
        <v>0</v>
      </c>
      <c r="X52" s="433">
        <f>IFERROR(IF(N52=Suppl!$E$65,0,IF(N52=Suppl!$E$66,1/2/(COUNTIFS($N:$N,"Exigences"&amp;"*")+COUNTIFS($N:$N,"Non"&amp;"*")),IF(N52=Suppl!$E$67,1/(COUNTIFS($N:$N,"Exigences"&amp;"*")+COUNTIFS($N:$N,"Non"&amp;"*")),0))),0)</f>
        <v>0</v>
      </c>
      <c r="Y52" s="30"/>
      <c r="Z52" s="30"/>
      <c r="AA52" s="30"/>
      <c r="AB52" s="30"/>
      <c r="AC52" s="30"/>
      <c r="AD52" s="30"/>
      <c r="AE52" s="30"/>
      <c r="AF52" s="30"/>
      <c r="AG52" s="30"/>
      <c r="AH52" s="30"/>
      <c r="AI52" s="112"/>
      <c r="AJ52" s="30"/>
    </row>
    <row r="53" spans="1:36" ht="30" customHeight="1" x14ac:dyDescent="0.3">
      <c r="A53" s="112"/>
      <c r="B53" s="30"/>
      <c r="C53" s="30" t="str">
        <f t="shared" si="0"/>
        <v>12</v>
      </c>
      <c r="D53" s="32">
        <f t="shared" si="7"/>
        <v>4</v>
      </c>
      <c r="E53" s="32" t="str">
        <f t="shared" si="8"/>
        <v>1241</v>
      </c>
      <c r="F53" s="143" t="s">
        <v>27</v>
      </c>
      <c r="G53" s="144" t="str">
        <f>VLOOKUP(E53,BDD!$A$2:$N$567,MATCH(G$24,BDD!$A$1:$P$1,0),FALSE)</f>
        <v>Un catalogue de services a été défini en relation avec les clients de la DSI et couvre la totalité des prestations fournies.</v>
      </c>
      <c r="H53" s="149" t="str">
        <f>IF(VLOOKUP($E53,BDD!$A$2:$N$567,MATCH($H$23,BDD!$A$1:$P$1,0),FALSE)=H$24,'V12_Budget&amp;Perf.'!H$24,"")</f>
        <v/>
      </c>
      <c r="I53" s="150" t="str">
        <f>IF(VLOOKUP($E53,BDD!$A$2:$N$567,MATCH($H$23,BDD!$A$1:$P$1,0),FALSE)=I$24,'V12_Budget&amp;Perf.'!I$24,"")</f>
        <v>N2</v>
      </c>
      <c r="J53" s="150" t="str">
        <f>IF(VLOOKUP($E53,BDD!$A$2:$N$567,MATCH($H$23,BDD!$A$1:$P$1,0),FALSE)=J$24,'V12_Budget&amp;Perf.'!J$24,"")</f>
        <v/>
      </c>
      <c r="K53" s="150" t="str">
        <f>IF(VLOOKUP($E53,BDD!$A$2:$N$567,MATCH($H$23,BDD!$A$1:$P$1,0),FALSE)=K$24,'V12_Budget&amp;Perf.'!K$24,"")</f>
        <v/>
      </c>
      <c r="L53" s="151" t="str">
        <f>IF(VLOOKUP($E53,BDD!$A$2:$N$567,MATCH($H$23,BDD!$A$1:$P$1,0),FALSE)=L$24,'V12_Budget&amp;Perf.'!L$24,"")</f>
        <v/>
      </c>
      <c r="M53" s="63">
        <f t="shared" ref="M53:M57" si="11">IF(N53="Exigences partiellement respectées",1,IF(N53="Exigences respectées",2,0))</f>
        <v>0</v>
      </c>
      <c r="N53" s="144" t="str">
        <f>VLOOKUP(VLOOKUP(E53,BDD!$A$2:$P$550,15,FALSE),Suppl!$D$64:$E$68,2,FALSE)</f>
        <v>Non renseigné</v>
      </c>
      <c r="O53" s="674"/>
      <c r="P53" s="674"/>
      <c r="Q53" s="674"/>
      <c r="R53" s="674"/>
      <c r="S53" s="661">
        <f>IF(N53=Suppl!$E$65,0,IF(N53=Suppl!$E$66,1/2/(COUNTIFS($D:$D,D53,$N:$N,"Exigences"&amp;"*",G:G,"&lt;&gt;0")+COUNTIFS($D:$D,D53,$N:$N,"Non"&amp;"*",G:G,"&lt;&gt;0")),IF(N53=Suppl!$E$67,1/(COUNTIFS($D:$D,D53,$N:$N,"Exigences"&amp;"*",G:G,"&lt;&gt;0")+COUNTIFS($D:$D,D53,$N:$N,"Non"&amp;"*",G:G,"&lt;&gt;0")),0)))</f>
        <v>0</v>
      </c>
      <c r="T53" s="662"/>
      <c r="U53" s="662"/>
      <c r="V53" s="663"/>
      <c r="W53" s="432">
        <f>IFERROR(IF(M53=Suppl!$E$65,0,IF(M53=Suppl!$E$66,1/2/(COUNTIFS($N:$N,"Exigences"&amp;"*")+COUNTIFS($N:$N,"Non"&amp;"*")),IF(M53=Suppl!$E$67,1/(COUNTIFS($N:$N,"Exigences"&amp;"*")+COUNTIFS($N:$N,"Non"&amp;"*")),0))),0)</f>
        <v>0</v>
      </c>
      <c r="X53" s="433">
        <f>IFERROR(IF(N53=Suppl!$E$65,0,IF(N53=Suppl!$E$66,1/2/(COUNTIFS($N:$N,"Exigences"&amp;"*")+COUNTIFS($N:$N,"Non"&amp;"*")),IF(N53=Suppl!$E$67,1/(COUNTIFS($N:$N,"Exigences"&amp;"*")+COUNTIFS($N:$N,"Non"&amp;"*")),0))),0)</f>
        <v>0</v>
      </c>
      <c r="Y53" s="30"/>
      <c r="Z53" s="30"/>
      <c r="AA53" s="30"/>
      <c r="AB53" s="30"/>
      <c r="AC53" s="30"/>
      <c r="AD53" s="30"/>
      <c r="AE53" s="30"/>
      <c r="AF53" s="30"/>
      <c r="AG53" s="30"/>
      <c r="AH53" s="30"/>
      <c r="AI53" s="112"/>
      <c r="AJ53" s="30"/>
    </row>
    <row r="54" spans="1:36" ht="41.4" x14ac:dyDescent="0.3">
      <c r="A54" s="112"/>
      <c r="B54" s="30"/>
      <c r="C54" s="30" t="str">
        <f t="shared" si="0"/>
        <v>12</v>
      </c>
      <c r="D54" s="32">
        <f t="shared" si="7"/>
        <v>4</v>
      </c>
      <c r="E54" s="32" t="str">
        <f t="shared" si="8"/>
        <v>1242</v>
      </c>
      <c r="F54" s="145" t="s">
        <v>28</v>
      </c>
      <c r="G54" s="146" t="str">
        <f>VLOOKUP(E54,BDD!$A$2:$N$567,MATCH(G$24,BDD!$A$1:$P$1,0),FALSE)</f>
        <v>La DSI a identifié l'ensemble de ses activités et en maîtrise les coûts, les managers de la DSI comprennent leur contribution au coût complet des services fournis afin de pouvoir les piloter en agissant sur les leviers d'action dont ils ont la responsabilité.</v>
      </c>
      <c r="H54" s="149" t="str">
        <f>IF(VLOOKUP($E54,BDD!$A$2:$N$567,MATCH($H$23,BDD!$A$1:$P$1,0),FALSE)=H$24,'V12_Budget&amp;Perf.'!H$24,"")</f>
        <v/>
      </c>
      <c r="I54" s="150" t="str">
        <f>IF(VLOOKUP($E54,BDD!$A$2:$N$567,MATCH($H$23,BDD!$A$1:$P$1,0),FALSE)=I$24,'V12_Budget&amp;Perf.'!I$24,"")</f>
        <v/>
      </c>
      <c r="J54" s="150" t="str">
        <f>IF(VLOOKUP($E54,BDD!$A$2:$N$567,MATCH($H$23,BDD!$A$1:$P$1,0),FALSE)=J$24,'V12_Budget&amp;Perf.'!J$24,"")</f>
        <v>N3</v>
      </c>
      <c r="K54" s="150" t="str">
        <f>IF(VLOOKUP($E54,BDD!$A$2:$N$567,MATCH($H$23,BDD!$A$1:$P$1,0),FALSE)=K$24,'V12_Budget&amp;Perf.'!K$24,"")</f>
        <v/>
      </c>
      <c r="L54" s="151" t="str">
        <f>IF(VLOOKUP($E54,BDD!$A$2:$N$567,MATCH($H$23,BDD!$A$1:$P$1,0),FALSE)=L$24,'V12_Budget&amp;Perf.'!L$24,"")</f>
        <v/>
      </c>
      <c r="M54" s="63">
        <f t="shared" si="11"/>
        <v>0</v>
      </c>
      <c r="N54" s="146" t="str">
        <f>VLOOKUP(VLOOKUP(E54,BDD!$A$2:$P$550,15,FALSE),Suppl!$D$64:$E$68,2,FALSE)</f>
        <v>Non renseigné</v>
      </c>
      <c r="O54" s="670"/>
      <c r="P54" s="670"/>
      <c r="Q54" s="670"/>
      <c r="R54" s="670"/>
      <c r="S54" s="664">
        <f>IF(N54=Suppl!$E$65,0,IF(N54=Suppl!$E$66,1/2/(COUNTIFS($D:$D,D54,$N:$N,"Exigences"&amp;"*",G:G,"&lt;&gt;0")+COUNTIFS($D:$D,D54,$N:$N,"Non"&amp;"*",G:G,"&lt;&gt;0")),IF(N54=Suppl!$E$67,1/(COUNTIFS($D:$D,D54,$N:$N,"Exigences"&amp;"*",G:G,"&lt;&gt;0")+COUNTIFS($D:$D,D54,$N:$N,"Non"&amp;"*",G:G,"&lt;&gt;0")),0)))</f>
        <v>0</v>
      </c>
      <c r="T54" s="665"/>
      <c r="U54" s="665"/>
      <c r="V54" s="666"/>
      <c r="W54" s="432">
        <f>IFERROR(IF(M54=Suppl!$E$65,0,IF(M54=Suppl!$E$66,1/2/(COUNTIFS($N:$N,"Exigences"&amp;"*")+COUNTIFS($N:$N,"Non"&amp;"*")),IF(M54=Suppl!$E$67,1/(COUNTIFS($N:$N,"Exigences"&amp;"*")+COUNTIFS($N:$N,"Non"&amp;"*")),0))),0)</f>
        <v>0</v>
      </c>
      <c r="X54" s="433">
        <f>IFERROR(IF(N54=Suppl!$E$65,0,IF(N54=Suppl!$E$66,1/2/(COUNTIFS($N:$N,"Exigences"&amp;"*")+COUNTIFS($N:$N,"Non"&amp;"*")),IF(N54=Suppl!$E$67,1/(COUNTIFS($N:$N,"Exigences"&amp;"*")+COUNTIFS($N:$N,"Non"&amp;"*")),0))),0)</f>
        <v>0</v>
      </c>
      <c r="Y54" s="30"/>
      <c r="Z54" s="30"/>
      <c r="AA54" s="30"/>
      <c r="AB54" s="30"/>
      <c r="AC54" s="30"/>
      <c r="AD54" s="30"/>
      <c r="AE54" s="30"/>
      <c r="AF54" s="30"/>
      <c r="AG54" s="30"/>
      <c r="AH54" s="30"/>
      <c r="AI54" s="112"/>
      <c r="AJ54" s="30"/>
    </row>
    <row r="55" spans="1:36" ht="41.4" x14ac:dyDescent="0.3">
      <c r="A55" s="112"/>
      <c r="B55" s="30"/>
      <c r="C55" s="30" t="str">
        <f t="shared" si="0"/>
        <v>12</v>
      </c>
      <c r="D55" s="32">
        <f t="shared" si="7"/>
        <v>4</v>
      </c>
      <c r="E55" s="32" t="str">
        <f t="shared" si="8"/>
        <v>1243</v>
      </c>
      <c r="F55" s="143" t="s">
        <v>30</v>
      </c>
      <c r="G55" s="144" t="str">
        <f>VLOOKUP(E55,BDD!$A$2:$N$567,MATCH(G$24,BDD!$A$1:$P$1,0),FALSE)</f>
        <v>Le coût unitaire des services numériques fournis est calculé avec une méthode documentée et transparente, permettant d’en expliquer les composantes et d’en garantir la traçabilité.</v>
      </c>
      <c r="H55" s="149" t="str">
        <f>IF(VLOOKUP($E55,BDD!$A$2:$N$567,MATCH($H$23,BDD!$A$1:$P$1,0),FALSE)=H$24,'V12_Budget&amp;Perf.'!H$24,"")</f>
        <v/>
      </c>
      <c r="I55" s="150" t="str">
        <f>IF(VLOOKUP($E55,BDD!$A$2:$N$567,MATCH($H$23,BDD!$A$1:$P$1,0),FALSE)=I$24,'V12_Budget&amp;Perf.'!I$24,"")</f>
        <v/>
      </c>
      <c r="J55" s="150" t="str">
        <f>IF(VLOOKUP($E55,BDD!$A$2:$N$567,MATCH($H$23,BDD!$A$1:$P$1,0),FALSE)=J$24,'V12_Budget&amp;Perf.'!J$24,"")</f>
        <v/>
      </c>
      <c r="K55" s="150" t="str">
        <f>IF(VLOOKUP($E55,BDD!$A$2:$N$567,MATCH($H$23,BDD!$A$1:$P$1,0),FALSE)=K$24,'V12_Budget&amp;Perf.'!K$24,"")</f>
        <v>N4</v>
      </c>
      <c r="L55" s="151" t="str">
        <f>IF(VLOOKUP($E55,BDD!$A$2:$N$567,MATCH($H$23,BDD!$A$1:$P$1,0),FALSE)=L$24,'V12_Budget&amp;Perf.'!L$24,"")</f>
        <v/>
      </c>
      <c r="M55" s="63">
        <f t="shared" si="11"/>
        <v>0</v>
      </c>
      <c r="N55" s="144" t="str">
        <f>VLOOKUP(VLOOKUP(E55,BDD!$A$2:$P$550,15,FALSE),Suppl!$D$64:$E$68,2,FALSE)</f>
        <v>Non renseigné</v>
      </c>
      <c r="O55" s="670"/>
      <c r="P55" s="670"/>
      <c r="Q55" s="670"/>
      <c r="R55" s="670"/>
      <c r="S55" s="664">
        <f>IF(N55=Suppl!$E$65,0,IF(N55=Suppl!$E$66,1/2/(COUNTIFS($D:$D,D55,$N:$N,"Exigences"&amp;"*",G:G,"&lt;&gt;0")+COUNTIFS($D:$D,D55,$N:$N,"Non"&amp;"*",G:G,"&lt;&gt;0")),IF(N55=Suppl!$E$67,1/(COUNTIFS($D:$D,D55,$N:$N,"Exigences"&amp;"*",G:G,"&lt;&gt;0")+COUNTIFS($D:$D,D55,$N:$N,"Non"&amp;"*",G:G,"&lt;&gt;0")),0)))</f>
        <v>0</v>
      </c>
      <c r="T55" s="665"/>
      <c r="U55" s="665"/>
      <c r="V55" s="666"/>
      <c r="W55" s="432">
        <f>IFERROR(IF(M55=Suppl!$E$65,0,IF(M55=Suppl!$E$66,1/2/(COUNTIFS($N:$N,"Exigences"&amp;"*")+COUNTIFS($N:$N,"Non"&amp;"*")),IF(M55=Suppl!$E$67,1/(COUNTIFS($N:$N,"Exigences"&amp;"*")+COUNTIFS($N:$N,"Non"&amp;"*")),0))),0)</f>
        <v>0</v>
      </c>
      <c r="X55" s="433">
        <f>IFERROR(IF(N55=Suppl!$E$65,0,IF(N55=Suppl!$E$66,1/2/(COUNTIFS($N:$N,"Exigences"&amp;"*")+COUNTIFS($N:$N,"Non"&amp;"*")),IF(N55=Suppl!$E$67,1/(COUNTIFS($N:$N,"Exigences"&amp;"*")+COUNTIFS($N:$N,"Non"&amp;"*")),0))),0)</f>
        <v>0</v>
      </c>
      <c r="Y55" s="30"/>
      <c r="Z55" s="30"/>
      <c r="AA55" s="30"/>
      <c r="AB55" s="30"/>
      <c r="AC55" s="30"/>
      <c r="AD55" s="30"/>
      <c r="AE55" s="30"/>
      <c r="AF55" s="30"/>
      <c r="AG55" s="30"/>
      <c r="AH55" s="30"/>
      <c r="AI55" s="112"/>
      <c r="AJ55" s="30"/>
    </row>
    <row r="56" spans="1:36" ht="30" customHeight="1" x14ac:dyDescent="0.3">
      <c r="A56" s="112"/>
      <c r="B56" s="30"/>
      <c r="C56" s="30" t="str">
        <f t="shared" si="0"/>
        <v>12</v>
      </c>
      <c r="D56" s="32">
        <f t="shared" si="7"/>
        <v>4</v>
      </c>
      <c r="E56" s="32" t="str">
        <f t="shared" si="8"/>
        <v>1244</v>
      </c>
      <c r="F56" s="145" t="s">
        <v>32</v>
      </c>
      <c r="G56" s="146" t="str">
        <f>VLOOKUP(E56,BDD!$A$2:$N$567,MATCH(G$24,BDD!$A$1:$P$1,0),FALSE)</f>
        <v>Une revue et une optimisation régulière des coûts unitaires est mise en œuvre.</v>
      </c>
      <c r="H56" s="149" t="str">
        <f>IF(VLOOKUP($E56,BDD!$A$2:$N$567,MATCH($H$23,BDD!$A$1:$P$1,0),FALSE)=H$24,'V12_Budget&amp;Perf.'!H$24,"")</f>
        <v/>
      </c>
      <c r="I56" s="150" t="str">
        <f>IF(VLOOKUP($E56,BDD!$A$2:$N$567,MATCH($H$23,BDD!$A$1:$P$1,0),FALSE)=I$24,'V12_Budget&amp;Perf.'!I$24,"")</f>
        <v/>
      </c>
      <c r="J56" s="150" t="str">
        <f>IF(VLOOKUP($E56,BDD!$A$2:$N$567,MATCH($H$23,BDD!$A$1:$P$1,0),FALSE)=J$24,'V12_Budget&amp;Perf.'!J$24,"")</f>
        <v/>
      </c>
      <c r="K56" s="150" t="str">
        <f>IF(VLOOKUP($E56,BDD!$A$2:$N$567,MATCH($H$23,BDD!$A$1:$P$1,0),FALSE)=K$24,'V12_Budget&amp;Perf.'!K$24,"")</f>
        <v>N4</v>
      </c>
      <c r="L56" s="151" t="str">
        <f>IF(VLOOKUP($E56,BDD!$A$2:$N$567,MATCH($H$23,BDD!$A$1:$P$1,0),FALSE)=L$24,'V12_Budget&amp;Perf.'!L$24,"")</f>
        <v/>
      </c>
      <c r="M56" s="63">
        <f t="shared" si="11"/>
        <v>0</v>
      </c>
      <c r="N56" s="146" t="str">
        <f>VLOOKUP(VLOOKUP(E56,BDD!$A$2:$P$550,15,FALSE),Suppl!$D$64:$E$68,2,FALSE)</f>
        <v>Non renseigné</v>
      </c>
      <c r="O56" s="670"/>
      <c r="P56" s="670"/>
      <c r="Q56" s="670"/>
      <c r="R56" s="670"/>
      <c r="S56" s="664">
        <f>IF(N56=Suppl!$E$65,0,IF(N56=Suppl!$E$66,1/2/(COUNTIFS($D:$D,D56,$N:$N,"Exigences"&amp;"*",G:G,"&lt;&gt;0")+COUNTIFS($D:$D,D56,$N:$N,"Non"&amp;"*",G:G,"&lt;&gt;0")),IF(N56=Suppl!$E$67,1/(COUNTIFS($D:$D,D56,$N:$N,"Exigences"&amp;"*",G:G,"&lt;&gt;0")+COUNTIFS($D:$D,D56,$N:$N,"Non"&amp;"*",G:G,"&lt;&gt;0")),0)))</f>
        <v>0</v>
      </c>
      <c r="T56" s="665"/>
      <c r="U56" s="665"/>
      <c r="V56" s="666"/>
      <c r="W56" s="432">
        <f>IFERROR(IF(M56=Suppl!$E$65,0,IF(M56=Suppl!$E$66,1/2/(COUNTIFS($N:$N,"Exigences"&amp;"*")+COUNTIFS($N:$N,"Non"&amp;"*")),IF(M56=Suppl!$E$67,1/(COUNTIFS($N:$N,"Exigences"&amp;"*")+COUNTIFS($N:$N,"Non"&amp;"*")),0))),0)</f>
        <v>0</v>
      </c>
      <c r="X56" s="433">
        <f>IFERROR(IF(N56=Suppl!$E$65,0,IF(N56=Suppl!$E$66,1/2/(COUNTIFS($N:$N,"Exigences"&amp;"*")+COUNTIFS($N:$N,"Non"&amp;"*")),IF(N56=Suppl!$E$67,1/(COUNTIFS($N:$N,"Exigences"&amp;"*")+COUNTIFS($N:$N,"Non"&amp;"*")),0))),0)</f>
        <v>0</v>
      </c>
      <c r="Y56" s="30"/>
      <c r="Z56" s="30"/>
      <c r="AA56" s="30"/>
      <c r="AB56" s="30"/>
      <c r="AC56" s="30"/>
      <c r="AD56" s="30"/>
      <c r="AE56" s="30"/>
      <c r="AF56" s="30"/>
      <c r="AG56" s="30"/>
      <c r="AH56" s="30"/>
      <c r="AI56" s="112"/>
      <c r="AJ56" s="30"/>
    </row>
    <row r="57" spans="1:36" ht="30" customHeight="1" x14ac:dyDescent="0.3">
      <c r="A57" s="112"/>
      <c r="B57" s="30"/>
      <c r="C57" s="30" t="str">
        <f t="shared" si="0"/>
        <v>12</v>
      </c>
      <c r="D57" s="32">
        <f t="shared" si="7"/>
        <v>4</v>
      </c>
      <c r="E57" s="32" t="str">
        <f t="shared" si="8"/>
        <v>1245</v>
      </c>
      <c r="F57" s="143" t="s">
        <v>33</v>
      </c>
      <c r="G57" s="144" t="str">
        <f>VLOOKUP(E57,BDD!$A$2:$N$567,MATCH(G$24,BDD!$A$1:$P$1,0),FALSE)</f>
        <v>Une démarche FinOps est mise en œuvre au sein de la DSI.</v>
      </c>
      <c r="H57" s="149" t="str">
        <f>IF(VLOOKUP($E57,BDD!$A$2:$N$567,MATCH($H$23,BDD!$A$1:$P$1,0),FALSE)=H$24,'V12_Budget&amp;Perf.'!H$24,"")</f>
        <v/>
      </c>
      <c r="I57" s="150" t="str">
        <f>IF(VLOOKUP($E57,BDD!$A$2:$N$567,MATCH($H$23,BDD!$A$1:$P$1,0),FALSE)=I$24,'V12_Budget&amp;Perf.'!I$24,"")</f>
        <v/>
      </c>
      <c r="J57" s="150" t="str">
        <f>IF(VLOOKUP($E57,BDD!$A$2:$N$567,MATCH($H$23,BDD!$A$1:$P$1,0),FALSE)=J$24,'V12_Budget&amp;Perf.'!J$24,"")</f>
        <v/>
      </c>
      <c r="K57" s="150" t="str">
        <f>IF(VLOOKUP($E57,BDD!$A$2:$N$567,MATCH($H$23,BDD!$A$1:$P$1,0),FALSE)=K$24,'V12_Budget&amp;Perf.'!K$24,"")</f>
        <v/>
      </c>
      <c r="L57" s="151" t="str">
        <f>IF(VLOOKUP($E57,BDD!$A$2:$N$567,MATCH($H$23,BDD!$A$1:$P$1,0),FALSE)=L$24,'V12_Budget&amp;Perf.'!L$24,"")</f>
        <v>N5</v>
      </c>
      <c r="M57" s="63">
        <f t="shared" si="11"/>
        <v>0</v>
      </c>
      <c r="N57" s="144" t="str">
        <f>VLOOKUP(VLOOKUP(E57,BDD!$A$2:$P$550,15,FALSE),Suppl!$D$64:$E$68,2,FALSE)</f>
        <v>Non renseigné</v>
      </c>
      <c r="O57" s="670"/>
      <c r="P57" s="670"/>
      <c r="Q57" s="670"/>
      <c r="R57" s="670"/>
      <c r="S57" s="675">
        <f>IF(N57=Suppl!$E$65,0,IF(N57=Suppl!$E$66,1/2/(COUNTIFS($D:$D,D57,$N:$N,"Exigences"&amp;"*",G:G,"&lt;&gt;0")+COUNTIFS($D:$D,D57,$N:$N,"Non"&amp;"*",G:G,"&lt;&gt;0")),IF(N57=Suppl!$E$67,1/(COUNTIFS($D:$D,D57,$N:$N,"Exigences"&amp;"*",G:G,"&lt;&gt;0")+COUNTIFS($D:$D,D57,$N:$N,"Non"&amp;"*",G:G,"&lt;&gt;0")),0)))</f>
        <v>0</v>
      </c>
      <c r="T57" s="676"/>
      <c r="U57" s="676"/>
      <c r="V57" s="677"/>
      <c r="W57" s="432">
        <f>IFERROR(IF(M57=Suppl!$E$65,0,IF(M57=Suppl!$E$66,1/2/(COUNTIFS($N:$N,"Exigences"&amp;"*")+COUNTIFS($N:$N,"Non"&amp;"*")),IF(M57=Suppl!$E$67,1/(COUNTIFS($N:$N,"Exigences"&amp;"*")+COUNTIFS($N:$N,"Non"&amp;"*")),0))),0)</f>
        <v>0</v>
      </c>
      <c r="X57" s="433">
        <f>IFERROR(IF(N57=Suppl!$E$65,0,IF(N57=Suppl!$E$66,1/2/(COUNTIFS($N:$N,"Exigences"&amp;"*")+COUNTIFS($N:$N,"Non"&amp;"*")),IF(N57=Suppl!$E$67,1/(COUNTIFS($N:$N,"Exigences"&amp;"*")+COUNTIFS($N:$N,"Non"&amp;"*")),0))),0)</f>
        <v>0</v>
      </c>
      <c r="Y57" s="30"/>
      <c r="Z57" s="30"/>
      <c r="AA57" s="30"/>
      <c r="AB57" s="30"/>
      <c r="AC57" s="30"/>
      <c r="AD57" s="30"/>
      <c r="AE57" s="30"/>
      <c r="AF57" s="30"/>
      <c r="AG57" s="30"/>
      <c r="AH57" s="30"/>
      <c r="AI57" s="112"/>
      <c r="AJ57" s="30"/>
    </row>
    <row r="58" spans="1:36" ht="30" customHeight="1" x14ac:dyDescent="0.3">
      <c r="A58" s="112"/>
      <c r="B58" s="30"/>
      <c r="C58" s="30" t="str">
        <f t="shared" si="0"/>
        <v>12</v>
      </c>
      <c r="D58" s="32">
        <f t="shared" si="7"/>
        <v>5</v>
      </c>
      <c r="E58" s="32" t="str">
        <f t="shared" si="8"/>
        <v>1255</v>
      </c>
      <c r="F58" s="191" t="s">
        <v>503</v>
      </c>
      <c r="G58" s="192" t="str">
        <f>VLOOKUP(E60,BDD!$A$2:$N$567,6,FALSE)</f>
        <v>Pilotage du portefeuille de projets</v>
      </c>
      <c r="H58" s="190"/>
      <c r="I58" s="135"/>
      <c r="J58" s="135"/>
      <c r="K58" s="135"/>
      <c r="L58" s="136"/>
      <c r="M58" s="137"/>
      <c r="N58" s="138"/>
      <c r="O58" s="672">
        <v>0</v>
      </c>
      <c r="P58" s="672"/>
      <c r="Q58" s="672"/>
      <c r="R58" s="672"/>
      <c r="S58" s="657">
        <f>SUMIFS(S:S,$D:$D,D58,$N:$N,"Exigences"&amp;"*")</f>
        <v>0</v>
      </c>
      <c r="T58" s="657"/>
      <c r="U58" s="657"/>
      <c r="V58" s="658"/>
      <c r="W58" s="432">
        <f>IFERROR(IF(M58=Suppl!$E$65,0,IF(M58=Suppl!$E$66,1/2/(COUNTIFS($N:$N,"Exigences"&amp;"*")+COUNTIFS($N:$N,"Non"&amp;"*")),IF(M58=Suppl!$E$67,1/(COUNTIFS($N:$N,"Exigences"&amp;"*")+COUNTIFS($N:$N,"Non"&amp;"*")),0))),0)</f>
        <v>0</v>
      </c>
      <c r="X58" s="433">
        <f>IFERROR(IF(N58=Suppl!$E$65,0,IF(N58=Suppl!$E$66,1/2/(COUNTIFS($N:$N,"Exigences"&amp;"*")+COUNTIFS($N:$N,"Non"&amp;"*")),IF(N58=Suppl!$E$67,1/(COUNTIFS($N:$N,"Exigences"&amp;"*")+COUNTIFS($N:$N,"Non"&amp;"*")),0))),0)</f>
        <v>0</v>
      </c>
      <c r="Y58" s="30"/>
      <c r="Z58" s="30"/>
      <c r="AA58" s="30"/>
      <c r="AB58" s="30"/>
      <c r="AC58" s="30"/>
      <c r="AD58" s="30"/>
      <c r="AE58" s="30"/>
      <c r="AF58" s="30"/>
      <c r="AG58" s="30"/>
      <c r="AH58" s="30"/>
      <c r="AI58" s="112"/>
      <c r="AJ58" s="30"/>
    </row>
    <row r="59" spans="1:36" ht="30" customHeight="1" x14ac:dyDescent="0.3">
      <c r="A59" s="112"/>
      <c r="B59" s="30"/>
      <c r="C59" s="30" t="str">
        <f t="shared" si="0"/>
        <v>12</v>
      </c>
      <c r="D59" s="32">
        <f t="shared" si="7"/>
        <v>5</v>
      </c>
      <c r="E59" s="32" t="str">
        <f t="shared" si="8"/>
        <v>1251</v>
      </c>
      <c r="F59" s="211" t="s">
        <v>550</v>
      </c>
      <c r="G59" s="620" t="str">
        <f>VLOOKUP(E61,BDD!$A$2:$N$567,7,FALSE)</f>
        <v>L'organisation a mis en place un processus de pilotage du portefeuille de projets fondé sur le suivi de la réalisation des business cases</v>
      </c>
      <c r="H59" s="621"/>
      <c r="I59" s="621"/>
      <c r="J59" s="621"/>
      <c r="K59" s="621"/>
      <c r="L59" s="621"/>
      <c r="M59" s="621"/>
      <c r="N59" s="622"/>
      <c r="O59" s="673"/>
      <c r="P59" s="673"/>
      <c r="Q59" s="673"/>
      <c r="R59" s="673"/>
      <c r="S59" s="659"/>
      <c r="T59" s="659"/>
      <c r="U59" s="659"/>
      <c r="V59" s="660"/>
      <c r="W59" s="432">
        <f>IFERROR(IF(M59=Suppl!$E$65,0,IF(M59=Suppl!$E$66,1/2/(COUNTIFS($N:$N,"Exigences"&amp;"*")+COUNTIFS($N:$N,"Non"&amp;"*")),IF(M59=Suppl!$E$67,1/(COUNTIFS($N:$N,"Exigences"&amp;"*")+COUNTIFS($N:$N,"Non"&amp;"*")),0))),0)</f>
        <v>0</v>
      </c>
      <c r="X59" s="433">
        <f>IFERROR(IF(N59=Suppl!$E$65,0,IF(N59=Suppl!$E$66,1/2/(COUNTIFS($N:$N,"Exigences"&amp;"*")+COUNTIFS($N:$N,"Non"&amp;"*")),IF(N59=Suppl!$E$67,1/(COUNTIFS($N:$N,"Exigences"&amp;"*")+COUNTIFS($N:$N,"Non"&amp;"*")),0))),0)</f>
        <v>0</v>
      </c>
      <c r="Y59" s="30"/>
      <c r="Z59" s="30"/>
      <c r="AA59" s="30"/>
      <c r="AB59" s="30"/>
      <c r="AC59" s="30"/>
      <c r="AD59" s="30"/>
      <c r="AE59" s="30"/>
      <c r="AF59" s="30"/>
      <c r="AG59" s="30"/>
      <c r="AH59" s="30"/>
      <c r="AI59" s="112"/>
      <c r="AJ59" s="30"/>
    </row>
    <row r="60" spans="1:36" ht="41.4" x14ac:dyDescent="0.3">
      <c r="A60" s="112"/>
      <c r="B60" s="30"/>
      <c r="C60" s="30" t="str">
        <f t="shared" si="0"/>
        <v>12</v>
      </c>
      <c r="D60" s="32">
        <f t="shared" si="7"/>
        <v>5</v>
      </c>
      <c r="E60" s="32" t="str">
        <f t="shared" si="8"/>
        <v>1251</v>
      </c>
      <c r="F60" s="143" t="s">
        <v>27</v>
      </c>
      <c r="G60" s="144" t="str">
        <f>VLOOKUP(E60,BDD!$A$2:$N$567,MATCH(G$24,BDD!$A$1:$P$1,0),FALSE)</f>
        <v>L'entreprise ou la DSI a défini des critères de mesure de la performance des projets et du portefeuille, critères qui comprennent l’alignement aux priorités de l'entreprise et la possibilité de benchmarker la nature des investissements réalisés.</v>
      </c>
      <c r="H60" s="149" t="str">
        <f>IF(VLOOKUP($E60,BDD!$A$2:$N$567,MATCH($H$23,BDD!$A$1:$P$1,0),FALSE)=H$24,'V12_Budget&amp;Perf.'!H$24,"")</f>
        <v/>
      </c>
      <c r="I60" s="150" t="str">
        <f>IF(VLOOKUP($E60,BDD!$A$2:$N$567,MATCH($H$23,BDD!$A$1:$P$1,0),FALSE)=I$24,'V12_Budget&amp;Perf.'!I$24,"")</f>
        <v/>
      </c>
      <c r="J60" s="150" t="str">
        <f>IF(VLOOKUP($E60,BDD!$A$2:$N$567,MATCH($H$23,BDD!$A$1:$P$1,0),FALSE)=J$24,'V12_Budget&amp;Perf.'!J$24,"")</f>
        <v/>
      </c>
      <c r="K60" s="150" t="str">
        <f>IF(VLOOKUP($E60,BDD!$A$2:$N$567,MATCH($H$23,BDD!$A$1:$P$1,0),FALSE)=K$24,'V12_Budget&amp;Perf.'!K$24,"")</f>
        <v>N4</v>
      </c>
      <c r="L60" s="151" t="str">
        <f>IF(VLOOKUP($E60,BDD!$A$2:$N$567,MATCH($H$23,BDD!$A$1:$P$1,0),FALSE)=L$24,'V12_Budget&amp;Perf.'!L$24,"")</f>
        <v/>
      </c>
      <c r="M60" s="63">
        <f t="shared" ref="M60:M65" si="12">IF(N60="Exigences partiellement respectées",1,IF(N60="Exigences respectées",2,0))</f>
        <v>0</v>
      </c>
      <c r="N60" s="144" t="str">
        <f>VLOOKUP(VLOOKUP(E60,BDD!$A$2:$P$550,15,FALSE),Suppl!$D$64:$E$68,2,FALSE)</f>
        <v>Non renseigné</v>
      </c>
      <c r="O60" s="674"/>
      <c r="P60" s="674"/>
      <c r="Q60" s="674"/>
      <c r="R60" s="674"/>
      <c r="S60" s="661">
        <f>IF(N60=Suppl!$E$65,0,IF(N60=Suppl!$E$66,1/2/(COUNTIFS($D:$D,D60,$N:$N,"Exigences"&amp;"*",G:G,"&lt;&gt;0")+COUNTIFS($D:$D,D60,$N:$N,"Non"&amp;"*",G:G,"&lt;&gt;0")),IF(N60=Suppl!$E$67,1/(COUNTIFS($D:$D,D60,$N:$N,"Exigences"&amp;"*",G:G,"&lt;&gt;0")+COUNTIFS($D:$D,D60,$N:$N,"Non"&amp;"*",G:G,"&lt;&gt;0")),0)))</f>
        <v>0</v>
      </c>
      <c r="T60" s="662"/>
      <c r="U60" s="662"/>
      <c r="V60" s="663"/>
      <c r="W60" s="432">
        <f>IFERROR(IF(M60=Suppl!$E$65,0,IF(M60=Suppl!$E$66,1/2/(COUNTIFS($N:$N,"Exigences"&amp;"*")+COUNTIFS($N:$N,"Non"&amp;"*")),IF(M60=Suppl!$E$67,1/(COUNTIFS($N:$N,"Exigences"&amp;"*")+COUNTIFS($N:$N,"Non"&amp;"*")),0))),0)</f>
        <v>0</v>
      </c>
      <c r="X60" s="433">
        <f>IFERROR(IF(N60=Suppl!$E$65,0,IF(N60=Suppl!$E$66,1/2/(COUNTIFS($N:$N,"Exigences"&amp;"*")+COUNTIFS($N:$N,"Non"&amp;"*")),IF(N60=Suppl!$E$67,1/(COUNTIFS($N:$N,"Exigences"&amp;"*")+COUNTIFS($N:$N,"Non"&amp;"*")),0))),0)</f>
        <v>0</v>
      </c>
      <c r="Y60" s="30"/>
      <c r="Z60" s="30"/>
      <c r="AA60" s="30"/>
      <c r="AB60" s="30"/>
      <c r="AC60" s="30"/>
      <c r="AD60" s="30"/>
      <c r="AE60" s="30"/>
      <c r="AF60" s="30"/>
      <c r="AG60" s="30"/>
      <c r="AH60" s="30"/>
      <c r="AI60" s="112"/>
      <c r="AJ60" s="30"/>
    </row>
    <row r="61" spans="1:36" ht="55.2" x14ac:dyDescent="0.3">
      <c r="A61" s="112"/>
      <c r="B61" s="30"/>
      <c r="C61" s="30" t="str">
        <f t="shared" si="0"/>
        <v>12</v>
      </c>
      <c r="D61" s="32">
        <f t="shared" si="7"/>
        <v>5</v>
      </c>
      <c r="E61" s="32" t="str">
        <f t="shared" si="8"/>
        <v>1252</v>
      </c>
      <c r="F61" s="145" t="s">
        <v>28</v>
      </c>
      <c r="G61" s="146" t="str">
        <f>VLOOKUP(E61,BDD!$A$2:$N$567,MATCH(G$24,BDD!$A$1:$P$1,0),FALSE)</f>
        <v>Le suivi des projets est articulé avec la gestion opérationnelle du portefeuille de projets. Ce suivi inclut les coûts, les délais, les risques, et les fonctionnalités délivrées. Il est adapté aux différentes méthodes projets, notamment la méthode agile, le cycle en V., etc.</v>
      </c>
      <c r="H61" s="149" t="str">
        <f>IF(VLOOKUP($E61,BDD!$A$2:$N$567,MATCH($H$23,BDD!$A$1:$P$1,0),FALSE)=H$24,'V12_Budget&amp;Perf.'!H$24,"")</f>
        <v>N1</v>
      </c>
      <c r="I61" s="150" t="str">
        <f>IF(VLOOKUP($E61,BDD!$A$2:$N$567,MATCH($H$23,BDD!$A$1:$P$1,0),FALSE)=I$24,'V12_Budget&amp;Perf.'!I$24,"")</f>
        <v/>
      </c>
      <c r="J61" s="150" t="str">
        <f>IF(VLOOKUP($E61,BDD!$A$2:$N$567,MATCH($H$23,BDD!$A$1:$P$1,0),FALSE)=J$24,'V12_Budget&amp;Perf.'!J$24,"")</f>
        <v/>
      </c>
      <c r="K61" s="150" t="str">
        <f>IF(VLOOKUP($E61,BDD!$A$2:$N$567,MATCH($H$23,BDD!$A$1:$P$1,0),FALSE)=K$24,'V12_Budget&amp;Perf.'!K$24,"")</f>
        <v/>
      </c>
      <c r="L61" s="151" t="str">
        <f>IF(VLOOKUP($E61,BDD!$A$2:$N$567,MATCH($H$23,BDD!$A$1:$P$1,0),FALSE)=L$24,'V12_Budget&amp;Perf.'!L$24,"")</f>
        <v/>
      </c>
      <c r="M61" s="63">
        <f t="shared" si="12"/>
        <v>0</v>
      </c>
      <c r="N61" s="146" t="str">
        <f>VLOOKUP(VLOOKUP(E61,BDD!$A$2:$P$550,15,FALSE),Suppl!$D$64:$E$68,2,FALSE)</f>
        <v>Non renseigné</v>
      </c>
      <c r="O61" s="670"/>
      <c r="P61" s="670"/>
      <c r="Q61" s="670"/>
      <c r="R61" s="670"/>
      <c r="S61" s="664">
        <f>IF(N61=Suppl!$E$65,0,IF(N61=Suppl!$E$66,1/2/(COUNTIFS($D:$D,D61,$N:$N,"Exigences"&amp;"*",G:G,"&lt;&gt;0")+COUNTIFS($D:$D,D61,$N:$N,"Non"&amp;"*",G:G,"&lt;&gt;0")),IF(N61=Suppl!$E$67,1/(COUNTIFS($D:$D,D61,$N:$N,"Exigences"&amp;"*",G:G,"&lt;&gt;0")+COUNTIFS($D:$D,D61,$N:$N,"Non"&amp;"*",G:G,"&lt;&gt;0")),0)))</f>
        <v>0</v>
      </c>
      <c r="T61" s="665"/>
      <c r="U61" s="665"/>
      <c r="V61" s="666"/>
      <c r="W61" s="432">
        <f>IFERROR(IF(M61=Suppl!$E$65,0,IF(M61=Suppl!$E$66,1/2/(COUNTIFS($N:$N,"Exigences"&amp;"*")+COUNTIFS($N:$N,"Non"&amp;"*")),IF(M61=Suppl!$E$67,1/(COUNTIFS($N:$N,"Exigences"&amp;"*")+COUNTIFS($N:$N,"Non"&amp;"*")),0))),0)</f>
        <v>0</v>
      </c>
      <c r="X61" s="433">
        <f>IFERROR(IF(N61=Suppl!$E$65,0,IF(N61=Suppl!$E$66,1/2/(COUNTIFS($N:$N,"Exigences"&amp;"*")+COUNTIFS($N:$N,"Non"&amp;"*")),IF(N61=Suppl!$E$67,1/(COUNTIFS($N:$N,"Exigences"&amp;"*")+COUNTIFS($N:$N,"Non"&amp;"*")),0))),0)</f>
        <v>0</v>
      </c>
      <c r="Y61" s="30"/>
      <c r="Z61" s="30"/>
      <c r="AA61" s="30"/>
      <c r="AB61" s="30"/>
      <c r="AC61" s="30"/>
      <c r="AD61" s="30"/>
      <c r="AE61" s="30"/>
      <c r="AF61" s="30"/>
      <c r="AG61" s="30"/>
      <c r="AH61" s="30"/>
      <c r="AI61" s="112"/>
      <c r="AJ61" s="30"/>
    </row>
    <row r="62" spans="1:36" ht="30" customHeight="1" x14ac:dyDescent="0.3">
      <c r="A62" s="112"/>
      <c r="B62" s="30"/>
      <c r="C62" s="30" t="str">
        <f t="shared" si="0"/>
        <v>12</v>
      </c>
      <c r="D62" s="32">
        <f t="shared" si="7"/>
        <v>5</v>
      </c>
      <c r="E62" s="32" t="str">
        <f t="shared" si="8"/>
        <v>1253</v>
      </c>
      <c r="F62" s="143" t="s">
        <v>30</v>
      </c>
      <c r="G62" s="144" t="str">
        <f>VLOOKUP(E62,BDD!$A$2:$N$567,MATCH(G$24,BDD!$A$1:$P$1,0),FALSE)</f>
        <v>L'appréciation de la performance du projet tient compte de la valeur générée.</v>
      </c>
      <c r="H62" s="149" t="str">
        <f>IF(VLOOKUP($E62,BDD!$A$2:$N$567,MATCH($H$23,BDD!$A$1:$P$1,0),FALSE)=H$24,'V12_Budget&amp;Perf.'!H$24,"")</f>
        <v/>
      </c>
      <c r="I62" s="150" t="str">
        <f>IF(VLOOKUP($E62,BDD!$A$2:$N$567,MATCH($H$23,BDD!$A$1:$P$1,0),FALSE)=I$24,'V12_Budget&amp;Perf.'!I$24,"")</f>
        <v/>
      </c>
      <c r="J62" s="150" t="str">
        <f>IF(VLOOKUP($E62,BDD!$A$2:$N$567,MATCH($H$23,BDD!$A$1:$P$1,0),FALSE)=J$24,'V12_Budget&amp;Perf.'!J$24,"")</f>
        <v>N3</v>
      </c>
      <c r="K62" s="150" t="str">
        <f>IF(VLOOKUP($E62,BDD!$A$2:$N$567,MATCH($H$23,BDD!$A$1:$P$1,0),FALSE)=K$24,'V12_Budget&amp;Perf.'!K$24,"")</f>
        <v/>
      </c>
      <c r="L62" s="151" t="str">
        <f>IF(VLOOKUP($E62,BDD!$A$2:$N$567,MATCH($H$23,BDD!$A$1:$P$1,0),FALSE)=L$24,'V12_Budget&amp;Perf.'!L$24,"")</f>
        <v/>
      </c>
      <c r="M62" s="63">
        <f t="shared" si="12"/>
        <v>0</v>
      </c>
      <c r="N62" s="144" t="str">
        <f>VLOOKUP(VLOOKUP(E62,BDD!$A$2:$P$550,15,FALSE),Suppl!$D$64:$E$68,2,FALSE)</f>
        <v>Non renseigné</v>
      </c>
      <c r="O62" s="670"/>
      <c r="P62" s="670"/>
      <c r="Q62" s="670"/>
      <c r="R62" s="670"/>
      <c r="S62" s="664">
        <f>IF(N62=Suppl!$E$65,0,IF(N62=Suppl!$E$66,1/2/(COUNTIFS($D:$D,D62,$N:$N,"Exigences"&amp;"*",G:G,"&lt;&gt;0")+COUNTIFS($D:$D,D62,$N:$N,"Non"&amp;"*",G:G,"&lt;&gt;0")),IF(N62=Suppl!$E$67,1/(COUNTIFS($D:$D,D62,$N:$N,"Exigences"&amp;"*",G:G,"&lt;&gt;0")+COUNTIFS($D:$D,D62,$N:$N,"Non"&amp;"*",G:G,"&lt;&gt;0")),0)))</f>
        <v>0</v>
      </c>
      <c r="T62" s="665"/>
      <c r="U62" s="665"/>
      <c r="V62" s="666"/>
      <c r="W62" s="432">
        <f>IFERROR(IF(M62=Suppl!$E$65,0,IF(M62=Suppl!$E$66,1/2/(COUNTIFS($N:$N,"Exigences"&amp;"*")+COUNTIFS($N:$N,"Non"&amp;"*")),IF(M62=Suppl!$E$67,1/(COUNTIFS($N:$N,"Exigences"&amp;"*")+COUNTIFS($N:$N,"Non"&amp;"*")),0))),0)</f>
        <v>0</v>
      </c>
      <c r="X62" s="433">
        <f>IFERROR(IF(N62=Suppl!$E$65,0,IF(N62=Suppl!$E$66,1/2/(COUNTIFS($N:$N,"Exigences"&amp;"*")+COUNTIFS($N:$N,"Non"&amp;"*")),IF(N62=Suppl!$E$67,1/(COUNTIFS($N:$N,"Exigences"&amp;"*")+COUNTIFS($N:$N,"Non"&amp;"*")),0))),0)</f>
        <v>0</v>
      </c>
      <c r="Y62" s="30"/>
      <c r="Z62" s="30"/>
      <c r="AA62" s="30"/>
      <c r="AB62" s="30"/>
      <c r="AC62" s="30"/>
      <c r="AD62" s="30"/>
      <c r="AE62" s="30"/>
      <c r="AF62" s="30"/>
      <c r="AG62" s="30"/>
      <c r="AH62" s="30"/>
      <c r="AI62" s="112"/>
      <c r="AJ62" s="30"/>
    </row>
    <row r="63" spans="1:36" ht="30" customHeight="1" x14ac:dyDescent="0.3">
      <c r="A63" s="112"/>
      <c r="B63" s="30"/>
      <c r="C63" s="30" t="str">
        <f t="shared" si="0"/>
        <v>12</v>
      </c>
      <c r="D63" s="32">
        <f t="shared" si="7"/>
        <v>5</v>
      </c>
      <c r="E63" s="32" t="str">
        <f t="shared" si="8"/>
        <v>1254</v>
      </c>
      <c r="F63" s="145" t="s">
        <v>32</v>
      </c>
      <c r="G63" s="146" t="str">
        <f>VLOOKUP(E63,BDD!$A$2:$N$567,MATCH(G$24,BDD!$A$1:$P$1,0),FALSE)</f>
        <v>Un tableau de bord de suivi des projets existe et est partagé avec les directions métiers ainsi que toutes les parties prenantes concernées.</v>
      </c>
      <c r="H63" s="149" t="str">
        <f>IF(VLOOKUP($E63,BDD!$A$2:$N$567,MATCH($H$23,BDD!$A$1:$P$1,0),FALSE)=H$24,'V12_Budget&amp;Perf.'!H$24,"")</f>
        <v/>
      </c>
      <c r="I63" s="150" t="str">
        <f>IF(VLOOKUP($E63,BDD!$A$2:$N$567,MATCH($H$23,BDD!$A$1:$P$1,0),FALSE)=I$24,'V12_Budget&amp;Perf.'!I$24,"")</f>
        <v/>
      </c>
      <c r="J63" s="150" t="str">
        <f>IF(VLOOKUP($E63,BDD!$A$2:$N$567,MATCH($H$23,BDD!$A$1:$P$1,0),FALSE)=J$24,'V12_Budget&amp;Perf.'!J$24,"")</f>
        <v>N3</v>
      </c>
      <c r="K63" s="150" t="str">
        <f>IF(VLOOKUP($E63,BDD!$A$2:$N$567,MATCH($H$23,BDD!$A$1:$P$1,0),FALSE)=K$24,'V12_Budget&amp;Perf.'!K$24,"")</f>
        <v/>
      </c>
      <c r="L63" s="151" t="str">
        <f>IF(VLOOKUP($E63,BDD!$A$2:$N$567,MATCH($H$23,BDD!$A$1:$P$1,0),FALSE)=L$24,'V12_Budget&amp;Perf.'!L$24,"")</f>
        <v/>
      </c>
      <c r="M63" s="63">
        <f t="shared" si="12"/>
        <v>0</v>
      </c>
      <c r="N63" s="146" t="str">
        <f>VLOOKUP(VLOOKUP(E63,BDD!$A$2:$P$550,15,FALSE),Suppl!$D$64:$E$68,2,FALSE)</f>
        <v>Non renseigné</v>
      </c>
      <c r="O63" s="670"/>
      <c r="P63" s="670"/>
      <c r="Q63" s="670"/>
      <c r="R63" s="670"/>
      <c r="S63" s="664">
        <f>IF(N63=Suppl!$E$65,0,IF(N63=Suppl!$E$66,1/2/(COUNTIFS($D:$D,D63,$N:$N,"Exigences"&amp;"*",G:G,"&lt;&gt;0")+COUNTIFS($D:$D,D63,$N:$N,"Non"&amp;"*",G:G,"&lt;&gt;0")),IF(N63=Suppl!$E$67,1/(COUNTIFS($D:$D,D63,$N:$N,"Exigences"&amp;"*",G:G,"&lt;&gt;0")+COUNTIFS($D:$D,D63,$N:$N,"Non"&amp;"*",G:G,"&lt;&gt;0")),0)))</f>
        <v>0</v>
      </c>
      <c r="T63" s="665"/>
      <c r="U63" s="665"/>
      <c r="V63" s="666"/>
      <c r="W63" s="432">
        <f>IFERROR(IF(M63=Suppl!$E$65,0,IF(M63=Suppl!$E$66,1/2/(COUNTIFS($N:$N,"Exigences"&amp;"*")+COUNTIFS($N:$N,"Non"&amp;"*")),IF(M63=Suppl!$E$67,1/(COUNTIFS($N:$N,"Exigences"&amp;"*")+COUNTIFS($N:$N,"Non"&amp;"*")),0))),0)</f>
        <v>0</v>
      </c>
      <c r="X63" s="433">
        <f>IFERROR(IF(N63=Suppl!$E$65,0,IF(N63=Suppl!$E$66,1/2/(COUNTIFS($N:$N,"Exigences"&amp;"*")+COUNTIFS($N:$N,"Non"&amp;"*")),IF(N63=Suppl!$E$67,1/(COUNTIFS($N:$N,"Exigences"&amp;"*")+COUNTIFS($N:$N,"Non"&amp;"*")),0))),0)</f>
        <v>0</v>
      </c>
      <c r="Y63" s="30"/>
      <c r="Z63" s="30"/>
      <c r="AA63" s="30"/>
      <c r="AB63" s="30"/>
      <c r="AC63" s="30"/>
      <c r="AD63" s="30"/>
      <c r="AE63" s="30"/>
      <c r="AF63" s="30"/>
      <c r="AG63" s="30"/>
      <c r="AH63" s="30"/>
      <c r="AI63" s="112"/>
      <c r="AJ63" s="30"/>
    </row>
    <row r="64" spans="1:36" ht="30" customHeight="1" x14ac:dyDescent="0.3">
      <c r="A64" s="112"/>
      <c r="B64" s="30"/>
      <c r="C64" s="30" t="str">
        <f t="shared" si="0"/>
        <v>12</v>
      </c>
      <c r="D64" s="32">
        <f t="shared" si="7"/>
        <v>5</v>
      </c>
      <c r="E64" s="32" t="str">
        <f t="shared" si="8"/>
        <v>1255</v>
      </c>
      <c r="F64" s="143" t="s">
        <v>33</v>
      </c>
      <c r="G64" s="144" t="str">
        <f>VLOOKUP(E64,BDD!$A$2:$N$567,MATCH(G$24,BDD!$A$1:$P$1,0),FALSE)</f>
        <v>Les écarts entre réalisation et prévision sont remontés aux instances de pilotage adéquates, afin de mesurer la réalisation de la valeur attendue.</v>
      </c>
      <c r="H64" s="149" t="str">
        <f>IF(VLOOKUP($E64,BDD!$A$2:$N$567,MATCH($H$23,BDD!$A$1:$P$1,0),FALSE)=H$24,'V12_Budget&amp;Perf.'!H$24,"")</f>
        <v/>
      </c>
      <c r="I64" s="150" t="str">
        <f>IF(VLOOKUP($E64,BDD!$A$2:$N$567,MATCH($H$23,BDD!$A$1:$P$1,0),FALSE)=I$24,'V12_Budget&amp;Perf.'!I$24,"")</f>
        <v/>
      </c>
      <c r="J64" s="150" t="str">
        <f>IF(VLOOKUP($E64,BDD!$A$2:$N$567,MATCH($H$23,BDD!$A$1:$P$1,0),FALSE)=J$24,'V12_Budget&amp;Perf.'!J$24,"")</f>
        <v>N3</v>
      </c>
      <c r="K64" s="150" t="str">
        <f>IF(VLOOKUP($E64,BDD!$A$2:$N$567,MATCH($H$23,BDD!$A$1:$P$1,0),FALSE)=K$24,'V12_Budget&amp;Perf.'!K$24,"")</f>
        <v/>
      </c>
      <c r="L64" s="151" t="str">
        <f>IF(VLOOKUP($E64,BDD!$A$2:$N$567,MATCH($H$23,BDD!$A$1:$P$1,0),FALSE)=L$24,'V12_Budget&amp;Perf.'!L$24,"")</f>
        <v/>
      </c>
      <c r="M64" s="63">
        <f t="shared" si="12"/>
        <v>0</v>
      </c>
      <c r="N64" s="144" t="str">
        <f>VLOOKUP(VLOOKUP(E64,BDD!$A$2:$P$550,15,FALSE),Suppl!$D$64:$E$68,2,FALSE)</f>
        <v>Non renseigné</v>
      </c>
      <c r="O64" s="678"/>
      <c r="P64" s="670"/>
      <c r="Q64" s="670"/>
      <c r="R64" s="670"/>
      <c r="S64" s="664">
        <f>IF(N64=Suppl!$E$65,0,IF(N64=Suppl!$E$66,1/2/(COUNTIFS($D:$D,D64,$N:$N,"Exigences"&amp;"*",G:G,"&lt;&gt;0")+COUNTIFS($D:$D,D64,$N:$N,"Non"&amp;"*",G:G,"&lt;&gt;0")),IF(N64=Suppl!$E$67,1/(COUNTIFS($D:$D,D64,$N:$N,"Exigences"&amp;"*",G:G,"&lt;&gt;0")+COUNTIFS($D:$D,D64,$N:$N,"Non"&amp;"*",G:G,"&lt;&gt;0")),0)))</f>
        <v>0</v>
      </c>
      <c r="T64" s="665"/>
      <c r="U64" s="665"/>
      <c r="V64" s="666"/>
      <c r="W64" s="432">
        <f>IFERROR(IF(M64=Suppl!$E$65,0,IF(M64=Suppl!$E$66,1/2/(COUNTIFS($N:$N,"Exigences"&amp;"*")+COUNTIFS($N:$N,"Non"&amp;"*")),IF(M64=Suppl!$E$67,1/(COUNTIFS($N:$N,"Exigences"&amp;"*")+COUNTIFS($N:$N,"Non"&amp;"*")),0))),0)</f>
        <v>0</v>
      </c>
      <c r="X64" s="433">
        <f>IFERROR(IF(N64=Suppl!$E$65,0,IF(N64=Suppl!$E$66,1/2/(COUNTIFS($N:$N,"Exigences"&amp;"*")+COUNTIFS($N:$N,"Non"&amp;"*")),IF(N64=Suppl!$E$67,1/(COUNTIFS($N:$N,"Exigences"&amp;"*")+COUNTIFS($N:$N,"Non"&amp;"*")),0))),0)</f>
        <v>0</v>
      </c>
      <c r="Y64" s="30"/>
      <c r="Z64" s="30"/>
      <c r="AA64" s="30"/>
      <c r="AB64" s="30"/>
      <c r="AC64" s="30"/>
      <c r="AD64" s="30"/>
      <c r="AE64" s="30"/>
      <c r="AF64" s="30"/>
      <c r="AG64" s="30"/>
      <c r="AH64" s="30"/>
      <c r="AI64" s="112"/>
      <c r="AJ64" s="30"/>
    </row>
    <row r="65" spans="1:36" ht="30" customHeight="1" x14ac:dyDescent="0.3">
      <c r="A65" s="112"/>
      <c r="B65" s="30"/>
      <c r="C65" s="30" t="str">
        <f t="shared" si="0"/>
        <v>12</v>
      </c>
      <c r="D65" s="32">
        <f t="shared" si="7"/>
        <v>5</v>
      </c>
      <c r="E65" s="32" t="str">
        <f t="shared" si="8"/>
        <v>1256</v>
      </c>
      <c r="F65" s="147" t="s">
        <v>34</v>
      </c>
      <c r="G65" s="148" t="str">
        <f>VLOOKUP(E65,BDD!$A$2:$N$567,MATCH(G$24,BDD!$A$1:$P$1,0),FALSE)</f>
        <v>Le business case fait l’objet d’une mise à jour si les écarts constatés le justifient.</v>
      </c>
      <c r="H65" s="149" t="str">
        <f>IF(VLOOKUP($E65,BDD!$A$2:$N$567,MATCH($H$23,BDD!$A$1:$P$1,0),FALSE)=H$24,'V12_Budget&amp;Perf.'!H$24,"")</f>
        <v/>
      </c>
      <c r="I65" s="150" t="str">
        <f>IF(VLOOKUP($E65,BDD!$A$2:$N$567,MATCH($H$23,BDD!$A$1:$P$1,0),FALSE)=I$24,'V12_Budget&amp;Perf.'!I$24,"")</f>
        <v/>
      </c>
      <c r="J65" s="150" t="str">
        <f>IF(VLOOKUP($E65,BDD!$A$2:$N$567,MATCH($H$23,BDD!$A$1:$P$1,0),FALSE)=J$24,'V12_Budget&amp;Perf.'!J$24,"")</f>
        <v/>
      </c>
      <c r="K65" s="150" t="str">
        <f>IF(VLOOKUP($E65,BDD!$A$2:$N$567,MATCH($H$23,BDD!$A$1:$P$1,0),FALSE)=K$24,'V12_Budget&amp;Perf.'!K$24,"")</f>
        <v/>
      </c>
      <c r="L65" s="151" t="str">
        <f>IF(VLOOKUP($E65,BDD!$A$2:$N$567,MATCH($H$23,BDD!$A$1:$P$1,0),FALSE)=L$24,'V12_Budget&amp;Perf.'!L$24,"")</f>
        <v>N5</v>
      </c>
      <c r="M65" s="63">
        <f t="shared" si="12"/>
        <v>0</v>
      </c>
      <c r="N65" s="219" t="str">
        <f>VLOOKUP(VLOOKUP(E65,BDD!$A$2:$P$550,15,FALSE),Suppl!$D$64:$E$68,2,FALSE)</f>
        <v>Non renseigné</v>
      </c>
      <c r="O65" s="670"/>
      <c r="P65" s="670"/>
      <c r="Q65" s="670"/>
      <c r="R65" s="670"/>
      <c r="S65" s="675">
        <f>IF(N65=Suppl!$E$65,0,IF(N65=Suppl!$E$66,1/2/(COUNTIFS($D:$D,D65,$N:$N,"Exigences"&amp;"*",G:G,"&lt;&gt;0")+COUNTIFS($D:$D,D65,$N:$N,"Non"&amp;"*",G:G,"&lt;&gt;0")),IF(N65=Suppl!$E$67,1/(COUNTIFS($D:$D,D65,$N:$N,"Exigences"&amp;"*",G:G,"&lt;&gt;0")+COUNTIFS($D:$D,D65,$N:$N,"Non"&amp;"*",G:G,"&lt;&gt;0")),0)))</f>
        <v>0</v>
      </c>
      <c r="T65" s="676"/>
      <c r="U65" s="676"/>
      <c r="V65" s="677"/>
      <c r="W65" s="432">
        <f>IFERROR(IF(M65=Suppl!$E$65,0,IF(M65=Suppl!$E$66,1/2/(COUNTIFS($N:$N,"Exigences"&amp;"*")+COUNTIFS($N:$N,"Non"&amp;"*")),IF(M65=Suppl!$E$67,1/(COUNTIFS($N:$N,"Exigences"&amp;"*")+COUNTIFS($N:$N,"Non"&amp;"*")),0))),0)</f>
        <v>0</v>
      </c>
      <c r="X65" s="433">
        <f>IFERROR(IF(N65=Suppl!$E$65,0,IF(N65=Suppl!$E$66,1/2/(COUNTIFS($N:$N,"Exigences"&amp;"*")+COUNTIFS($N:$N,"Non"&amp;"*")),IF(N65=Suppl!$E$67,1/(COUNTIFS($N:$N,"Exigences"&amp;"*")+COUNTIFS($N:$N,"Non"&amp;"*")),0))),0)</f>
        <v>0</v>
      </c>
      <c r="Y65" s="30"/>
      <c r="Z65" s="30"/>
      <c r="AA65" s="30"/>
      <c r="AB65" s="30"/>
      <c r="AC65" s="30"/>
      <c r="AD65" s="30"/>
      <c r="AE65" s="30"/>
      <c r="AF65" s="30"/>
      <c r="AG65" s="30"/>
      <c r="AH65" s="30"/>
      <c r="AI65" s="112"/>
      <c r="AJ65" s="30"/>
    </row>
    <row r="66" spans="1:36" ht="30" customHeight="1" x14ac:dyDescent="0.3">
      <c r="A66" s="112"/>
      <c r="B66" s="30"/>
      <c r="C66" s="30" t="str">
        <f t="shared" si="0"/>
        <v>12</v>
      </c>
      <c r="D66" s="32">
        <f t="shared" si="7"/>
        <v>6</v>
      </c>
      <c r="E66" s="32" t="str">
        <f t="shared" si="8"/>
        <v>1266</v>
      </c>
      <c r="F66" s="191" t="s">
        <v>556</v>
      </c>
      <c r="G66" s="192" t="str">
        <f>VLOOKUP(E68,BDD!$A$2:$N$567,6,FALSE)</f>
        <v>Valeur</v>
      </c>
      <c r="H66" s="190"/>
      <c r="I66" s="135"/>
      <c r="J66" s="135"/>
      <c r="K66" s="135"/>
      <c r="L66" s="136"/>
      <c r="M66" s="137"/>
      <c r="N66" s="138"/>
      <c r="O66" s="672">
        <v>0</v>
      </c>
      <c r="P66" s="672"/>
      <c r="Q66" s="672"/>
      <c r="R66" s="672"/>
      <c r="S66" s="657">
        <f>SUMIFS(S:S,$D:$D,D66,$N:$N,"Exigences"&amp;"*")</f>
        <v>0</v>
      </c>
      <c r="T66" s="657"/>
      <c r="U66" s="657"/>
      <c r="V66" s="658"/>
      <c r="W66" s="432">
        <f>IFERROR(IF(M66=Suppl!$E$65,0,IF(M66=Suppl!$E$66,1/2/(COUNTIFS($N:$N,"Exigences"&amp;"*")+COUNTIFS($N:$N,"Non"&amp;"*")),IF(M66=Suppl!$E$67,1/(COUNTIFS($N:$N,"Exigences"&amp;"*")+COUNTIFS($N:$N,"Non"&amp;"*")),0))),0)</f>
        <v>0</v>
      </c>
      <c r="X66" s="433">
        <f>IFERROR(IF(N66=Suppl!$E$65,0,IF(N66=Suppl!$E$66,1/2/(COUNTIFS($N:$N,"Exigences"&amp;"*")+COUNTIFS($N:$N,"Non"&amp;"*")),IF(N66=Suppl!$E$67,1/(COUNTIFS($N:$N,"Exigences"&amp;"*")+COUNTIFS($N:$N,"Non"&amp;"*")),0))),0)</f>
        <v>0</v>
      </c>
      <c r="Y66" s="30"/>
      <c r="Z66" s="30"/>
      <c r="AA66" s="30"/>
      <c r="AB66" s="30"/>
      <c r="AC66" s="30"/>
      <c r="AD66" s="30"/>
      <c r="AE66" s="30"/>
      <c r="AF66" s="30"/>
      <c r="AG66" s="30"/>
      <c r="AH66" s="30"/>
      <c r="AI66" s="112"/>
      <c r="AJ66" s="30"/>
    </row>
    <row r="67" spans="1:36" ht="30" customHeight="1" x14ac:dyDescent="0.3">
      <c r="A67" s="112"/>
      <c r="B67" s="30"/>
      <c r="C67" s="30" t="str">
        <f t="shared" si="0"/>
        <v>12</v>
      </c>
      <c r="D67" s="32">
        <f t="shared" si="7"/>
        <v>6</v>
      </c>
      <c r="E67" s="32" t="str">
        <f t="shared" si="8"/>
        <v>1261</v>
      </c>
      <c r="F67" s="211" t="s">
        <v>550</v>
      </c>
      <c r="G67" s="620" t="str">
        <f>VLOOKUP(E69,BDD!$A$2:$N$567,7,FALSE)</f>
        <v>L'organisation a mis en œuvre un cadre de définition de la valeur du numérique et déploie les processus de contrôle nécessaires.</v>
      </c>
      <c r="H67" s="621"/>
      <c r="I67" s="621"/>
      <c r="J67" s="621"/>
      <c r="K67" s="621"/>
      <c r="L67" s="621"/>
      <c r="M67" s="621"/>
      <c r="N67" s="622"/>
      <c r="O67" s="673"/>
      <c r="P67" s="673"/>
      <c r="Q67" s="673"/>
      <c r="R67" s="673"/>
      <c r="S67" s="659"/>
      <c r="T67" s="659"/>
      <c r="U67" s="659"/>
      <c r="V67" s="660"/>
      <c r="W67" s="432">
        <f>IFERROR(IF(M67=Suppl!$E$65,0,IF(M67=Suppl!$E$66,1/2/(COUNTIFS($N:$N,"Exigences"&amp;"*")+COUNTIFS($N:$N,"Non"&amp;"*")),IF(M67=Suppl!$E$67,1/(COUNTIFS($N:$N,"Exigences"&amp;"*")+COUNTIFS($N:$N,"Non"&amp;"*")),0))),0)</f>
        <v>0</v>
      </c>
      <c r="X67" s="433">
        <f>IFERROR(IF(N67=Suppl!$E$65,0,IF(N67=Suppl!$E$66,1/2/(COUNTIFS($N:$N,"Exigences"&amp;"*")+COUNTIFS($N:$N,"Non"&amp;"*")),IF(N67=Suppl!$E$67,1/(COUNTIFS($N:$N,"Exigences"&amp;"*")+COUNTIFS($N:$N,"Non"&amp;"*")),0))),0)</f>
        <v>0</v>
      </c>
      <c r="Y67" s="30"/>
      <c r="Z67" s="30"/>
      <c r="AA67" s="30"/>
      <c r="AB67" s="30"/>
      <c r="AC67" s="30"/>
      <c r="AD67" s="30"/>
      <c r="AE67" s="30"/>
      <c r="AF67" s="30"/>
      <c r="AG67" s="30"/>
      <c r="AH67" s="30"/>
      <c r="AI67" s="112"/>
      <c r="AJ67" s="30"/>
    </row>
    <row r="68" spans="1:36" ht="30" customHeight="1" x14ac:dyDescent="0.3">
      <c r="A68" s="112"/>
      <c r="B68" s="30"/>
      <c r="C68" s="30" t="str">
        <f t="shared" si="0"/>
        <v>12</v>
      </c>
      <c r="D68" s="32">
        <f t="shared" si="7"/>
        <v>6</v>
      </c>
      <c r="E68" s="32" t="str">
        <f t="shared" si="8"/>
        <v>1261</v>
      </c>
      <c r="F68" s="143" t="s">
        <v>27</v>
      </c>
      <c r="G68" s="144" t="str">
        <f>VLOOKUP(E68,BDD!$A$2:$N$567,MATCH(G$24,BDD!$A$1:$P$1,0),FALSE)</f>
        <v>L'entreprise a défini les critères de mesure de la valeur et ces critères sont partagés au sein de l'organisation.</v>
      </c>
      <c r="H68" s="149" t="str">
        <f>IF(VLOOKUP($E68,BDD!$A$2:$N$567,MATCH($H$23,BDD!$A$1:$P$1,0),FALSE)=H$24,'V12_Budget&amp;Perf.'!H$24,"")</f>
        <v/>
      </c>
      <c r="I68" s="150" t="str">
        <f>IF(VLOOKUP($E68,BDD!$A$2:$N$567,MATCH($H$23,BDD!$A$1:$P$1,0),FALSE)=I$24,'V12_Budget&amp;Perf.'!I$24,"")</f>
        <v/>
      </c>
      <c r="J68" s="150" t="str">
        <f>IF(VLOOKUP($E68,BDD!$A$2:$N$567,MATCH($H$23,BDD!$A$1:$P$1,0),FALSE)=J$24,'V12_Budget&amp;Perf.'!J$24,"")</f>
        <v/>
      </c>
      <c r="K68" s="150" t="str">
        <f>IF(VLOOKUP($E68,BDD!$A$2:$N$567,MATCH($H$23,BDD!$A$1:$P$1,0),FALSE)=K$24,'V12_Budget&amp;Perf.'!K$24,"")</f>
        <v>N4</v>
      </c>
      <c r="L68" s="151" t="str">
        <f>IF(VLOOKUP($E68,BDD!$A$2:$N$567,MATCH($H$23,BDD!$A$1:$P$1,0),FALSE)=L$24,'V12_Budget&amp;Perf.'!L$24,"")</f>
        <v/>
      </c>
      <c r="M68" s="63">
        <f t="shared" ref="M68:M71" si="13">IF(N68="Exigences partiellement respectées",1,IF(N68="Exigences respectées",2,0))</f>
        <v>0</v>
      </c>
      <c r="N68" s="144" t="str">
        <f>VLOOKUP(VLOOKUP(E68,BDD!$A$2:$P$550,15,FALSE),Suppl!$D$64:$E$68,2,FALSE)</f>
        <v>Non renseigné</v>
      </c>
      <c r="O68" s="674"/>
      <c r="P68" s="674"/>
      <c r="Q68" s="674"/>
      <c r="R68" s="674"/>
      <c r="S68" s="661">
        <f>IF(N68=Suppl!$E$65,0,IF(N68=Suppl!$E$66,1/2/(COUNTIFS($D:$D,D68,$N:$N,"Exigences"&amp;"*",G:G,"&lt;&gt;0")+COUNTIFS($D:$D,D68,$N:$N,"Non"&amp;"*",G:G,"&lt;&gt;0")),IF(N68=Suppl!$E$67,1/(COUNTIFS($D:$D,D68,$N:$N,"Exigences"&amp;"*",G:G,"&lt;&gt;0")+COUNTIFS($D:$D,D68,$N:$N,"Non"&amp;"*",G:G,"&lt;&gt;0")),0)))</f>
        <v>0</v>
      </c>
      <c r="T68" s="662"/>
      <c r="U68" s="662"/>
      <c r="V68" s="663"/>
      <c r="W68" s="432">
        <f>IFERROR(IF(M68=Suppl!$E$65,0,IF(M68=Suppl!$E$66,1/2/(COUNTIFS($N:$N,"Exigences"&amp;"*")+COUNTIFS($N:$N,"Non"&amp;"*")),IF(M68=Suppl!$E$67,1/(COUNTIFS($N:$N,"Exigences"&amp;"*")+COUNTIFS($N:$N,"Non"&amp;"*")),0))),0)</f>
        <v>0</v>
      </c>
      <c r="X68" s="433">
        <f>IFERROR(IF(N68=Suppl!$E$65,0,IF(N68=Suppl!$E$66,1/2/(COUNTIFS($N:$N,"Exigences"&amp;"*")+COUNTIFS($N:$N,"Non"&amp;"*")),IF(N68=Suppl!$E$67,1/(COUNTIFS($N:$N,"Exigences"&amp;"*")+COUNTIFS($N:$N,"Non"&amp;"*")),0))),0)</f>
        <v>0</v>
      </c>
      <c r="Y68" s="30"/>
      <c r="Z68" s="30"/>
      <c r="AA68" s="30"/>
      <c r="AB68" s="30"/>
      <c r="AC68" s="30"/>
      <c r="AD68" s="30"/>
      <c r="AE68" s="30"/>
      <c r="AF68" s="30"/>
      <c r="AG68" s="30"/>
      <c r="AH68" s="30"/>
      <c r="AI68" s="112"/>
      <c r="AJ68" s="30"/>
    </row>
    <row r="69" spans="1:36" ht="30" customHeight="1" x14ac:dyDescent="0.3">
      <c r="A69" s="112"/>
      <c r="B69" s="30"/>
      <c r="C69" s="30" t="str">
        <f t="shared" si="0"/>
        <v>12</v>
      </c>
      <c r="D69" s="32">
        <f t="shared" si="7"/>
        <v>6</v>
      </c>
      <c r="E69" s="32" t="str">
        <f t="shared" si="8"/>
        <v>1262</v>
      </c>
      <c r="F69" s="145" t="s">
        <v>28</v>
      </c>
      <c r="G69" s="146" t="str">
        <f>VLOOKUP(E69,BDD!$A$2:$N$567,MATCH(G$24,BDD!$A$1:$P$1,0),FALSE)</f>
        <v>La valeur des services du catalogue est mesurée et questionnée à fréquence régulière.</v>
      </c>
      <c r="H69" s="149" t="str">
        <f>IF(VLOOKUP($E69,BDD!$A$2:$N$567,MATCH($H$23,BDD!$A$1:$P$1,0),FALSE)=H$24,'V12_Budget&amp;Perf.'!H$24,"")</f>
        <v/>
      </c>
      <c r="I69" s="150" t="str">
        <f>IF(VLOOKUP($E69,BDD!$A$2:$N$567,MATCH($H$23,BDD!$A$1:$P$1,0),FALSE)=I$24,'V12_Budget&amp;Perf.'!I$24,"")</f>
        <v/>
      </c>
      <c r="J69" s="150" t="str">
        <f>IF(VLOOKUP($E69,BDD!$A$2:$N$567,MATCH($H$23,BDD!$A$1:$P$1,0),FALSE)=J$24,'V12_Budget&amp;Perf.'!J$24,"")</f>
        <v/>
      </c>
      <c r="K69" s="150" t="str">
        <f>IF(VLOOKUP($E69,BDD!$A$2:$N$567,MATCH($H$23,BDD!$A$1:$P$1,0),FALSE)=K$24,'V12_Budget&amp;Perf.'!K$24,"")</f>
        <v/>
      </c>
      <c r="L69" s="151" t="str">
        <f>IF(VLOOKUP($E69,BDD!$A$2:$N$567,MATCH($H$23,BDD!$A$1:$P$1,0),FALSE)=L$24,'V12_Budget&amp;Perf.'!L$24,"")</f>
        <v>N5</v>
      </c>
      <c r="M69" s="63">
        <f t="shared" si="13"/>
        <v>0</v>
      </c>
      <c r="N69" s="146" t="str">
        <f>VLOOKUP(VLOOKUP(E69,BDD!$A$2:$P$550,15,FALSE),Suppl!$D$64:$E$68,2,FALSE)</f>
        <v>Non renseigné</v>
      </c>
      <c r="O69" s="670"/>
      <c r="P69" s="670"/>
      <c r="Q69" s="670"/>
      <c r="R69" s="670"/>
      <c r="S69" s="664">
        <f>IF(N69=Suppl!$E$65,0,IF(N69=Suppl!$E$66,1/2/(COUNTIFS($D:$D,D69,$N:$N,"Exigences"&amp;"*",G:G,"&lt;&gt;0")+COUNTIFS($D:$D,D69,$N:$N,"Non"&amp;"*",G:G,"&lt;&gt;0")),IF(N69=Suppl!$E$67,1/(COUNTIFS($D:$D,D69,$N:$N,"Exigences"&amp;"*",G:G,"&lt;&gt;0")+COUNTIFS($D:$D,D69,$N:$N,"Non"&amp;"*",G:G,"&lt;&gt;0")),0)))</f>
        <v>0</v>
      </c>
      <c r="T69" s="665"/>
      <c r="U69" s="665"/>
      <c r="V69" s="666"/>
      <c r="W69" s="432">
        <f>IFERROR(IF(M69=Suppl!$E$65,0,IF(M69=Suppl!$E$66,1/2/(COUNTIFS($N:$N,"Exigences"&amp;"*")+COUNTIFS($N:$N,"Non"&amp;"*")),IF(M69=Suppl!$E$67,1/(COUNTIFS($N:$N,"Exigences"&amp;"*")+COUNTIFS($N:$N,"Non"&amp;"*")),0))),0)</f>
        <v>0</v>
      </c>
      <c r="X69" s="433">
        <f>IFERROR(IF(N69=Suppl!$E$65,0,IF(N69=Suppl!$E$66,1/2/(COUNTIFS($N:$N,"Exigences"&amp;"*")+COUNTIFS($N:$N,"Non"&amp;"*")),IF(N69=Suppl!$E$67,1/(COUNTIFS($N:$N,"Exigences"&amp;"*")+COUNTIFS($N:$N,"Non"&amp;"*")),0))),0)</f>
        <v>0</v>
      </c>
      <c r="Y69" s="30"/>
      <c r="Z69" s="30"/>
      <c r="AA69" s="30"/>
      <c r="AB69" s="30"/>
      <c r="AC69" s="30"/>
      <c r="AD69" s="30"/>
      <c r="AE69" s="30"/>
      <c r="AF69" s="30"/>
      <c r="AG69" s="30"/>
      <c r="AH69" s="30"/>
      <c r="AI69" s="112"/>
      <c r="AJ69" s="30"/>
    </row>
    <row r="70" spans="1:36" ht="30" customHeight="1" x14ac:dyDescent="0.3">
      <c r="A70" s="112"/>
      <c r="B70" s="30"/>
      <c r="C70" s="30" t="str">
        <f t="shared" si="0"/>
        <v>12</v>
      </c>
      <c r="D70" s="32">
        <f t="shared" si="7"/>
        <v>6</v>
      </c>
      <c r="E70" s="32" t="str">
        <f t="shared" si="8"/>
        <v>1263</v>
      </c>
      <c r="F70" s="143" t="s">
        <v>30</v>
      </c>
      <c r="G70" s="144" t="str">
        <f>VLOOKUP(E70,BDD!$A$2:$N$567,MATCH(G$24,BDD!$A$1:$P$1,0),FALSE)</f>
        <v>La valeur est un critère de pilotage pour les projets et le portefeuille de projets.</v>
      </c>
      <c r="H70" s="149" t="str">
        <f>IF(VLOOKUP($E70,BDD!$A$2:$N$567,MATCH($H$23,BDD!$A$1:$P$1,0),FALSE)=H$24,'V12_Budget&amp;Perf.'!H$24,"")</f>
        <v/>
      </c>
      <c r="I70" s="150" t="str">
        <f>IF(VLOOKUP($E70,BDD!$A$2:$N$567,MATCH($H$23,BDD!$A$1:$P$1,0),FALSE)=I$24,'V12_Budget&amp;Perf.'!I$24,"")</f>
        <v/>
      </c>
      <c r="J70" s="150" t="str">
        <f>IF(VLOOKUP($E70,BDD!$A$2:$N$567,MATCH($H$23,BDD!$A$1:$P$1,0),FALSE)=J$24,'V12_Budget&amp;Perf.'!J$24,"")</f>
        <v>N3</v>
      </c>
      <c r="K70" s="150" t="str">
        <f>IF(VLOOKUP($E70,BDD!$A$2:$N$567,MATCH($H$23,BDD!$A$1:$P$1,0),FALSE)=K$24,'V12_Budget&amp;Perf.'!K$24,"")</f>
        <v/>
      </c>
      <c r="L70" s="151" t="str">
        <f>IF(VLOOKUP($E70,BDD!$A$2:$N$567,MATCH($H$23,BDD!$A$1:$P$1,0),FALSE)=L$24,'V12_Budget&amp;Perf.'!L$24,"")</f>
        <v/>
      </c>
      <c r="M70" s="63">
        <f t="shared" si="13"/>
        <v>0</v>
      </c>
      <c r="N70" s="144" t="str">
        <f>VLOOKUP(VLOOKUP(E70,BDD!$A$2:$P$550,15,FALSE),Suppl!$D$64:$E$68,2,FALSE)</f>
        <v>Non renseigné</v>
      </c>
      <c r="O70" s="670"/>
      <c r="P70" s="670"/>
      <c r="Q70" s="670"/>
      <c r="R70" s="670"/>
      <c r="S70" s="664">
        <f>IF(N70=Suppl!$E$65,0,IF(N70=Suppl!$E$66,1/2/(COUNTIFS($D:$D,D70,$N:$N,"Exigences"&amp;"*",G:G,"&lt;&gt;0")+COUNTIFS($D:$D,D70,$N:$N,"Non"&amp;"*",G:G,"&lt;&gt;0")),IF(N70=Suppl!$E$67,1/(COUNTIFS($D:$D,D70,$N:$N,"Exigences"&amp;"*",G:G,"&lt;&gt;0")+COUNTIFS($D:$D,D70,$N:$N,"Non"&amp;"*",G:G,"&lt;&gt;0")),0)))</f>
        <v>0</v>
      </c>
      <c r="T70" s="665"/>
      <c r="U70" s="665"/>
      <c r="V70" s="666"/>
      <c r="W70" s="432">
        <f>IFERROR(IF(M70=Suppl!$E$65,0,IF(M70=Suppl!$E$66,1/2/(COUNTIFS($N:$N,"Exigences"&amp;"*")+COUNTIFS($N:$N,"Non"&amp;"*")),IF(M70=Suppl!$E$67,1/(COUNTIFS($N:$N,"Exigences"&amp;"*")+COUNTIFS($N:$N,"Non"&amp;"*")),0))),0)</f>
        <v>0</v>
      </c>
      <c r="X70" s="433">
        <f>IFERROR(IF(N70=Suppl!$E$65,0,IF(N70=Suppl!$E$66,1/2/(COUNTIFS($N:$N,"Exigences"&amp;"*")+COUNTIFS($N:$N,"Non"&amp;"*")),IF(N70=Suppl!$E$67,1/(COUNTIFS($N:$N,"Exigences"&amp;"*")+COUNTIFS($N:$N,"Non"&amp;"*")),0))),0)</f>
        <v>0</v>
      </c>
      <c r="Y70" s="30"/>
      <c r="Z70" s="30"/>
      <c r="AA70" s="30"/>
      <c r="AB70" s="30"/>
      <c r="AC70" s="30"/>
      <c r="AD70" s="30"/>
      <c r="AE70" s="30"/>
      <c r="AF70" s="30"/>
      <c r="AG70" s="30"/>
      <c r="AH70" s="30"/>
      <c r="AI70" s="112"/>
      <c r="AJ70" s="30"/>
    </row>
    <row r="71" spans="1:36" ht="30" customHeight="1" x14ac:dyDescent="0.3">
      <c r="A71" s="112"/>
      <c r="B71" s="30"/>
      <c r="C71" s="30" t="str">
        <f t="shared" si="0"/>
        <v>12</v>
      </c>
      <c r="D71" s="32">
        <f t="shared" si="7"/>
        <v>6</v>
      </c>
      <c r="E71" s="32" t="str">
        <f t="shared" si="8"/>
        <v>1264</v>
      </c>
      <c r="F71" s="435" t="s">
        <v>32</v>
      </c>
      <c r="G71" s="436" t="str">
        <f>VLOOKUP(E71,BDD!$A$2:$N$567,MATCH(G$24,BDD!$A$1:$P$1,0),FALSE)</f>
        <v>Une mesure de la valeur est présente dans le tableau de bord du SI.</v>
      </c>
      <c r="H71" s="437" t="str">
        <f>IF(VLOOKUP($E71,BDD!$A$2:$N$567,MATCH($H$23,BDD!$A$1:$P$1,0),FALSE)=H$24,'V12_Budget&amp;Perf.'!H$24,"")</f>
        <v/>
      </c>
      <c r="I71" s="438" t="str">
        <f>IF(VLOOKUP($E71,BDD!$A$2:$N$567,MATCH($H$23,BDD!$A$1:$P$1,0),FALSE)=I$24,'V12_Budget&amp;Perf.'!I$24,"")</f>
        <v/>
      </c>
      <c r="J71" s="438" t="str">
        <f>IF(VLOOKUP($E71,BDD!$A$2:$N$567,MATCH($H$23,BDD!$A$1:$P$1,0),FALSE)=J$24,'V12_Budget&amp;Perf.'!J$24,"")</f>
        <v>N3</v>
      </c>
      <c r="K71" s="438" t="str">
        <f>IF(VLOOKUP($E71,BDD!$A$2:$N$567,MATCH($H$23,BDD!$A$1:$P$1,0),FALSE)=K$24,'V12_Budget&amp;Perf.'!K$24,"")</f>
        <v/>
      </c>
      <c r="L71" s="439" t="str">
        <f>IF(VLOOKUP($E71,BDD!$A$2:$N$567,MATCH($H$23,BDD!$A$1:$P$1,0),FALSE)=L$24,'V12_Budget&amp;Perf.'!L$24,"")</f>
        <v/>
      </c>
      <c r="M71" s="63">
        <f t="shared" si="13"/>
        <v>0</v>
      </c>
      <c r="N71" s="436" t="str">
        <f>VLOOKUP(VLOOKUP(E71,BDD!$A$2:$P$550,15,FALSE),Suppl!$D$64:$E$68,2,FALSE)</f>
        <v>Non renseigné</v>
      </c>
      <c r="O71" s="671"/>
      <c r="P71" s="671"/>
      <c r="Q71" s="671"/>
      <c r="R71" s="671"/>
      <c r="S71" s="667">
        <f>IF(N71=Suppl!$E$65,0,IF(N71=Suppl!$E$66,1/2/(COUNTIFS($D:$D,D71,$N:$N,"Exigences"&amp;"*",G:G,"&lt;&gt;0")+COUNTIFS($D:$D,D71,$N:$N,"Non"&amp;"*",G:G,"&lt;&gt;0")),IF(N71=Suppl!$E$67,1/(COUNTIFS($D:$D,D71,$N:$N,"Exigences"&amp;"*",G:G,"&lt;&gt;0")+COUNTIFS($D:$D,D71,$N:$N,"Non"&amp;"*",G:G,"&lt;&gt;0")),0)))</f>
        <v>0</v>
      </c>
      <c r="T71" s="668"/>
      <c r="U71" s="668"/>
      <c r="V71" s="669"/>
      <c r="W71" s="432">
        <f>IFERROR(IF(M71=Suppl!$E$65,0,IF(M71=Suppl!$E$66,1/2/(COUNTIFS($N:$N,"Exigences"&amp;"*")+COUNTIFS($N:$N,"Non"&amp;"*")),IF(M71=Suppl!$E$67,1/(COUNTIFS($N:$N,"Exigences"&amp;"*")+COUNTIFS($N:$N,"Non"&amp;"*")),0))),0)</f>
        <v>0</v>
      </c>
      <c r="X71" s="433">
        <f>IFERROR(IF(N71=Suppl!$E$65,0,IF(N71=Suppl!$E$66,1/2/(COUNTIFS($N:$N,"Exigences"&amp;"*")+COUNTIFS($N:$N,"Non"&amp;"*")),IF(N71=Suppl!$E$67,1/(COUNTIFS($N:$N,"Exigences"&amp;"*")+COUNTIFS($N:$N,"Non"&amp;"*")),0))),0)</f>
        <v>0</v>
      </c>
      <c r="Y71" s="30"/>
      <c r="Z71" s="30"/>
      <c r="AA71" s="30"/>
      <c r="AB71" s="30"/>
      <c r="AC71" s="30"/>
      <c r="AD71" s="30"/>
      <c r="AE71" s="30"/>
      <c r="AF71" s="30"/>
      <c r="AG71" s="30"/>
      <c r="AH71" s="30"/>
      <c r="AI71" s="112"/>
      <c r="AJ71" s="30"/>
    </row>
    <row r="72" spans="1:36" ht="30" customHeight="1" x14ac:dyDescent="0.3">
      <c r="A72" s="112"/>
      <c r="B72" s="30"/>
      <c r="C72" s="30"/>
      <c r="D72" s="32"/>
      <c r="E72" s="32"/>
      <c r="F72" s="244"/>
      <c r="G72" s="241"/>
      <c r="H72" s="32"/>
      <c r="I72" s="32"/>
      <c r="J72" s="32"/>
      <c r="K72" s="32"/>
      <c r="L72" s="32"/>
      <c r="M72" s="32"/>
      <c r="N72" s="241"/>
      <c r="O72" s="431"/>
      <c r="P72" s="431"/>
      <c r="Q72" s="431"/>
      <c r="R72" s="431"/>
      <c r="S72" s="440"/>
      <c r="T72" s="440"/>
      <c r="U72" s="440"/>
      <c r="V72" s="440"/>
      <c r="W72" s="440"/>
      <c r="X72" s="30"/>
      <c r="Y72" s="30"/>
      <c r="Z72" s="30"/>
      <c r="AA72" s="30"/>
      <c r="AB72" s="30"/>
      <c r="AC72" s="30"/>
      <c r="AD72" s="30"/>
      <c r="AE72" s="30"/>
      <c r="AF72" s="30"/>
      <c r="AG72" s="30"/>
      <c r="AH72" s="30"/>
      <c r="AI72" s="112"/>
      <c r="AJ72" s="30"/>
    </row>
    <row r="73" spans="1:36" ht="30" customHeight="1" x14ac:dyDescent="0.3">
      <c r="A73" s="112" t="s">
        <v>164</v>
      </c>
      <c r="B73" s="112"/>
      <c r="C73" s="112"/>
      <c r="D73" s="112"/>
      <c r="E73" s="112"/>
      <c r="F73" s="112"/>
      <c r="G73" s="118"/>
      <c r="H73" s="118"/>
      <c r="I73" s="118"/>
      <c r="J73" s="118"/>
      <c r="K73" s="118"/>
      <c r="L73" s="118"/>
      <c r="M73" s="118"/>
      <c r="N73" s="112"/>
      <c r="O73" s="112"/>
      <c r="P73" s="112"/>
      <c r="Q73" s="112"/>
      <c r="R73" s="112"/>
      <c r="S73" s="112"/>
      <c r="T73" s="112"/>
      <c r="U73" s="112"/>
      <c r="V73" s="112"/>
      <c r="W73" s="112"/>
      <c r="X73" s="121"/>
      <c r="Y73" s="112"/>
      <c r="Z73" s="112"/>
      <c r="AA73" s="112"/>
      <c r="AB73" s="112"/>
      <c r="AC73" s="112"/>
      <c r="AD73" s="112"/>
      <c r="AE73" s="112"/>
      <c r="AF73" s="112"/>
      <c r="AG73" s="112"/>
      <c r="AH73" s="112"/>
      <c r="AI73" s="112" t="s">
        <v>164</v>
      </c>
      <c r="AJ73" s="30"/>
    </row>
  </sheetData>
  <sheetProtection algorithmName="SHA-512" hashValue="dP1rGucvMs5LblygXjQSRDcgoNopuWXRsBYG2aME2LVIx8SdlMbvqHNWYIN+aZb5buGTCN90deoQrCHNAe+bew==" saltValue="UNJX8ZX8JzKyNjjaK1DNZg==" spinCount="100000" sheet="1" scenarios="1"/>
  <protectedRanges>
    <protectedRange algorithmName="SHA-512" hashValue="ovKORbp8VisJou+piSgFzTrSreLgS7IlmVwKbGHTROFHm7MY/Vp4PR9gLc4QgnZhS9DlyLsOu0XuFGM/3H2Vkw==" saltValue="aAIEI6H5DdJy0/e8k9R5gA==" spinCount="100000" sqref="AB4:AC4" name="Plage1_4"/>
    <protectedRange algorithmName="SHA-512" hashValue="ovKORbp8VisJou+piSgFzTrSreLgS7IlmVwKbGHTROFHm7MY/Vp4PR9gLc4QgnZhS9DlyLsOu0XuFGM/3H2Vkw==" saltValue="aAIEI6H5DdJy0/e8k9R5gA==" spinCount="100000" sqref="O20:R20" name="Plage1_2"/>
  </protectedRanges>
  <mergeCells count="94">
    <mergeCell ref="S25:V26"/>
    <mergeCell ref="S27:V27"/>
    <mergeCell ref="S28:V28"/>
    <mergeCell ref="S29:V29"/>
    <mergeCell ref="S30:V30"/>
    <mergeCell ref="AE7:AE10"/>
    <mergeCell ref="O21:R21"/>
    <mergeCell ref="O22:R22"/>
    <mergeCell ref="O24:R24"/>
    <mergeCell ref="O20:R20"/>
    <mergeCell ref="S24:V24"/>
    <mergeCell ref="O27:R27"/>
    <mergeCell ref="O28:R28"/>
    <mergeCell ref="O29:R29"/>
    <mergeCell ref="O25:R26"/>
    <mergeCell ref="O30:R30"/>
    <mergeCell ref="S31:V31"/>
    <mergeCell ref="S32:V32"/>
    <mergeCell ref="O33:R33"/>
    <mergeCell ref="O35:R36"/>
    <mergeCell ref="O37:R37"/>
    <mergeCell ref="O34:R34"/>
    <mergeCell ref="S33:V33"/>
    <mergeCell ref="S34:V34"/>
    <mergeCell ref="S35:V36"/>
    <mergeCell ref="S37:V37"/>
    <mergeCell ref="O31:R31"/>
    <mergeCell ref="O32:R32"/>
    <mergeCell ref="O41:R41"/>
    <mergeCell ref="O38:R38"/>
    <mergeCell ref="O39:R39"/>
    <mergeCell ref="O40:R40"/>
    <mergeCell ref="S38:V38"/>
    <mergeCell ref="S39:V39"/>
    <mergeCell ref="S40:V40"/>
    <mergeCell ref="S41:V41"/>
    <mergeCell ref="O42:R43"/>
    <mergeCell ref="O44:R44"/>
    <mergeCell ref="O45:R45"/>
    <mergeCell ref="S42:V43"/>
    <mergeCell ref="S44:V44"/>
    <mergeCell ref="S45:V45"/>
    <mergeCell ref="O46:R46"/>
    <mergeCell ref="O47:R47"/>
    <mergeCell ref="O48:R48"/>
    <mergeCell ref="S46:V46"/>
    <mergeCell ref="S47:V47"/>
    <mergeCell ref="S48:V48"/>
    <mergeCell ref="O49:R49"/>
    <mergeCell ref="O50:R50"/>
    <mergeCell ref="O51:R52"/>
    <mergeCell ref="S49:V49"/>
    <mergeCell ref="S50:V50"/>
    <mergeCell ref="S51:V52"/>
    <mergeCell ref="O53:R53"/>
    <mergeCell ref="O54:R54"/>
    <mergeCell ref="O55:R55"/>
    <mergeCell ref="S53:V53"/>
    <mergeCell ref="S54:V54"/>
    <mergeCell ref="S55:V55"/>
    <mergeCell ref="O58:R59"/>
    <mergeCell ref="O60:R60"/>
    <mergeCell ref="O56:R56"/>
    <mergeCell ref="O57:R57"/>
    <mergeCell ref="S56:V56"/>
    <mergeCell ref="S57:V57"/>
    <mergeCell ref="S58:V59"/>
    <mergeCell ref="S60:V60"/>
    <mergeCell ref="O64:R64"/>
    <mergeCell ref="O65:R65"/>
    <mergeCell ref="O61:R61"/>
    <mergeCell ref="O62:R62"/>
    <mergeCell ref="O63:R63"/>
    <mergeCell ref="S61:V61"/>
    <mergeCell ref="S62:V62"/>
    <mergeCell ref="S63:V63"/>
    <mergeCell ref="S64:V64"/>
    <mergeCell ref="S65:V65"/>
    <mergeCell ref="O70:R70"/>
    <mergeCell ref="O71:R71"/>
    <mergeCell ref="O66:R67"/>
    <mergeCell ref="O68:R68"/>
    <mergeCell ref="O69:R69"/>
    <mergeCell ref="S66:V67"/>
    <mergeCell ref="S68:V68"/>
    <mergeCell ref="S69:V69"/>
    <mergeCell ref="S70:V70"/>
    <mergeCell ref="S71:V71"/>
    <mergeCell ref="G67:N67"/>
    <mergeCell ref="G26:N26"/>
    <mergeCell ref="G36:N36"/>
    <mergeCell ref="G43:N43"/>
    <mergeCell ref="G52:N52"/>
    <mergeCell ref="G59:N59"/>
  </mergeCells>
  <conditionalFormatting sqref="G5:G11 G13:G19 G22">
    <cfRule type="expression" dxfId="25" priority="12">
      <formula>$G5&lt;&gt;""</formula>
    </cfRule>
  </conditionalFormatting>
  <conditionalFormatting sqref="H27:L35 H37:L42 H44:L51 H53:L58 H60:L66 H68:L72">
    <cfRule type="expression" dxfId="24" priority="13">
      <formula>AND($N27="Non évalué",H27&lt;&gt;"")</formula>
    </cfRule>
    <cfRule type="expression" dxfId="23" priority="14">
      <formula>AND($N27="Exigences non respectées",H27&lt;&gt;"")</formula>
    </cfRule>
    <cfRule type="expression" dxfId="22" priority="15">
      <formula>AND($N27="Exigences partiellement respectées",H27&lt;&gt;"")</formula>
    </cfRule>
    <cfRule type="expression" dxfId="21" priority="16">
      <formula>AND($N27="Exigences respectées",H27&lt;&gt;"")</formula>
    </cfRule>
  </conditionalFormatting>
  <conditionalFormatting sqref="O8:V16">
    <cfRule type="cellIs" dxfId="20" priority="3" operator="equal">
      <formula>3</formula>
    </cfRule>
    <cfRule type="cellIs" dxfId="19" priority="4" operator="equal">
      <formula>2</formula>
    </cfRule>
    <cfRule type="cellIs" dxfId="18" priority="5" operator="equal">
      <formula>1</formula>
    </cfRule>
  </conditionalFormatting>
  <conditionalFormatting sqref="G20:G21">
    <cfRule type="expression" dxfId="17" priority="2">
      <formula>$G20&lt;&gt;""</formula>
    </cfRule>
  </conditionalFormatting>
  <conditionalFormatting sqref="O20:R20">
    <cfRule type="cellIs" dxfId="16"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DDD085C-83B4-409A-981C-B19CAA2F2FCB}">
          <x14:formula1>
            <xm:f>Suppl!$E$65:$E$69</xm:f>
          </x14:formula1>
          <xm:sqref>X16 X8:X13</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215CA-9801-4822-83D4-71C3ECE388E1}">
  <sheetPr codeName="Feuil40">
    <tabColor rgb="FF69625F"/>
  </sheetPr>
  <dimension ref="A1:P118"/>
  <sheetViews>
    <sheetView showGridLines="0" showRowColHeaders="0" zoomScale="67" zoomScaleNormal="67" workbookViewId="0">
      <selection activeCell="I13" sqref="I13"/>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109"/>
      <c r="B1" s="231" t="s">
        <v>856</v>
      </c>
      <c r="C1" s="110"/>
      <c r="D1" s="110"/>
      <c r="E1" s="110"/>
      <c r="F1" s="110"/>
      <c r="G1" s="109"/>
      <c r="H1" s="111"/>
      <c r="I1" s="111"/>
      <c r="J1" s="232" t="str">
        <f>VLOOKUP($E$12,BDD!$A$2:$N$567,3,FALSE)</f>
        <v>Marketing &amp; communication</v>
      </c>
      <c r="K1" s="111"/>
      <c r="L1" s="109"/>
      <c r="M1" s="109"/>
      <c r="N1" s="109"/>
      <c r="O1" s="109"/>
      <c r="P1" s="109"/>
    </row>
    <row r="2" spans="1:16" ht="45" customHeight="1" x14ac:dyDescent="0.3">
      <c r="A2" s="109"/>
      <c r="B2" s="109"/>
      <c r="C2" s="109"/>
      <c r="D2" s="109"/>
      <c r="E2" s="109"/>
      <c r="F2" s="109"/>
      <c r="G2" s="109"/>
      <c r="H2" s="109"/>
      <c r="I2" s="109"/>
      <c r="J2" s="114" t="str">
        <f>VLOOKUP($E$12,BDD!$A$2:$N$567,4,FALSE)</f>
        <v>Promouvoir les apports du numérique au sein de l'organisation</v>
      </c>
      <c r="K2" s="109"/>
      <c r="L2" s="109"/>
      <c r="M2" s="109"/>
      <c r="N2" s="109"/>
      <c r="O2" s="109"/>
      <c r="P2" s="109"/>
    </row>
    <row r="3" spans="1:16" ht="18" x14ac:dyDescent="0.35">
      <c r="A3" s="109"/>
      <c r="B3" s="68"/>
      <c r="C3" s="68"/>
      <c r="D3" s="68"/>
      <c r="E3" s="68"/>
      <c r="F3" s="68"/>
      <c r="G3" s="69" t="str">
        <f>IF(Suppl!B64=2,"Le vecteur n'est pas utilisé","")</f>
        <v/>
      </c>
      <c r="H3" s="69"/>
      <c r="I3" s="69"/>
      <c r="J3" s="69"/>
      <c r="K3" s="69"/>
      <c r="L3" s="70"/>
      <c r="M3" s="68"/>
      <c r="N3" s="68"/>
      <c r="O3" s="68"/>
      <c r="P3" s="109"/>
    </row>
    <row r="4" spans="1:16" x14ac:dyDescent="0.3">
      <c r="A4" s="109"/>
      <c r="B4" s="68"/>
      <c r="C4" s="68"/>
      <c r="D4" s="68"/>
      <c r="E4" s="68"/>
      <c r="F4" s="68"/>
      <c r="G4" s="68"/>
      <c r="H4" s="68"/>
      <c r="I4" s="68"/>
      <c r="J4" s="68"/>
      <c r="K4" s="68"/>
      <c r="L4" s="68"/>
      <c r="M4" s="68"/>
      <c r="N4" s="68"/>
      <c r="O4" s="68"/>
      <c r="P4" s="109"/>
    </row>
    <row r="5" spans="1:16" ht="25.8" x14ac:dyDescent="0.5">
      <c r="A5" s="229"/>
      <c r="B5" s="74"/>
      <c r="C5" s="68" t="str">
        <f>IF(LEFT(RIGHT($B$1,2),1)=" ",RIGHT($B$1,1),RIGHT($B$1,2))</f>
        <v>13</v>
      </c>
      <c r="D5" s="68">
        <f>IF(LEFT(F5,14)="Bonne pratique",D4+1,D4)</f>
        <v>1</v>
      </c>
      <c r="E5" s="71"/>
      <c r="F5" s="208" t="s">
        <v>499</v>
      </c>
      <c r="G5" s="75"/>
      <c r="H5" s="205"/>
      <c r="I5" s="73"/>
      <c r="J5" s="73" t="str">
        <f>VLOOKUP(E12,BDD!$A$2:$N$567,6,FALSE)</f>
        <v>Marketing de la DSI</v>
      </c>
      <c r="K5" s="72"/>
      <c r="L5" s="75"/>
      <c r="M5" s="75"/>
      <c r="N5" s="75"/>
      <c r="O5" s="74"/>
      <c r="P5" s="229"/>
    </row>
    <row r="6" spans="1:16" x14ac:dyDescent="0.3">
      <c r="A6" s="109"/>
      <c r="B6" s="68"/>
      <c r="C6" s="68" t="str">
        <f t="shared" ref="C6:C69" si="0">IF(LEFT(RIGHT($B$1,2),1)=" ",RIGHT($B$1,1),RIGHT($B$1,2))</f>
        <v>13</v>
      </c>
      <c r="D6" s="68">
        <f>IF(LEFT(F6,14)="Bonne pratique",D5+1,D5)</f>
        <v>1</v>
      </c>
      <c r="E6" s="68"/>
      <c r="F6" s="68"/>
      <c r="G6" s="68"/>
      <c r="H6" s="68"/>
      <c r="I6" s="68"/>
      <c r="J6" s="68"/>
      <c r="K6" s="68"/>
      <c r="L6" s="68"/>
      <c r="M6" s="68"/>
      <c r="N6" s="68"/>
      <c r="O6" s="68"/>
      <c r="P6" s="109"/>
    </row>
    <row r="7" spans="1:16" ht="23.4" customHeight="1" x14ac:dyDescent="0.35">
      <c r="A7" s="230"/>
      <c r="B7" s="76"/>
      <c r="C7" s="68" t="str">
        <f t="shared" si="0"/>
        <v>13</v>
      </c>
      <c r="D7" s="68">
        <f t="shared" ref="D7:D67" si="1">IF(LEFT(F7,14)="Bonne pratique",D6+1,D6)</f>
        <v>1</v>
      </c>
      <c r="E7" s="76"/>
      <c r="F7" s="76"/>
      <c r="G7" s="76"/>
      <c r="H7" s="76"/>
      <c r="I7" s="77"/>
      <c r="J7" s="207" t="str">
        <f>IFERROR(_xlfn.TEXTBEFORE(VLOOKUP(E12,BDD!$A$2:$N$567,7,FALSE)," ",30),VLOOKUP(E12,BDD!$A$2:$N$567,7,FALSE))</f>
        <v>La DSI définit sa « raison d'être » et organise son propre marketing.</v>
      </c>
      <c r="K7" s="77"/>
      <c r="L7" s="76"/>
      <c r="M7" s="76"/>
      <c r="N7" s="76"/>
      <c r="O7" s="76"/>
      <c r="P7" s="230"/>
    </row>
    <row r="8" spans="1:16" ht="18" x14ac:dyDescent="0.35">
      <c r="A8" s="109"/>
      <c r="B8" s="68"/>
      <c r="C8" s="68" t="str">
        <f t="shared" si="0"/>
        <v>13</v>
      </c>
      <c r="D8" s="68">
        <f t="shared" si="1"/>
        <v>1</v>
      </c>
      <c r="E8" s="68"/>
      <c r="F8" s="68"/>
      <c r="G8" s="68"/>
      <c r="H8" s="68"/>
      <c r="I8" s="68"/>
      <c r="J8" s="207" t="str">
        <f>IFERROR(_xlfn.TEXTAFTER(VLOOKUP(E12,BDD!$A$2:$N$567,7,FALSE)," ",30),"")</f>
        <v/>
      </c>
      <c r="K8" s="68"/>
      <c r="L8" s="68"/>
      <c r="M8" s="68"/>
      <c r="N8" s="68"/>
      <c r="O8" s="68"/>
      <c r="P8" s="109"/>
    </row>
    <row r="9" spans="1:16" x14ac:dyDescent="0.3">
      <c r="A9" s="109"/>
      <c r="B9" s="68"/>
      <c r="C9" s="68" t="str">
        <f t="shared" si="0"/>
        <v>13</v>
      </c>
      <c r="D9" s="68">
        <f t="shared" si="1"/>
        <v>1</v>
      </c>
      <c r="E9" s="68"/>
      <c r="F9" s="68"/>
      <c r="G9" s="78"/>
      <c r="H9" s="78"/>
      <c r="I9" s="78"/>
      <c r="J9" s="78"/>
      <c r="K9" s="78"/>
      <c r="L9" s="78"/>
      <c r="M9" s="618" t="s">
        <v>92</v>
      </c>
      <c r="N9" s="618"/>
      <c r="O9" s="68"/>
      <c r="P9" s="109"/>
    </row>
    <row r="10" spans="1:16" ht="33" x14ac:dyDescent="0.3">
      <c r="A10" s="109"/>
      <c r="B10" s="68"/>
      <c r="C10" s="68" t="str">
        <f t="shared" si="0"/>
        <v>13</v>
      </c>
      <c r="D10" s="68">
        <f t="shared" si="1"/>
        <v>1</v>
      </c>
      <c r="E10" s="68"/>
      <c r="F10" s="79"/>
      <c r="G10" s="80" t="s">
        <v>561</v>
      </c>
      <c r="H10" s="80" t="s">
        <v>82</v>
      </c>
      <c r="I10" s="126" t="s">
        <v>21</v>
      </c>
      <c r="J10" s="80" t="s">
        <v>84</v>
      </c>
      <c r="K10" s="80" t="s">
        <v>549</v>
      </c>
      <c r="L10" s="78"/>
      <c r="M10" s="81" t="s">
        <v>86</v>
      </c>
      <c r="N10" s="82" t="s">
        <v>87</v>
      </c>
      <c r="O10" s="68"/>
      <c r="P10" s="109"/>
    </row>
    <row r="11" spans="1:16" x14ac:dyDescent="0.3">
      <c r="A11" s="109"/>
      <c r="B11" s="68"/>
      <c r="C11" s="68" t="str">
        <f t="shared" si="0"/>
        <v>13</v>
      </c>
      <c r="D11" s="68">
        <f t="shared" si="1"/>
        <v>1</v>
      </c>
      <c r="E11" s="68"/>
      <c r="F11" s="68"/>
      <c r="G11" s="83"/>
      <c r="H11" s="83"/>
      <c r="I11" s="83"/>
      <c r="J11" s="68"/>
      <c r="K11" s="83"/>
      <c r="L11" s="68"/>
      <c r="M11" s="68"/>
      <c r="N11" s="68"/>
      <c r="O11" s="68"/>
      <c r="P11" s="109"/>
    </row>
    <row r="12" spans="1:16" ht="130.05000000000001" customHeight="1" x14ac:dyDescent="0.3">
      <c r="A12" s="109"/>
      <c r="B12" s="68"/>
      <c r="C12" s="68" t="str">
        <f t="shared" si="0"/>
        <v>13</v>
      </c>
      <c r="D12" s="68">
        <f t="shared" si="1"/>
        <v>1</v>
      </c>
      <c r="E12" s="84" t="str">
        <f>C12&amp;D12&amp;RIGHT(F12,1)</f>
        <v>1311</v>
      </c>
      <c r="F12" s="66" t="s">
        <v>27</v>
      </c>
      <c r="G12" s="67" t="str">
        <f>IFERROR(IF(VLOOKUP($E12,BDD!$A$1:$S$567,MATCH(G$10,BDD!$A$1:$P$1,0),FALSE)=0,"",VLOOKUP($E12,BDD!$A$1:$S$567,MATCH(G$10,BDD!$A$1:$P$1,0),FALSE)),"")</f>
        <v>La raison d'être de la DSI est communiquée et partagée. Elle est en ligne avec la stratégie de l'organisation.</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
      <c r="L12" s="68"/>
      <c r="M12" s="87"/>
      <c r="N12" s="87"/>
      <c r="O12" s="68"/>
      <c r="P12" s="109"/>
    </row>
    <row r="13" spans="1:16" ht="130.05000000000001" customHeight="1" x14ac:dyDescent="0.3">
      <c r="A13" s="109"/>
      <c r="B13" s="68"/>
      <c r="C13" s="68" t="str">
        <f t="shared" si="0"/>
        <v>13</v>
      </c>
      <c r="D13" s="68">
        <f t="shared" si="1"/>
        <v>1</v>
      </c>
      <c r="E13" s="84" t="str">
        <f t="shared" ref="E13:E82" si="2">C13&amp;D13&amp;RIGHT(F13,1)</f>
        <v>1312</v>
      </c>
      <c r="F13" s="94" t="s">
        <v>28</v>
      </c>
      <c r="G13" s="65" t="str">
        <f>IFERROR(IF(VLOOKUP($E13,BDD!$A$1:$S$567,MATCH(G$10,BDD!$A$1:$P$1,0),FALSE)=0,"",VLOOKUP($E13,BDD!$A$1:$S$567,MATCH(G$10,BDD!$A$1:$P$1,0),FALSE)),"")</f>
        <v>Cette raison d'être recouvre les notions d'identité, de vision, d'ambition et de valeur, portées par la DSI.</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c>
      <c r="L13" s="68"/>
      <c r="M13" s="90"/>
      <c r="N13" s="90"/>
      <c r="O13" s="68"/>
      <c r="P13" s="109"/>
    </row>
    <row r="14" spans="1:16" ht="130.05000000000001" customHeight="1" x14ac:dyDescent="0.3">
      <c r="A14" s="109"/>
      <c r="B14" s="68"/>
      <c r="C14" s="68" t="str">
        <f t="shared" si="0"/>
        <v>13</v>
      </c>
      <c r="D14" s="68">
        <f t="shared" si="1"/>
        <v>1</v>
      </c>
      <c r="E14" s="84" t="str">
        <f t="shared" si="2"/>
        <v>1313</v>
      </c>
      <c r="F14" s="66" t="s">
        <v>30</v>
      </c>
      <c r="G14" s="67" t="str">
        <f>IFERROR(IF(VLOOKUP($E14,BDD!$A$1:$S$567,MATCH(G$10,BDD!$A$1:$P$1,0),FALSE)=0,"",VLOOKUP($E14,BDD!$A$1:$S$567,MATCH(G$10,BDD!$A$1:$P$1,0),FALSE)),"")</f>
        <v>La raison d'être est régulièrement actualisée.</v>
      </c>
      <c r="H14" s="85" t="str">
        <f>IF(VLOOKUP(E14,BDD!$A$1:$S$567,15,FALSE)=0,"Critère non évalué","")</f>
        <v>Critère non évalué</v>
      </c>
      <c r="I14" s="66" t="str">
        <f>IFERROR(IF(VLOOKUP($E14,BDD!$A$1:$S$567,MATCH(I$10,BDD!$A$1:$P$1,0),FALSE)=0,"",VLOOKUP($E14,BDD!$A$1:$S$567,MATCH(I$10,BDD!$A$1:$P$1,0),FALSE)),"")</f>
        <v>N3</v>
      </c>
      <c r="J14" s="86"/>
      <c r="K14" s="67" t="str">
        <f>IFERROR(IF(VLOOKUP($E14,BDD!$A$1:$S$567,MATCH(K$10,BDD!$A$1:$P$1,0),FALSE)=0,"",VLOOKUP($E14,BDD!$A$1:$S$567,MATCH(K$10,BDD!$A$1:$P$1,0),FALSE)),"")</f>
        <v/>
      </c>
      <c r="L14" s="68"/>
      <c r="M14" s="87"/>
      <c r="N14" s="87"/>
      <c r="O14" s="68"/>
      <c r="P14" s="109"/>
    </row>
    <row r="15" spans="1:16" ht="130.05000000000001" customHeight="1" x14ac:dyDescent="0.3">
      <c r="A15" s="109"/>
      <c r="B15" s="68"/>
      <c r="C15" s="68" t="str">
        <f t="shared" si="0"/>
        <v>13</v>
      </c>
      <c r="D15" s="68">
        <f t="shared" si="1"/>
        <v>1</v>
      </c>
      <c r="E15" s="84" t="str">
        <f t="shared" si="2"/>
        <v>1314</v>
      </c>
      <c r="F15" s="64" t="s">
        <v>32</v>
      </c>
      <c r="G15" s="65" t="str">
        <f>IFERROR(IF(VLOOKUP($E15,BDD!$A$1:$S$567,MATCH(G$10,BDD!$A$1:$P$1,0),FALSE)=0,"",VLOOKUP($E15,BDD!$A$1:$S$567,MATCH(G$10,BDD!$A$1:$P$1,0),FALSE)),"")</f>
        <v>La raison d'être est perçue et incarnée dans les différentes communications (internes et externes).</v>
      </c>
      <c r="H15" s="88" t="str">
        <f>IF(VLOOKUP(E15,BDD!$A$1:$S$567,15,FALSE)=0,"Critère non évalué","")</f>
        <v>Critère non évalué</v>
      </c>
      <c r="I15" s="64" t="str">
        <f>IFERROR(IF(VLOOKUP($E15,BDD!$A$1:$S$567,MATCH(I$10,BDD!$A$1:$P$1,0),FALSE)=0,"",VLOOKUP($E15,BDD!$A$1:$S$567,MATCH(I$10,BDD!$A$1:$P$1,0),FALSE)),"")</f>
        <v>N5</v>
      </c>
      <c r="J15" s="91"/>
      <c r="K15" s="65" t="str">
        <f>IFERROR(IF(VLOOKUP($E15,BDD!$A$1:$S$567,MATCH(K$10,BDD!$A$1:$P$1,0),FALSE)=0,"",VLOOKUP($E15,BDD!$A$1:$S$567,MATCH(K$10,BDD!$A$1:$P$1,0),FALSE)),"")</f>
        <v>• Elle contribue également à la réputation et à l'attractivité externe.</v>
      </c>
      <c r="L15" s="68"/>
      <c r="M15" s="90"/>
      <c r="N15" s="90"/>
      <c r="O15" s="68"/>
      <c r="P15" s="109"/>
    </row>
    <row r="16" spans="1:16" ht="130.05000000000001" customHeight="1" x14ac:dyDescent="0.3">
      <c r="A16" s="109"/>
      <c r="B16" s="68"/>
      <c r="C16" s="68" t="str">
        <f t="shared" si="0"/>
        <v>13</v>
      </c>
      <c r="D16" s="68">
        <f t="shared" si="1"/>
        <v>1</v>
      </c>
      <c r="E16" s="84" t="str">
        <f t="shared" si="2"/>
        <v>1315</v>
      </c>
      <c r="F16" s="66" t="s">
        <v>33</v>
      </c>
      <c r="G16" s="67" t="str">
        <f>IFERROR(IF(VLOOKUP($E16,BDD!$A$1:$S$567,MATCH(G$10,BDD!$A$1:$P$1,0),FALSE)=0,"",VLOOKUP($E16,BDD!$A$1:$S$567,MATCH(G$10,BDD!$A$1:$P$1,0),FALSE)),"")</f>
        <v>Le marketing de la DSI est organisé à destination de deux cibles principales : les collaborateurs internes à la DSI, l'ensemble des collaborateurs de l'organisation.</v>
      </c>
      <c r="H16" s="85" t="str">
        <f>IF(VLOOKUP(E16,BDD!$A$1:$S$567,15,FALSE)=0,"Critère non évalué","")</f>
        <v>Critère non évalué</v>
      </c>
      <c r="I16" s="66" t="str">
        <f>IFERROR(IF(VLOOKUP($E16,BDD!$A$1:$S$567,MATCH(I$10,BDD!$A$1:$P$1,0),FALSE)=0,"",VLOOKUP($E16,BDD!$A$1:$S$567,MATCH(I$10,BDD!$A$1:$P$1,0),FALSE)),"")</f>
        <v>N2</v>
      </c>
      <c r="J16" s="86"/>
      <c r="K16" s="67" t="str">
        <f>IFERROR(IF(VLOOKUP($E16,BDD!$A$1:$S$567,MATCH(K$10,BDD!$A$1:$P$1,0),FALSE)=0,"",VLOOKUP($E16,BDD!$A$1:$S$567,MATCH(K$10,BDD!$A$1:$P$1,0),FALSE)),"")</f>
        <v>• Des enquêtes (internes et externes à la DSI) peuvent être organisées pour mesurer la perception de la raison d'être de la DSI par les parties prenantes.</v>
      </c>
      <c r="L16" s="68"/>
      <c r="M16" s="82"/>
      <c r="N16" s="82"/>
      <c r="O16" s="68"/>
      <c r="P16" s="109"/>
    </row>
    <row r="17" spans="1:16" ht="130.05000000000001" customHeight="1" x14ac:dyDescent="0.3">
      <c r="A17" s="109"/>
      <c r="B17" s="68"/>
      <c r="C17" s="68" t="str">
        <f t="shared" si="0"/>
        <v>13</v>
      </c>
      <c r="D17" s="68">
        <f t="shared" si="1"/>
        <v>1</v>
      </c>
      <c r="E17" s="84" t="str">
        <f t="shared" si="2"/>
        <v>1316</v>
      </c>
      <c r="F17" s="64" t="s">
        <v>34</v>
      </c>
      <c r="G17" s="96" t="str">
        <f>IFERROR(IF(VLOOKUP($E17,BDD!$A$1:$S$567,MATCH(G$10,BDD!$A$1:$P$1,0),FALSE)=0,"",VLOOKUP($E17,BDD!$A$1:$S$567,MATCH(G$10,BDD!$A$1:$P$1,0),FALSE)),"")</f>
        <v>Un plan marketing est défini et son exécution est pilotée par la direction ou le management de la DSI.</v>
      </c>
      <c r="H17" s="92" t="str">
        <f>IF(VLOOKUP(E17,BDD!$A$1:$S$567,15,FALSE)=0,"Critère non évalué","")</f>
        <v>Critère non évalué</v>
      </c>
      <c r="I17" s="64" t="str">
        <f>IFERROR(IF(VLOOKUP($E17,BDD!$A$1:$S$567,MATCH(I$10,BDD!$A$1:$P$1,0),FALSE)=0,"",VLOOKUP($E17,BDD!$A$1:$S$567,MATCH(I$10,BDD!$A$1:$P$1,0),FALSE)),"")</f>
        <v>N4</v>
      </c>
      <c r="J17" s="206"/>
      <c r="K17" s="96" t="str">
        <f>IFERROR(IF(VLOOKUP($E17,BDD!$A$1:$S$567,MATCH(K$10,BDD!$A$1:$P$1,0),FALSE)=0,"",VLOOKUP($E17,BDD!$A$1:$S$567,MATCH(K$10,BDD!$A$1:$P$1,0),FALSE)),"")</f>
        <v/>
      </c>
      <c r="L17" s="68"/>
      <c r="M17" s="90"/>
      <c r="N17" s="90"/>
      <c r="O17" s="68"/>
      <c r="P17" s="109"/>
    </row>
    <row r="18" spans="1:16" ht="130.05000000000001" hidden="1" customHeight="1" x14ac:dyDescent="0.3">
      <c r="A18" s="109"/>
      <c r="B18" s="68"/>
      <c r="C18" s="68" t="str">
        <f t="shared" si="0"/>
        <v>13</v>
      </c>
      <c r="D18" s="68">
        <f t="shared" si="1"/>
        <v>1</v>
      </c>
      <c r="E18" s="84" t="str">
        <f t="shared" si="2"/>
        <v>1317</v>
      </c>
      <c r="F18" s="66" t="s">
        <v>36</v>
      </c>
      <c r="G18" s="67" t="str">
        <f>IFERROR(IF(VLOOKUP($E18,BDD!$A$1:$S$567,MATCH(G$10,BDD!$A$1:$P$1,0),FALSE)=0,"",VLOOKUP($E18,BDD!$A$1:$S$567,MATCH(G$10,BDD!$A$1:$P$1,0),FALSE)),"")</f>
        <v/>
      </c>
      <c r="H18" s="85" t="str">
        <f>IF(VLOOKUP(E18,BDD!$A$1:$S$567,15,FALSE)=0,"Critère non évalué","")</f>
        <v>Critère non évalué</v>
      </c>
      <c r="I18" s="66" t="str">
        <f>IFERROR(IF(VLOOKUP($E18,BDD!$A$1:$S$567,MATCH(I$10,BDD!$A$1:$P$1,0),FALSE)=0,"",VLOOKUP($E18,BDD!$A$1:$S$567,MATCH(I$10,BDD!$A$1:$P$1,0),FALSE)),"")</f>
        <v/>
      </c>
      <c r="J18" s="86"/>
      <c r="K18" s="67" t="str">
        <f>IFERROR(IF(VLOOKUP($E18,BDD!$A$1:$S$567,MATCH(K$10,BDD!$A$1:$P$1,0),FALSE)=0,"",VLOOKUP($E18,BDD!$A$1:$S$567,MATCH(K$10,BDD!$A$1:$P$1,0),FALSE)),"")</f>
        <v/>
      </c>
      <c r="L18" s="68"/>
      <c r="M18" s="82"/>
      <c r="N18" s="82"/>
      <c r="O18" s="68"/>
      <c r="P18" s="109"/>
    </row>
    <row r="19" spans="1:16" ht="18" x14ac:dyDescent="0.35">
      <c r="A19" s="109"/>
      <c r="B19" s="68"/>
      <c r="C19" s="68" t="str">
        <f t="shared" si="0"/>
        <v>13</v>
      </c>
      <c r="D19" s="68">
        <f t="shared" si="1"/>
        <v>1</v>
      </c>
      <c r="E19" s="84" t="str">
        <f t="shared" si="2"/>
        <v>131</v>
      </c>
      <c r="F19" s="68"/>
      <c r="G19" s="69" t="str">
        <f>IF(Suppl!B80=2,"Le vecteur n'est pas utilisé","")</f>
        <v/>
      </c>
      <c r="H19" s="69"/>
      <c r="I19" s="69"/>
      <c r="J19" s="69"/>
      <c r="K19" s="69"/>
      <c r="L19" s="70"/>
      <c r="M19" s="68"/>
      <c r="N19" s="68"/>
      <c r="O19" s="68"/>
      <c r="P19" s="109"/>
    </row>
    <row r="20" spans="1:16" x14ac:dyDescent="0.3">
      <c r="A20" s="109"/>
      <c r="B20" s="68"/>
      <c r="C20" s="68" t="str">
        <f t="shared" si="0"/>
        <v>13</v>
      </c>
      <c r="D20" s="68">
        <f>IF(LEFT(F20,14)="Bonne pratique",D19+1,D19)</f>
        <v>1</v>
      </c>
      <c r="E20" s="84" t="str">
        <f t="shared" si="2"/>
        <v>131</v>
      </c>
      <c r="F20" s="68"/>
      <c r="G20" s="68"/>
      <c r="H20" s="68"/>
      <c r="I20" s="68"/>
      <c r="J20" s="68"/>
      <c r="K20" s="68"/>
      <c r="L20" s="68"/>
      <c r="M20" s="68"/>
      <c r="N20" s="68"/>
      <c r="O20" s="68"/>
      <c r="P20" s="109"/>
    </row>
    <row r="21" spans="1:16" ht="30" x14ac:dyDescent="0.5">
      <c r="A21" s="229"/>
      <c r="B21" s="74"/>
      <c r="C21" s="68" t="str">
        <f t="shared" si="0"/>
        <v>13</v>
      </c>
      <c r="D21" s="68">
        <f t="shared" si="1"/>
        <v>2</v>
      </c>
      <c r="E21" s="84" t="str">
        <f t="shared" si="2"/>
        <v>1322</v>
      </c>
      <c r="F21" s="208" t="s">
        <v>500</v>
      </c>
      <c r="G21" s="75"/>
      <c r="H21" s="205"/>
      <c r="I21" s="73"/>
      <c r="J21" s="73" t="str">
        <f>VLOOKUP(E28,BDD!$A$2:$N$567,6,FALSE)</f>
        <v>Marketing des services</v>
      </c>
      <c r="K21" s="72"/>
      <c r="L21" s="75"/>
      <c r="M21" s="75"/>
      <c r="N21" s="75"/>
      <c r="O21" s="74"/>
      <c r="P21" s="229"/>
    </row>
    <row r="22" spans="1:16" x14ac:dyDescent="0.3">
      <c r="A22" s="109"/>
      <c r="B22" s="68"/>
      <c r="C22" s="68" t="str">
        <f t="shared" si="0"/>
        <v>13</v>
      </c>
      <c r="D22" s="68">
        <f t="shared" si="1"/>
        <v>2</v>
      </c>
      <c r="E22" s="84" t="str">
        <f t="shared" si="2"/>
        <v>132</v>
      </c>
      <c r="F22" s="68"/>
      <c r="G22" s="68"/>
      <c r="H22" s="68"/>
      <c r="I22" s="68"/>
      <c r="J22" s="68"/>
      <c r="K22" s="68"/>
      <c r="L22" s="68"/>
      <c r="M22" s="68"/>
      <c r="N22" s="68"/>
      <c r="O22" s="68"/>
      <c r="P22" s="109"/>
    </row>
    <row r="23" spans="1:16" ht="18" x14ac:dyDescent="0.35">
      <c r="A23" s="230"/>
      <c r="B23" s="76"/>
      <c r="C23" s="68" t="str">
        <f t="shared" si="0"/>
        <v>13</v>
      </c>
      <c r="D23" s="68">
        <f t="shared" si="1"/>
        <v>2</v>
      </c>
      <c r="E23" s="84" t="str">
        <f t="shared" si="2"/>
        <v>132</v>
      </c>
      <c r="F23" s="76"/>
      <c r="G23" s="76"/>
      <c r="H23" s="76"/>
      <c r="I23" s="77"/>
      <c r="J23" s="207" t="str">
        <f>IFERROR(_xlfn.TEXTBEFORE(VLOOKUP(E28,BDD!$A$2:$N$567,7,FALSE)," ",30),VLOOKUP(E28,BDD!$A$2:$N$567,7,FALSE))</f>
        <v>La DSI organise le marketing de ses services auprès de ses clients.</v>
      </c>
      <c r="K23" s="77"/>
      <c r="L23" s="76"/>
      <c r="M23" s="76"/>
      <c r="N23" s="76"/>
      <c r="O23" s="76"/>
      <c r="P23" s="230"/>
    </row>
    <row r="24" spans="1:16" ht="18" x14ac:dyDescent="0.35">
      <c r="A24" s="109"/>
      <c r="B24" s="68"/>
      <c r="C24" s="68" t="str">
        <f t="shared" si="0"/>
        <v>13</v>
      </c>
      <c r="D24" s="68">
        <f t="shared" si="1"/>
        <v>2</v>
      </c>
      <c r="E24" s="84" t="str">
        <f t="shared" si="2"/>
        <v>132</v>
      </c>
      <c r="F24" s="68"/>
      <c r="G24" s="68"/>
      <c r="H24" s="68"/>
      <c r="I24" s="68"/>
      <c r="J24" s="207" t="str">
        <f>IFERROR(_xlfn.TEXTAFTER(VLOOKUP(E28,BDD!$A$2:$N$567,7,FALSE)," ",30),"")</f>
        <v/>
      </c>
      <c r="K24" s="68"/>
      <c r="L24" s="68"/>
      <c r="M24" s="68"/>
      <c r="N24" s="68"/>
      <c r="O24" s="68"/>
      <c r="P24" s="109"/>
    </row>
    <row r="25" spans="1:16" x14ac:dyDescent="0.3">
      <c r="A25" s="109"/>
      <c r="B25" s="68"/>
      <c r="C25" s="68" t="str">
        <f t="shared" si="0"/>
        <v>13</v>
      </c>
      <c r="D25" s="68">
        <f t="shared" si="1"/>
        <v>2</v>
      </c>
      <c r="E25" s="84" t="str">
        <f t="shared" si="2"/>
        <v>132</v>
      </c>
      <c r="F25" s="68"/>
      <c r="G25" s="68"/>
      <c r="H25" s="68"/>
      <c r="I25" s="68"/>
      <c r="J25" s="78"/>
      <c r="K25" s="68"/>
      <c r="L25" s="68"/>
      <c r="M25" s="619" t="s">
        <v>92</v>
      </c>
      <c r="N25" s="619"/>
      <c r="O25" s="68"/>
      <c r="P25" s="109"/>
    </row>
    <row r="26" spans="1:16" ht="33" x14ac:dyDescent="0.3">
      <c r="A26" s="109"/>
      <c r="B26" s="68"/>
      <c r="C26" s="68" t="str">
        <f t="shared" si="0"/>
        <v>13</v>
      </c>
      <c r="D26" s="68">
        <f t="shared" si="1"/>
        <v>2</v>
      </c>
      <c r="E26" s="84" t="str">
        <f t="shared" si="2"/>
        <v>132</v>
      </c>
      <c r="F26" s="93"/>
      <c r="G26" s="80" t="s">
        <v>561</v>
      </c>
      <c r="H26" s="80" t="s">
        <v>82</v>
      </c>
      <c r="I26" s="80" t="s">
        <v>83</v>
      </c>
      <c r="J26" s="80" t="s">
        <v>84</v>
      </c>
      <c r="K26" s="80" t="s">
        <v>85</v>
      </c>
      <c r="L26" s="78"/>
      <c r="M26" s="81" t="s">
        <v>86</v>
      </c>
      <c r="N26" s="82" t="s">
        <v>87</v>
      </c>
      <c r="O26" s="68"/>
      <c r="P26" s="109"/>
    </row>
    <row r="27" spans="1:16" x14ac:dyDescent="0.3">
      <c r="A27" s="109"/>
      <c r="B27" s="68"/>
      <c r="C27" s="68" t="str">
        <f t="shared" si="0"/>
        <v>13</v>
      </c>
      <c r="D27" s="68">
        <f t="shared" si="1"/>
        <v>2</v>
      </c>
      <c r="E27" s="84" t="str">
        <f t="shared" si="2"/>
        <v>132</v>
      </c>
      <c r="F27" s="68"/>
      <c r="G27" s="83"/>
      <c r="H27" s="83"/>
      <c r="I27" s="83"/>
      <c r="J27" s="68"/>
      <c r="K27" s="83"/>
      <c r="L27" s="68"/>
      <c r="M27" s="68"/>
      <c r="N27" s="68"/>
      <c r="O27" s="68"/>
      <c r="P27" s="109"/>
    </row>
    <row r="28" spans="1:16" ht="130.05000000000001" customHeight="1" x14ac:dyDescent="0.3">
      <c r="A28" s="109"/>
      <c r="B28" s="68"/>
      <c r="C28" s="68" t="str">
        <f t="shared" si="0"/>
        <v>13</v>
      </c>
      <c r="D28" s="68">
        <f t="shared" si="1"/>
        <v>2</v>
      </c>
      <c r="E28" s="84" t="str">
        <f t="shared" si="2"/>
        <v>1321</v>
      </c>
      <c r="F28" s="66" t="s">
        <v>27</v>
      </c>
      <c r="G28" s="67" t="str">
        <f>IFERROR(IF(VLOOKUP($E28,BDD!$A$1:$S$567,MATCH(G$10,BDD!$A$1:$P$1,0),FALSE)=0,"",VLOOKUP($E28,BDD!$A$1:$S$567,MATCH(G$10,BDD!$A$1:$P$1,0),FALSE)),"")</f>
        <v>Un plan marketing des services est bâti et mis en place.</v>
      </c>
      <c r="H28" s="85" t="str">
        <f>IF(VLOOKUP(E28,BDD!$A$1:$S$567,15,FALSE)=0,"Critère non évalué","")</f>
        <v>Critère non évalué</v>
      </c>
      <c r="I28" s="66" t="str">
        <f>IFERROR(IF(VLOOKUP($E28,BDD!$A$1:$S$567,MATCH(I$10,BDD!$A$1:$P$1,0),FALSE)=0,"",VLOOKUP($E28,BDD!$A$1:$S$567,MATCH(I$10,BDD!$A$1:$P$1,0),FALSE)),"")</f>
        <v>N3</v>
      </c>
      <c r="J28" s="86"/>
      <c r="K28" s="67" t="str">
        <f>IFERROR(IF(VLOOKUP($E28,BDD!$A$1:$S$567,MATCH(K$10,BDD!$A$1:$P$1,0),FALSE)=0,"",VLOOKUP($E28,BDD!$A$1:$S$567,MATCH(K$10,BDD!$A$1:$P$1,0),FALSE)),"")</f>
        <v>• Le plan marketing peut être mis en place par la DSI ou par la fonction marketing de la DSI.
• Le plan marketing inclut la promotion des services.
• La DSI développe la connaissance des clients et utilisateurs (audience, segmentations, profilage, etc.).
• Le parcours client est connu, analysé et régulièrement mis à jour.
• Les projets SI sont accompagnés dans la conduite du changement.</v>
      </c>
      <c r="L28" s="68"/>
      <c r="M28" s="87"/>
      <c r="N28" s="87"/>
      <c r="O28" s="68"/>
      <c r="P28" s="109"/>
    </row>
    <row r="29" spans="1:16" ht="139.80000000000001" customHeight="1" x14ac:dyDescent="0.3">
      <c r="A29" s="109"/>
      <c r="B29" s="68"/>
      <c r="C29" s="68" t="str">
        <f t="shared" si="0"/>
        <v>13</v>
      </c>
      <c r="D29" s="68">
        <f t="shared" si="1"/>
        <v>2</v>
      </c>
      <c r="E29" s="84" t="str">
        <f t="shared" si="2"/>
        <v>1322</v>
      </c>
      <c r="F29" s="94" t="s">
        <v>28</v>
      </c>
      <c r="G29" s="65" t="str">
        <f>IFERROR(IF(VLOOKUP($E29,BDD!$A$1:$S$567,MATCH(G$10,BDD!$A$1:$P$1,0),FALSE)=0,"",VLOOKUP($E29,BDD!$A$1:$S$567,MATCH(G$10,BDD!$A$1:$P$1,0),FALSE)),"")</f>
        <v>La DSI assure une promotion régulière du catalogue de services.</v>
      </c>
      <c r="H29" s="88" t="str">
        <f>IF(VLOOKUP(E29,BDD!$A$1:$S$567,15,FALSE)=0,"Critère non évalué","")</f>
        <v>Critère non évalué</v>
      </c>
      <c r="I29" s="64" t="str">
        <f>IFERROR(IF(VLOOKUP($E29,BDD!$A$1:$S$567,MATCH(I$10,BDD!$A$1:$P$1,0),FALSE)=0,"",VLOOKUP($E29,BDD!$A$1:$S$567,MATCH(I$10,BDD!$A$1:$P$1,0),FALSE)),"")</f>
        <v>N3</v>
      </c>
      <c r="J29" s="89"/>
      <c r="K29" s="65" t="str">
        <f>IFERROR(IF(VLOOKUP($E29,BDD!$A$1:$S$567,MATCH(K$10,BDD!$A$1:$P$1,0),FALSE)=0,"",VLOOKUP($E29,BDD!$A$1:$S$567,MATCH(K$10,BDD!$A$1:$P$1,0),FALSE)),"")</f>
        <v>• L’offre de services et le catalogue de services de la DSI sont valorisés auprès des utilisateurs.
• La fonction marketing de la DSI définit, valorise, rationalise et publie l’offre de services de la DSI.
• La qualité de service et l’expérience client sont régulièrement mises en avant auprès des clients et utilisateurs (satisfaction, respect des SLAs, communication sur les incidents, etc).
• Des « clubs utilisateurs » et des événements autour des projets/services de la DSI sont organisés et animés.
• Une météo des services est mise en place.</v>
      </c>
      <c r="L29" s="68"/>
      <c r="M29" s="90"/>
      <c r="N29" s="90"/>
      <c r="O29" s="68"/>
      <c r="P29" s="109"/>
    </row>
    <row r="30" spans="1:16" ht="130.05000000000001" customHeight="1" x14ac:dyDescent="0.3">
      <c r="A30" s="109"/>
      <c r="B30" s="68"/>
      <c r="C30" s="68" t="str">
        <f t="shared" si="0"/>
        <v>13</v>
      </c>
      <c r="D30" s="68">
        <f t="shared" si="1"/>
        <v>2</v>
      </c>
      <c r="E30" s="84" t="str">
        <f t="shared" si="2"/>
        <v>1323</v>
      </c>
      <c r="F30" s="66" t="s">
        <v>30</v>
      </c>
      <c r="G30" s="67" t="str">
        <f>IFERROR(IF(VLOOKUP($E30,BDD!$A$1:$S$567,MATCH(G$10,BDD!$A$1:$P$1,0),FALSE)=0,"",VLOOKUP($E30,BDD!$A$1:$S$567,MATCH(G$10,BDD!$A$1:$P$1,0),FALSE)),"")</f>
        <v>La DSI mesure et améliore la satisfaction des utilisateurs.</v>
      </c>
      <c r="H30" s="85" t="str">
        <f>IF(VLOOKUP(E30,BDD!$A$1:$S$567,15,FALSE)=0,"Critère non évalué","")</f>
        <v>Critère non évalué</v>
      </c>
      <c r="I30" s="66" t="str">
        <f>IFERROR(IF(VLOOKUP($E30,BDD!$A$1:$S$567,MATCH(I$10,BDD!$A$1:$P$1,0),FALSE)=0,"",VLOOKUP($E30,BDD!$A$1:$S$567,MATCH(I$10,BDD!$A$1:$P$1,0),FALSE)),"")</f>
        <v>N4</v>
      </c>
      <c r="J30" s="86"/>
      <c r="K30" s="67" t="str">
        <f>IFERROR(IF(VLOOKUP($E30,BDD!$A$1:$S$567,MATCH(K$10,BDD!$A$1:$P$1,0),FALSE)=0,"",VLOOKUP($E30,BDD!$A$1:$S$567,MATCH(K$10,BDD!$A$1:$P$1,0),FALSE)),"")</f>
        <v>• La DSI mesure régulièrement et améliore la satisfaction des clients et des utilisateurs du SI (enquêtes utilisateurs, enquête à chaud, support, etc.).
• Des indicateurs de performance du marketing de la DSI sont définis et suivis.</v>
      </c>
      <c r="L30" s="68"/>
      <c r="M30" s="87"/>
      <c r="N30" s="87"/>
      <c r="O30" s="68"/>
      <c r="P30" s="109"/>
    </row>
    <row r="31" spans="1:16" ht="168.6" customHeight="1" x14ac:dyDescent="0.3">
      <c r="A31" s="109"/>
      <c r="B31" s="68"/>
      <c r="C31" s="68" t="str">
        <f t="shared" si="0"/>
        <v>13</v>
      </c>
      <c r="D31" s="68">
        <f t="shared" si="1"/>
        <v>2</v>
      </c>
      <c r="E31" s="84" t="str">
        <f t="shared" si="2"/>
        <v>1324</v>
      </c>
      <c r="F31" s="64" t="s">
        <v>32</v>
      </c>
      <c r="G31" s="65" t="str">
        <f>IFERROR(IF(VLOOKUP($E31,BDD!$A$1:$S$567,MATCH(G$10,BDD!$A$1:$P$1,0),FALSE)=0,"",VLOOKUP($E31,BDD!$A$1:$S$567,MATCH(G$10,BDD!$A$1:$P$1,0),FALSE)),"")</f>
        <v>La DSI évalue l'adoption des services par les utilisateurs.</v>
      </c>
      <c r="H31" s="88" t="str">
        <f>IF(VLOOKUP(E31,BDD!$A$1:$S$567,15,FALSE)=0,"Critère non évalué","")</f>
        <v>Critère non évalué</v>
      </c>
      <c r="I31" s="64" t="str">
        <f>IFERROR(IF(VLOOKUP($E31,BDD!$A$1:$S$567,MATCH(I$10,BDD!$A$1:$P$1,0),FALSE)=0,"",VLOOKUP($E31,BDD!$A$1:$S$567,MATCH(I$10,BDD!$A$1:$P$1,0),FALSE)),"")</f>
        <v>N5</v>
      </c>
      <c r="J31" s="91"/>
      <c r="K31" s="65" t="str">
        <f>IFERROR(IF(VLOOKUP($E31,BDD!$A$1:$S$567,MATCH(K$10,BDD!$A$1:$P$1,0),FALSE)=0,"",VLOOKUP($E31,BDD!$A$1:$S$567,MATCH(K$10,BDD!$A$1:$P$1,0),FALSE)),"")</f>
        <v>• Une veille régulière est assurée par le biais de clubs utilisateurs et permet de monitorer les points d'améliorations.
• Des retours d’expérience sont organisés sur les événements et situations identifiés par le feedback.
• Des indicateurs de pilotage sont utilisés pour mesurer l’adoption et la satisfaction des services numériques : taux d’adhésion aux nouveaux services, indice de satisfaction client, nombre d’événements clients et utilisateurs organisés.
• Des guildes, ou communautés sont mises en place afin de fédérer les équipes autour de projets communs et de permettre la diffusion des bonnes pratiques.
• Une communication régulière visant à promouvoir l'hygiène numérique (cybersécurité) est mise en place.</v>
      </c>
      <c r="L31" s="68"/>
      <c r="M31" s="90"/>
      <c r="N31" s="90"/>
      <c r="O31" s="68"/>
      <c r="P31" s="109"/>
    </row>
    <row r="32" spans="1:16" ht="130.05000000000001" customHeight="1" x14ac:dyDescent="0.3">
      <c r="A32" s="109"/>
      <c r="B32" s="68"/>
      <c r="C32" s="68" t="str">
        <f t="shared" si="0"/>
        <v>13</v>
      </c>
      <c r="D32" s="68">
        <f t="shared" si="1"/>
        <v>2</v>
      </c>
      <c r="E32" s="84" t="str">
        <f t="shared" si="2"/>
        <v>1325</v>
      </c>
      <c r="F32" s="66" t="s">
        <v>33</v>
      </c>
      <c r="G32" s="67" t="str">
        <f>IFERROR(IF(VLOOKUP($E32,BDD!$A$1:$S$567,MATCH(G$10,BDD!$A$1:$P$1,0),FALSE)=0,"",VLOOKUP($E32,BDD!$A$1:$S$567,MATCH(G$10,BDD!$A$1:$P$1,0),FALSE)),"")</f>
        <v>Le plan marketing fait l'objet d'un pilotage et d'un suivi régulier et actualisé.</v>
      </c>
      <c r="H32" s="85" t="str">
        <f>IF(VLOOKUP(E32,BDD!$A$1:$S$567,15,FALSE)=0,"Critère non évalué","")</f>
        <v>Critère non évalué</v>
      </c>
      <c r="I32" s="66" t="str">
        <f>IFERROR(IF(VLOOKUP($E32,BDD!$A$1:$S$567,MATCH(I$10,BDD!$A$1:$P$1,0),FALSE)=0,"",VLOOKUP($E32,BDD!$A$1:$S$567,MATCH(I$10,BDD!$A$1:$P$1,0),FALSE)),"")</f>
        <v>N4</v>
      </c>
      <c r="J32" s="86"/>
      <c r="K32" s="67" t="str">
        <f>IFERROR(IF(VLOOKUP($E32,BDD!$A$1:$S$567,MATCH(K$10,BDD!$A$1:$P$1,0),FALSE)=0,"",VLOOKUP($E32,BDD!$A$1:$S$567,MATCH(K$10,BDD!$A$1:$P$1,0),FALSE)),"")</f>
        <v>• Un comité de pilotage est mis en place.
• Il actualise au moins une fois par an une revue de ce qui a été réalisé, mis à jour, etc.</v>
      </c>
      <c r="L32" s="68"/>
      <c r="M32" s="82"/>
      <c r="N32" s="82"/>
      <c r="O32" s="68"/>
      <c r="P32" s="109"/>
    </row>
    <row r="33" spans="1:16" ht="130.05000000000001" hidden="1" customHeight="1" x14ac:dyDescent="0.3">
      <c r="A33" s="109"/>
      <c r="B33" s="68"/>
      <c r="C33" s="68" t="str">
        <f t="shared" si="0"/>
        <v>13</v>
      </c>
      <c r="D33" s="68">
        <f t="shared" si="1"/>
        <v>2</v>
      </c>
      <c r="E33" s="84" t="str">
        <f t="shared" si="2"/>
        <v>1326</v>
      </c>
      <c r="F33" s="64" t="s">
        <v>34</v>
      </c>
      <c r="G33" s="65" t="str">
        <f>IFERROR(IF(VLOOKUP($E33,BDD!$A$1:$S$567,MATCH(G$10,BDD!$A$1:$P$1,0),FALSE)=0,"",VLOOKUP($E33,BDD!$A$1:$S$567,MATCH(G$10,BDD!$A$1:$P$1,0),FALSE)),"")</f>
        <v/>
      </c>
      <c r="H33" s="92" t="str">
        <f>IF(VLOOKUP(E33,BDD!$A$1:$S$567,15,FALSE)=0,"Critère non évalué","")</f>
        <v>Critère non évalué</v>
      </c>
      <c r="I33" s="64" t="str">
        <f>IFERROR(IF(VLOOKUP($E33,BDD!$A$1:$S$567,MATCH(I$10,BDD!$A$1:$P$1,0),FALSE)=0,"",VLOOKUP($E33,BDD!$A$1:$S$567,MATCH(I$10,BDD!$A$1:$P$1,0),FALSE)),"")</f>
        <v/>
      </c>
      <c r="J33" s="89"/>
      <c r="K33" s="65" t="str">
        <f>IFERROR(IF(VLOOKUP($E33,BDD!$A$1:$S$567,MATCH(K$10,BDD!$A$1:$P$1,0),FALSE)=0,"",VLOOKUP($E33,BDD!$A$1:$S$567,MATCH(K$10,BDD!$A$1:$P$1,0),FALSE)),"")</f>
        <v/>
      </c>
      <c r="L33" s="68"/>
      <c r="M33" s="90"/>
      <c r="N33" s="90"/>
      <c r="O33" s="68"/>
      <c r="P33" s="109"/>
    </row>
    <row r="34" spans="1:16" ht="130.05000000000001" hidden="1" customHeight="1" x14ac:dyDescent="0.3">
      <c r="A34" s="109"/>
      <c r="B34" s="68"/>
      <c r="C34" s="68" t="str">
        <f t="shared" si="0"/>
        <v>13</v>
      </c>
      <c r="D34" s="68">
        <f t="shared" si="1"/>
        <v>2</v>
      </c>
      <c r="E34" s="84" t="str">
        <f t="shared" si="2"/>
        <v>1327</v>
      </c>
      <c r="F34" s="66" t="s">
        <v>36</v>
      </c>
      <c r="G34" s="67" t="str">
        <f>IFERROR(IF(VLOOKUP($E34,BDD!$A$1:$S$567,MATCH(G$10,BDD!$A$1:$P$1,0),FALSE)=0,"",VLOOKUP($E34,BDD!$A$1:$S$567,MATCH(G$10,BDD!$A$1:$P$1,0),FALSE)),"")</f>
        <v/>
      </c>
      <c r="H34" s="85" t="str">
        <f>IF(VLOOKUP(E34,BDD!$A$1:$S$567,15,FALSE)=0,"Critère non évalué","")</f>
        <v>Critère non évalué</v>
      </c>
      <c r="I34" s="66" t="str">
        <f>IFERROR(IF(VLOOKUP($E34,BDD!$A$1:$S$567,MATCH(I$10,BDD!$A$1:$P$1,0),FALSE)=0,"",VLOOKUP($E34,BDD!$A$1:$S$567,MATCH(I$10,BDD!$A$1:$P$1,0),FALSE)),"")</f>
        <v/>
      </c>
      <c r="J34" s="86"/>
      <c r="K34" s="67" t="str">
        <f>IFERROR(IF(VLOOKUP($E34,BDD!$A$1:$S$567,MATCH(K$10,BDD!$A$1:$P$1,0),FALSE)=0,"",VLOOKUP($E34,BDD!$A$1:$S$567,MATCH(K$10,BDD!$A$1:$P$1,0),FALSE)),"")</f>
        <v/>
      </c>
      <c r="L34" s="68"/>
      <c r="M34" s="82"/>
      <c r="N34" s="82"/>
      <c r="O34" s="68"/>
      <c r="P34" s="109"/>
    </row>
    <row r="35" spans="1:16" ht="18" x14ac:dyDescent="0.35">
      <c r="A35" s="109"/>
      <c r="B35" s="68"/>
      <c r="C35" s="68" t="str">
        <f t="shared" si="0"/>
        <v>13</v>
      </c>
      <c r="D35" s="68">
        <f t="shared" si="1"/>
        <v>2</v>
      </c>
      <c r="E35" s="84" t="str">
        <f t="shared" si="2"/>
        <v>132</v>
      </c>
      <c r="F35" s="68"/>
      <c r="G35" s="69" t="str">
        <f>IF(Suppl!B96=2,"Le vecteur n'est pas utilisé","")</f>
        <v/>
      </c>
      <c r="H35" s="69"/>
      <c r="I35" s="68"/>
      <c r="J35" s="69"/>
      <c r="K35" s="69"/>
      <c r="L35" s="70"/>
      <c r="M35" s="68"/>
      <c r="N35" s="68"/>
      <c r="O35" s="68"/>
      <c r="P35" s="109"/>
    </row>
    <row r="36" spans="1:16" x14ac:dyDescent="0.3">
      <c r="A36" s="109"/>
      <c r="B36" s="68"/>
      <c r="C36" s="68" t="str">
        <f t="shared" si="0"/>
        <v>13</v>
      </c>
      <c r="D36" s="68">
        <f>IF(LEFT(F36,14)="Bonne pratique",D35+1,D35)</f>
        <v>2</v>
      </c>
      <c r="E36" s="84" t="str">
        <f t="shared" si="2"/>
        <v>132</v>
      </c>
      <c r="F36" s="68"/>
      <c r="G36" s="68"/>
      <c r="H36" s="68"/>
      <c r="I36" s="68"/>
      <c r="J36" s="68"/>
      <c r="K36" s="68"/>
      <c r="L36" s="68"/>
      <c r="M36" s="68"/>
      <c r="N36" s="68"/>
      <c r="O36" s="68"/>
      <c r="P36" s="109"/>
    </row>
    <row r="37" spans="1:16" ht="30" x14ac:dyDescent="0.5">
      <c r="A37" s="229"/>
      <c r="B37" s="74"/>
      <c r="C37" s="68" t="str">
        <f t="shared" si="0"/>
        <v>13</v>
      </c>
      <c r="D37" s="68">
        <f t="shared" si="1"/>
        <v>3</v>
      </c>
      <c r="E37" s="84" t="str">
        <f t="shared" si="2"/>
        <v>1333</v>
      </c>
      <c r="F37" s="208" t="s">
        <v>501</v>
      </c>
      <c r="G37" s="75"/>
      <c r="H37" s="205"/>
      <c r="I37" s="73"/>
      <c r="J37" s="73" t="str">
        <f>VLOOKUP(E44,BDD!$A$2:$N$567,6,FALSE)</f>
        <v>Plan de communication du numérique</v>
      </c>
      <c r="K37" s="72"/>
      <c r="L37" s="75"/>
      <c r="M37" s="75"/>
      <c r="N37" s="75"/>
      <c r="O37" s="74"/>
      <c r="P37" s="229"/>
    </row>
    <row r="38" spans="1:16" x14ac:dyDescent="0.3">
      <c r="A38" s="109"/>
      <c r="B38" s="68"/>
      <c r="C38" s="68" t="str">
        <f t="shared" si="0"/>
        <v>13</v>
      </c>
      <c r="D38" s="68">
        <f t="shared" si="1"/>
        <v>3</v>
      </c>
      <c r="E38" s="84" t="str">
        <f t="shared" si="2"/>
        <v>133</v>
      </c>
      <c r="F38" s="68"/>
      <c r="G38" s="68"/>
      <c r="H38" s="68"/>
      <c r="I38" s="68"/>
      <c r="J38" s="68"/>
      <c r="K38" s="68"/>
      <c r="L38" s="68"/>
      <c r="M38" s="68"/>
      <c r="N38" s="68"/>
      <c r="O38" s="68"/>
      <c r="P38" s="109"/>
    </row>
    <row r="39" spans="1:16" ht="18" x14ac:dyDescent="0.35">
      <c r="A39" s="230"/>
      <c r="B39" s="76"/>
      <c r="C39" s="68" t="str">
        <f t="shared" si="0"/>
        <v>13</v>
      </c>
      <c r="D39" s="68">
        <f t="shared" si="1"/>
        <v>3</v>
      </c>
      <c r="E39" s="84" t="str">
        <f t="shared" si="2"/>
        <v>133</v>
      </c>
      <c r="F39" s="76"/>
      <c r="G39" s="76"/>
      <c r="H39" s="76"/>
      <c r="I39" s="77"/>
      <c r="J39" s="207" t="str">
        <f>IFERROR(_xlfn.TEXTBEFORE(VLOOKUP(E44,BDD!$A$2:$N$567,7,FALSE)," ",30),VLOOKUP(E44,BDD!$A$2:$N$567,7,FALSE))</f>
        <v>La DSI communique selon un plan de communication formalisé, structuré et partagé.</v>
      </c>
      <c r="K39" s="77"/>
      <c r="L39" s="76"/>
      <c r="M39" s="76"/>
      <c r="N39" s="76"/>
      <c r="O39" s="76"/>
      <c r="P39" s="230"/>
    </row>
    <row r="40" spans="1:16" ht="18" x14ac:dyDescent="0.35">
      <c r="A40" s="109"/>
      <c r="B40" s="68"/>
      <c r="C40" s="68" t="str">
        <f t="shared" si="0"/>
        <v>13</v>
      </c>
      <c r="D40" s="68">
        <f t="shared" si="1"/>
        <v>3</v>
      </c>
      <c r="E40" s="84" t="str">
        <f t="shared" si="2"/>
        <v>133</v>
      </c>
      <c r="F40" s="68"/>
      <c r="G40" s="68"/>
      <c r="H40" s="68"/>
      <c r="I40" s="68"/>
      <c r="J40" s="207" t="str">
        <f>IFERROR(_xlfn.TEXTAFTER(VLOOKUP(E44,BDD!$A$2:$N$567,7,FALSE)," ",30),"")</f>
        <v/>
      </c>
      <c r="K40" s="68"/>
      <c r="L40" s="68"/>
      <c r="M40" s="68"/>
      <c r="N40" s="68"/>
      <c r="O40" s="68"/>
      <c r="P40" s="109"/>
    </row>
    <row r="41" spans="1:16" x14ac:dyDescent="0.3">
      <c r="A41" s="109"/>
      <c r="B41" s="68"/>
      <c r="C41" s="68" t="str">
        <f t="shared" si="0"/>
        <v>13</v>
      </c>
      <c r="D41" s="68">
        <f t="shared" si="1"/>
        <v>3</v>
      </c>
      <c r="E41" s="84" t="str">
        <f t="shared" si="2"/>
        <v>133</v>
      </c>
      <c r="F41" s="68"/>
      <c r="G41" s="68"/>
      <c r="H41" s="68"/>
      <c r="I41" s="68"/>
      <c r="J41" s="78"/>
      <c r="K41" s="68"/>
      <c r="L41" s="68"/>
      <c r="M41" s="619" t="s">
        <v>92</v>
      </c>
      <c r="N41" s="619"/>
      <c r="O41" s="68"/>
      <c r="P41" s="109"/>
    </row>
    <row r="42" spans="1:16" ht="33" x14ac:dyDescent="0.3">
      <c r="A42" s="109"/>
      <c r="B42" s="68"/>
      <c r="C42" s="68" t="str">
        <f t="shared" si="0"/>
        <v>13</v>
      </c>
      <c r="D42" s="68">
        <f t="shared" si="1"/>
        <v>3</v>
      </c>
      <c r="E42" s="84" t="str">
        <f t="shared" si="2"/>
        <v>133</v>
      </c>
      <c r="F42" s="79"/>
      <c r="G42" s="80" t="s">
        <v>561</v>
      </c>
      <c r="H42" s="80" t="s">
        <v>82</v>
      </c>
      <c r="I42" s="80" t="s">
        <v>83</v>
      </c>
      <c r="J42" s="80" t="s">
        <v>84</v>
      </c>
      <c r="K42" s="80" t="s">
        <v>85</v>
      </c>
      <c r="L42" s="78"/>
      <c r="M42" s="81" t="s">
        <v>86</v>
      </c>
      <c r="N42" s="82" t="s">
        <v>87</v>
      </c>
      <c r="O42" s="68"/>
      <c r="P42" s="109"/>
    </row>
    <row r="43" spans="1:16" x14ac:dyDescent="0.3">
      <c r="A43" s="109"/>
      <c r="B43" s="68"/>
      <c r="C43" s="68" t="str">
        <f t="shared" si="0"/>
        <v>13</v>
      </c>
      <c r="D43" s="68">
        <f t="shared" si="1"/>
        <v>3</v>
      </c>
      <c r="E43" s="84" t="str">
        <f t="shared" si="2"/>
        <v>133</v>
      </c>
      <c r="F43" s="68"/>
      <c r="G43" s="83"/>
      <c r="H43" s="83"/>
      <c r="I43" s="83"/>
      <c r="J43" s="68"/>
      <c r="K43" s="83"/>
      <c r="L43" s="68"/>
      <c r="M43" s="68"/>
      <c r="N43" s="68"/>
      <c r="O43" s="68"/>
      <c r="P43" s="109"/>
    </row>
    <row r="44" spans="1:16" ht="169.2" customHeight="1" x14ac:dyDescent="0.3">
      <c r="A44" s="109"/>
      <c r="B44" s="68"/>
      <c r="C44" s="68" t="str">
        <f t="shared" si="0"/>
        <v>13</v>
      </c>
      <c r="D44" s="68">
        <f t="shared" si="1"/>
        <v>3</v>
      </c>
      <c r="E44" s="84" t="str">
        <f t="shared" si="2"/>
        <v>1331</v>
      </c>
      <c r="F44" s="66" t="s">
        <v>27</v>
      </c>
      <c r="G44" s="67" t="str">
        <f>IFERROR(IF(VLOOKUP($E44,BDD!$A$1:$S$567,MATCH(G$10,BDD!$A$1:$P$1,0),FALSE)=0,"",VLOOKUP($E44,BDD!$A$1:$S$567,MATCH(G$10,BDD!$A$1:$P$1,0),FALSE)),"")</f>
        <v>Le plan de communication du numérique est aligné sur les enjeux de marketing de la DSI et des services du numérique, il est formalisé et partagé avec les parties prenantes.</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Le plan de communication identifie et segmente toutes les populations avec lesquelles la DSI communique. (collaborateurs, chefs de projets, acteurs de la DSI, autres acteurs de l’organisation incluant la direction générale, utilisateurs finaux, etc.).
• Le plan de communication doit préciser les axes de communication, ceux-ci sont alignés avec la raison d'être, les enjeux et la stratégie de l'organisation.
• Le plan de communication est validé par la direction générale, il est diffusé et fait l’objet d’une actualisation une fois par an.
• La DSI intègre les enjeux de communication du numérique comme un élément à part entière de sa mission et les inscrit explicitement à son agenda.
• Les responsables des différentes fonctions du SI sont associés à la conception, à la réalisation et à la diffusion de la communication.</v>
      </c>
      <c r="L44" s="68"/>
      <c r="M44" s="87"/>
      <c r="N44" s="87"/>
      <c r="O44" s="68"/>
      <c r="P44" s="109"/>
    </row>
    <row r="45" spans="1:16" ht="130.05000000000001" customHeight="1" x14ac:dyDescent="0.3">
      <c r="A45" s="109"/>
      <c r="B45" s="68"/>
      <c r="C45" s="68" t="str">
        <f t="shared" si="0"/>
        <v>13</v>
      </c>
      <c r="D45" s="68">
        <f t="shared" si="1"/>
        <v>3</v>
      </c>
      <c r="E45" s="84" t="str">
        <f t="shared" si="2"/>
        <v>1332</v>
      </c>
      <c r="F45" s="94" t="s">
        <v>28</v>
      </c>
      <c r="G45" s="65" t="str">
        <f>IFERROR(IF(VLOOKUP($E45,BDD!$A$1:$S$567,MATCH(G$10,BDD!$A$1:$P$1,0),FALSE)=0,"",VLOOKUP($E45,BDD!$A$1:$S$567,MATCH(G$10,BDD!$A$1:$P$1,0),FALSE)),"")</f>
        <v>Le plan de communication du numérique est aligné sur le plan de communication de l'organisation.</v>
      </c>
      <c r="H45" s="88" t="str">
        <f>IF(VLOOKUP(E45,BDD!$A$1:$S$567,15,FALSE)=0,"Critère non évalué","")</f>
        <v>Critère non évalué</v>
      </c>
      <c r="I45" s="64" t="str">
        <f>IFERROR(IF(VLOOKUP($E45,BDD!$A$1:$S$567,MATCH(I$10,BDD!$A$1:$P$1,0),FALSE)=0,"",VLOOKUP($E45,BDD!$A$1:$S$567,MATCH(I$10,BDD!$A$1:$P$1,0),FALSE)),"")</f>
        <v>N1</v>
      </c>
      <c r="J45" s="89"/>
      <c r="K45" s="65" t="str">
        <f>IFERROR(IF(VLOOKUP($E45,BDD!$A$1:$S$567,MATCH(K$10,BDD!$A$1:$P$1,0),FALSE)=0,"",VLOOKUP($E45,BDD!$A$1:$S$567,MATCH(K$10,BDD!$A$1:$P$1,0),FALSE)),"")</f>
        <v>• La communication de la DSI doit être pensée en cohérence avec la stratégie de communication globale. Cette cohérence est garante de son efficacité.</v>
      </c>
      <c r="L45" s="68"/>
      <c r="M45" s="90"/>
      <c r="N45" s="90"/>
      <c r="O45" s="68"/>
      <c r="P45" s="109"/>
    </row>
    <row r="46" spans="1:16" ht="130.05000000000001" customHeight="1" x14ac:dyDescent="0.3">
      <c r="A46" s="109"/>
      <c r="B46" s="68"/>
      <c r="C46" s="68" t="str">
        <f t="shared" si="0"/>
        <v>13</v>
      </c>
      <c r="D46" s="68">
        <f t="shared" si="1"/>
        <v>3</v>
      </c>
      <c r="E46" s="84" t="str">
        <f t="shared" si="2"/>
        <v>1333</v>
      </c>
      <c r="F46" s="66" t="s">
        <v>30</v>
      </c>
      <c r="G46" s="67" t="str">
        <f>IFERROR(IF(VLOOKUP($E46,BDD!$A$1:$S$567,MATCH(G$10,BDD!$A$1:$P$1,0),FALSE)=0,"",VLOOKUP($E46,BDD!$A$1:$S$567,MATCH(G$10,BDD!$A$1:$P$1,0),FALSE)),"")</f>
        <v>Le plan de communication différencie les populations ciblées (collaborateurs de la DSI, utilisateurs, métiers, externes à l'organisation) ainsi que les finalités de la communication.</v>
      </c>
      <c r="H46" s="85" t="str">
        <f>IF(VLOOKUP(E46,BDD!$A$1:$S$567,15,FALSE)=0,"Critère non évalué","")</f>
        <v>Critère non évalué</v>
      </c>
      <c r="I46" s="66" t="s">
        <v>22</v>
      </c>
      <c r="J46" s="86"/>
      <c r="K46" s="67" t="str">
        <f>IFERROR(IF(VLOOKUP($E46,BDD!$A$1:$S$567,MATCH(K$10,BDD!$A$1:$P$1,0),FALSE)=0,"",VLOOKUP($E46,BDD!$A$1:$S$567,MATCH(K$10,BDD!$A$1:$P$1,0),FALSE)),"")</f>
        <v>• La communication externe à l'organisation, lorsqu'elle porte sur le numérique, est intégrée au plan de communication global de l'organisation.
• Les communications différenciées comprennent notamment la promotion de nouveaux usages, (sensibilisation à la cybersécurité etc…)</v>
      </c>
      <c r="L46" s="68"/>
      <c r="M46" s="87"/>
      <c r="N46" s="87"/>
      <c r="O46" s="68"/>
      <c r="P46" s="109"/>
    </row>
    <row r="47" spans="1:16" ht="120" customHeight="1" x14ac:dyDescent="0.3">
      <c r="A47" s="109"/>
      <c r="B47" s="68"/>
      <c r="C47" s="68" t="str">
        <f t="shared" si="0"/>
        <v>13</v>
      </c>
      <c r="D47" s="68">
        <f t="shared" si="1"/>
        <v>3</v>
      </c>
      <c r="E47" s="84" t="str">
        <f t="shared" si="2"/>
        <v>1334</v>
      </c>
      <c r="F47" s="64" t="s">
        <v>32</v>
      </c>
      <c r="G47" s="96" t="str">
        <f>IFERROR(IF(VLOOKUP($E47,BDD!$A$1:$S$567,MATCH(G$10,BDD!$A$1:$P$1,0),FALSE)=0,"",VLOOKUP($E47,BDD!$A$1:$S$567,MATCH(G$10,BDD!$A$1:$P$1,0),FALSE)),"")</f>
        <v>Le plan de communication prend en compte les dimensions d'innovation, de transformation numérique, de cybersécurité, et de numérique responsable.</v>
      </c>
      <c r="H47" s="210" t="str">
        <f>IF(VLOOKUP(E47,BDD!$A$1:$S$567,15,FALSE)=0,"Critère non évalué","")</f>
        <v>Critère non évalué</v>
      </c>
      <c r="I47" s="64" t="s">
        <v>26</v>
      </c>
      <c r="J47" s="95"/>
      <c r="K47" s="96" t="str">
        <f>IFERROR(IF(VLOOKUP($E47,BDD!$A$1:$S$567,MATCH(K$10,BDD!$A$1:$P$1,0),FALSE)=0,"",VLOOKUP($E47,BDD!$A$1:$S$567,MATCH(K$10,BDD!$A$1:$P$1,0),FALSE)),"")</f>
        <v>• Chaque action de communication explicite la finalité d'une action ou d'un projet, c'est-à-dire sa contribution à la stratégie de l’organisation, en se basant sur des exemples concrets de réalisations et sur la valeur apportée.
• La DSI communique sur sa contribution à la politique RSE de l’organisation (mixité, handicap, environnement, énergie, etc.).</v>
      </c>
      <c r="L47" s="68"/>
      <c r="M47" s="90"/>
      <c r="N47" s="90"/>
      <c r="O47" s="68"/>
      <c r="P47" s="109"/>
    </row>
    <row r="48" spans="1:16" ht="130.05000000000001" customHeight="1" x14ac:dyDescent="0.3">
      <c r="A48" s="109"/>
      <c r="B48" s="68"/>
      <c r="C48" s="68" t="str">
        <f t="shared" si="0"/>
        <v>13</v>
      </c>
      <c r="D48" s="68">
        <f t="shared" si="1"/>
        <v>3</v>
      </c>
      <c r="E48" s="84" t="str">
        <f t="shared" si="2"/>
        <v>1335</v>
      </c>
      <c r="F48" s="66" t="s">
        <v>33</v>
      </c>
      <c r="G48" s="67" t="str">
        <f>IFERROR(IF(VLOOKUP($E48,BDD!$A$1:$S$567,MATCH(G$10,BDD!$A$1:$P$1,0),FALSE)=0,"",VLOOKUP($E48,BDD!$A$1:$S$567,MATCH(G$10,BDD!$A$1:$P$1,0),FALSE)),"")</f>
        <v>Les actions de communication et les moyens utilisés sont adaptés aux populations ciblées et à la finalité.</v>
      </c>
      <c r="H48" s="85" t="str">
        <f>IF(VLOOKUP(E48,BDD!$A$1:$S$567,15,FALSE)=0,"Critère non évalué","")</f>
        <v>Critère non évalué</v>
      </c>
      <c r="I48" s="66" t="s">
        <v>22</v>
      </c>
      <c r="J48" s="86"/>
      <c r="K48" s="67" t="str">
        <f>IFERROR(IF(VLOOKUP($E48,BDD!$A$1:$S$567,MATCH(K$10,BDD!$A$1:$P$1,0),FALSE)=0,"",VLOOKUP($E48,BDD!$A$1:$S$567,MATCH(K$10,BDD!$A$1:$P$1,0),FALSE)),"")</f>
        <v>• Les moyens de communication sont variés : diffusion d'information (mail, newsletter), animation de communautés, webinars, etc.
• La communication est proactive et qualitative.
• Différents canaux de communication sont mis en œuvre et utilisés en fonction de la typologie de communication et de la population cible, en privilégiant les canaux de communication internes habituels de l'organisation.</v>
      </c>
      <c r="L48" s="68"/>
      <c r="M48" s="87"/>
      <c r="N48" s="87"/>
      <c r="O48" s="68"/>
      <c r="P48" s="109"/>
    </row>
    <row r="49" spans="1:16" ht="184.8" customHeight="1" x14ac:dyDescent="0.3">
      <c r="A49" s="109"/>
      <c r="B49" s="68"/>
      <c r="C49" s="68" t="str">
        <f t="shared" si="0"/>
        <v>13</v>
      </c>
      <c r="D49" s="68">
        <f t="shared" si="1"/>
        <v>3</v>
      </c>
      <c r="E49" s="84" t="str">
        <f t="shared" si="2"/>
        <v>1336</v>
      </c>
      <c r="F49" s="64" t="s">
        <v>34</v>
      </c>
      <c r="G49" s="96" t="str">
        <f>IFERROR(IF(VLOOKUP($E49,BDD!$A$1:$S$567,MATCH(G$10,BDD!$A$1:$P$1,0),FALSE)=0,"",VLOOKUP($E49,BDD!$A$1:$S$567,MATCH(G$10,BDD!$A$1:$P$1,0),FALSE)),"")</f>
        <v>Des actions sont mises en place régulièrement afin de mesurer l’impact et l’efficacité de la communication, et ces mesures sont utilisées dans la mise à jour du plan de communication.</v>
      </c>
      <c r="H49" s="210" t="str">
        <f>IF(VLOOKUP(E49,BDD!$A$1:$S$567,15,FALSE)=0,"Critère non évalué","")</f>
        <v>Critère non évalué</v>
      </c>
      <c r="I49" s="64" t="s">
        <v>26</v>
      </c>
      <c r="J49" s="95"/>
      <c r="K49" s="96" t="str">
        <f>IFERROR(IF(VLOOKUP($E49,BDD!$A$1:$S$567,MATCH(K$10,BDD!$A$1:$P$1,0),FALSE)=0,"",VLOOKUP($E49,BDD!$A$1:$S$567,MATCH(K$10,BDD!$A$1:$P$1,0),FALSE)),"")</f>
        <v>• Des retours d’expérience permettent d’améliorer la communication.
• Des moyens d’évaluation spécifiques à la communication sont utilisés : enquêtes de perception, taux d’ouverture ou de participation, mesure de la compréhension des messages.
• La DSI communique sur sa contribution à la politique RSE de l’organisation (mixité, handicap, environnement, énergie, etc.).
• Les collaborateurs sont formés à la communication, notamment à la communication associée à la conduite du changement.
• La DSI participe à des événements externes (trophées, salons, conférences, etc.) qui contribuent à sa valorisation et à la reconnaissance de ses actions.
• Cas spécifique de la communication externe : le plan de communication et son exécution doivent être revus en fonction des exigences, contraintes, limites, définies par la direction de la communication de l'organisation (contraintes réglementaires, image de l'organisation, contraintes contextuelles...).</v>
      </c>
      <c r="L49" s="68"/>
      <c r="M49" s="90"/>
      <c r="N49" s="90"/>
      <c r="O49" s="68"/>
      <c r="P49" s="109"/>
    </row>
    <row r="50" spans="1:16" ht="130.05000000000001" customHeight="1" x14ac:dyDescent="0.3">
      <c r="A50" s="109"/>
      <c r="B50" s="68"/>
      <c r="C50" s="68" t="str">
        <f t="shared" si="0"/>
        <v>13</v>
      </c>
      <c r="D50" s="68">
        <f t="shared" si="1"/>
        <v>3</v>
      </c>
      <c r="E50" s="84" t="str">
        <f t="shared" si="2"/>
        <v>1337</v>
      </c>
      <c r="F50" s="66" t="s">
        <v>36</v>
      </c>
      <c r="G50" s="67" t="str">
        <f>IFERROR(IF(VLOOKUP($E50,BDD!$A$1:$S$567,MATCH(G$10,BDD!$A$1:$P$1,0),FALSE)=0,"",VLOOKUP($E50,BDD!$A$1:$S$567,MATCH(G$10,BDD!$A$1:$P$1,0),FALSE)),"")</f>
        <v>Le plan de communication est évolutif et peut être repensé au fil de l’eau. Des communications opportunistes peuvent être réalisées selon le contexte et les enjeux du moment.</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109"/>
    </row>
    <row r="51" spans="1:16" ht="120" customHeight="1" x14ac:dyDescent="0.3">
      <c r="A51" s="109"/>
      <c r="B51" s="68"/>
      <c r="C51" s="68" t="str">
        <f t="shared" si="0"/>
        <v>13</v>
      </c>
      <c r="D51" s="68">
        <f t="shared" ref="D51" si="3">IF(LEFT(F51,14)="Bonne pratique",D50+1,D50)</f>
        <v>3</v>
      </c>
      <c r="E51" s="84" t="str">
        <f t="shared" ref="E51" si="4">C51&amp;D51&amp;RIGHT(F51,1)</f>
        <v>1338</v>
      </c>
      <c r="F51" s="64" t="s">
        <v>641</v>
      </c>
      <c r="G51" s="96" t="str">
        <f>IFERROR(IF(VLOOKUP($E51,BDD!$A$1:$S$567,MATCH(G$10,BDD!$A$1:$P$1,0),FALSE)=0,"",VLOOKUP($E51,BDD!$A$1:$S$567,MATCH(G$10,BDD!$A$1:$P$1,0),FALSE)),"")</f>
        <v>Le plan de communication intègre la stratégie de participation à des événements externes afin d’assurer la visibilité et la mise en valeur du numérique au sein de l’organisation.</v>
      </c>
      <c r="H51" s="210" t="str">
        <f>IF(VLOOKUP(E51,BDD!$A$1:$S$567,15,FALSE)=0,"Critère non évalué","")</f>
        <v>Critère non évalué</v>
      </c>
      <c r="I51" s="64" t="s">
        <v>26</v>
      </c>
      <c r="J51" s="95"/>
      <c r="K51" s="96" t="str">
        <f>IFERROR(IF(VLOOKUP($E51,BDD!$A$1:$S$567,MATCH(K$10,BDD!$A$1:$P$1,0),FALSE)=0,"",VLOOKUP($E51,BDD!$A$1:$S$567,MATCH(K$10,BDD!$A$1:$P$1,0),FALSE)),"")</f>
        <v/>
      </c>
      <c r="L51" s="68"/>
      <c r="M51" s="90"/>
      <c r="N51" s="90"/>
      <c r="O51" s="68"/>
      <c r="P51" s="109"/>
    </row>
    <row r="52" spans="1:16" ht="38.4" customHeight="1" x14ac:dyDescent="0.3">
      <c r="A52" s="109"/>
      <c r="B52" s="68"/>
      <c r="C52" s="68" t="str">
        <f t="shared" si="0"/>
        <v>13</v>
      </c>
      <c r="D52" s="68">
        <f>IF(LEFT(F52,14)="Bonne pratique",D48+1,D48)</f>
        <v>3</v>
      </c>
      <c r="E52" s="84" t="str">
        <f t="shared" si="2"/>
        <v>133</v>
      </c>
      <c r="F52" s="68"/>
      <c r="G52" s="68"/>
      <c r="H52" s="68"/>
      <c r="I52" s="68"/>
      <c r="J52" s="68"/>
      <c r="K52" s="68"/>
      <c r="L52" s="68"/>
      <c r="M52" s="68"/>
      <c r="N52" s="68"/>
      <c r="O52" s="68"/>
      <c r="P52" s="109"/>
    </row>
    <row r="53" spans="1:16" ht="30" x14ac:dyDescent="0.5">
      <c r="A53" s="229"/>
      <c r="B53" s="74"/>
      <c r="C53" s="68" t="str">
        <f t="shared" si="0"/>
        <v>13</v>
      </c>
      <c r="D53" s="68">
        <f t="shared" si="1"/>
        <v>4</v>
      </c>
      <c r="E53" s="84" t="str">
        <f t="shared" si="2"/>
        <v>1344</v>
      </c>
      <c r="F53" s="208" t="s">
        <v>502</v>
      </c>
      <c r="G53" s="75"/>
      <c r="H53" s="205"/>
      <c r="I53" s="73"/>
      <c r="J53" s="73" t="str">
        <f>VLOOKUP(E60,BDD!$A$2:$N$567,6,FALSE)</f>
        <v>Situation de crise</v>
      </c>
      <c r="K53" s="72"/>
      <c r="L53" s="75"/>
      <c r="M53" s="75"/>
      <c r="N53" s="75"/>
      <c r="O53" s="74"/>
      <c r="P53" s="229"/>
    </row>
    <row r="54" spans="1:16" x14ac:dyDescent="0.3">
      <c r="A54" s="109"/>
      <c r="B54" s="68"/>
      <c r="C54" s="68" t="str">
        <f t="shared" si="0"/>
        <v>13</v>
      </c>
      <c r="D54" s="68">
        <f t="shared" si="1"/>
        <v>4</v>
      </c>
      <c r="E54" s="84" t="str">
        <f t="shared" si="2"/>
        <v>134</v>
      </c>
      <c r="F54" s="68"/>
      <c r="G54" s="68"/>
      <c r="H54" s="68"/>
      <c r="I54" s="68"/>
      <c r="J54" s="68"/>
      <c r="K54" s="68"/>
      <c r="L54" s="68"/>
      <c r="M54" s="68"/>
      <c r="N54" s="68"/>
      <c r="O54" s="68"/>
      <c r="P54" s="109"/>
    </row>
    <row r="55" spans="1:16" ht="18" x14ac:dyDescent="0.35">
      <c r="A55" s="230"/>
      <c r="B55" s="76"/>
      <c r="C55" s="68" t="str">
        <f t="shared" si="0"/>
        <v>13</v>
      </c>
      <c r="D55" s="68">
        <f t="shared" si="1"/>
        <v>4</v>
      </c>
      <c r="E55" s="84" t="str">
        <f t="shared" si="2"/>
        <v>134</v>
      </c>
      <c r="F55" s="76"/>
      <c r="G55" s="76"/>
      <c r="H55" s="76"/>
      <c r="I55" s="77"/>
      <c r="J55" s="207" t="str">
        <f>IFERROR(_xlfn.TEXTBEFORE(VLOOKUP(E60,BDD!$A$2:$N$567,7,FALSE)," ",30),VLOOKUP(E60,BDD!$A$2:$N$567,7,FALSE))</f>
        <v>Un plan de communication en cas de crise SI est formalisé et partagé en amont afin d’anticiper.</v>
      </c>
      <c r="K55" s="77"/>
      <c r="L55" s="76"/>
      <c r="M55" s="76"/>
      <c r="N55" s="76"/>
      <c r="O55" s="76"/>
      <c r="P55" s="230"/>
    </row>
    <row r="56" spans="1:16" ht="18" x14ac:dyDescent="0.35">
      <c r="A56" s="109"/>
      <c r="B56" s="68"/>
      <c r="C56" s="68" t="str">
        <f t="shared" si="0"/>
        <v>13</v>
      </c>
      <c r="D56" s="68">
        <f t="shared" si="1"/>
        <v>4</v>
      </c>
      <c r="E56" s="84" t="str">
        <f t="shared" si="2"/>
        <v>134</v>
      </c>
      <c r="F56" s="68"/>
      <c r="G56" s="68"/>
      <c r="H56" s="68"/>
      <c r="I56" s="68"/>
      <c r="J56" s="207" t="str">
        <f>IFERROR(_xlfn.TEXTAFTER(VLOOKUP(E60,BDD!$A$2:$N$567,7,FALSE)," ",30),"")</f>
        <v/>
      </c>
      <c r="K56" s="68"/>
      <c r="L56" s="68"/>
      <c r="M56" s="68"/>
      <c r="N56" s="68"/>
      <c r="O56" s="68"/>
      <c r="P56" s="109"/>
    </row>
    <row r="57" spans="1:16" x14ac:dyDescent="0.3">
      <c r="A57" s="109"/>
      <c r="B57" s="68"/>
      <c r="C57" s="68" t="str">
        <f t="shared" si="0"/>
        <v>13</v>
      </c>
      <c r="D57" s="68">
        <f t="shared" si="1"/>
        <v>4</v>
      </c>
      <c r="E57" s="84" t="str">
        <f t="shared" si="2"/>
        <v>134</v>
      </c>
      <c r="F57" s="68"/>
      <c r="G57" s="68"/>
      <c r="H57" s="68"/>
      <c r="I57" s="68"/>
      <c r="J57" s="78"/>
      <c r="K57" s="68"/>
      <c r="L57" s="68"/>
      <c r="M57" s="619" t="s">
        <v>92</v>
      </c>
      <c r="N57" s="619"/>
      <c r="O57" s="68"/>
      <c r="P57" s="109"/>
    </row>
    <row r="58" spans="1:16" ht="33" x14ac:dyDescent="0.3">
      <c r="A58" s="109"/>
      <c r="B58" s="68"/>
      <c r="C58" s="68" t="str">
        <f t="shared" si="0"/>
        <v>13</v>
      </c>
      <c r="D58" s="68">
        <f t="shared" si="1"/>
        <v>4</v>
      </c>
      <c r="E58" s="84" t="str">
        <f t="shared" si="2"/>
        <v>134</v>
      </c>
      <c r="F58" s="79"/>
      <c r="G58" s="80" t="s">
        <v>561</v>
      </c>
      <c r="H58" s="80" t="s">
        <v>82</v>
      </c>
      <c r="I58" s="80" t="s">
        <v>83</v>
      </c>
      <c r="J58" s="80" t="s">
        <v>84</v>
      </c>
      <c r="K58" s="80" t="s">
        <v>85</v>
      </c>
      <c r="L58" s="78"/>
      <c r="M58" s="81" t="s">
        <v>86</v>
      </c>
      <c r="N58" s="82" t="s">
        <v>87</v>
      </c>
      <c r="O58" s="68"/>
      <c r="P58" s="109"/>
    </row>
    <row r="59" spans="1:16" x14ac:dyDescent="0.3">
      <c r="A59" s="109"/>
      <c r="B59" s="68"/>
      <c r="C59" s="68" t="str">
        <f t="shared" si="0"/>
        <v>13</v>
      </c>
      <c r="D59" s="68">
        <f t="shared" si="1"/>
        <v>4</v>
      </c>
      <c r="E59" s="84" t="str">
        <f t="shared" si="2"/>
        <v>134</v>
      </c>
      <c r="F59" s="68"/>
      <c r="G59" s="83"/>
      <c r="H59" s="83"/>
      <c r="I59" s="83"/>
      <c r="J59" s="68"/>
      <c r="K59" s="83"/>
      <c r="L59" s="68"/>
      <c r="M59" s="68"/>
      <c r="N59" s="68"/>
      <c r="O59" s="68"/>
      <c r="P59" s="109"/>
    </row>
    <row r="60" spans="1:16" ht="130.05000000000001" customHeight="1" x14ac:dyDescent="0.3">
      <c r="A60" s="109"/>
      <c r="B60" s="68"/>
      <c r="C60" s="68" t="str">
        <f t="shared" si="0"/>
        <v>13</v>
      </c>
      <c r="D60" s="68">
        <f t="shared" si="1"/>
        <v>4</v>
      </c>
      <c r="E60" s="84" t="str">
        <f t="shared" si="2"/>
        <v>1341</v>
      </c>
      <c r="F60" s="66" t="s">
        <v>27</v>
      </c>
      <c r="G60" s="67" t="str">
        <f>IFERROR(IF(VLOOKUP($E60,BDD!$A$1:$S$567,MATCH(G$10,BDD!$A$1:$P$1,0),FALSE)=0,"",VLOOKUP($E60,BDD!$A$1:$S$567,MATCH(G$10,BDD!$A$1:$P$1,0),FALSE)),"")</f>
        <v>Une procédure de communication de crise SI est intégrée dans le dispositif global de gestion de crise de l'organisation. Elle prend en compte l'urgence et l'impact potentiel de la situation de crise.</v>
      </c>
      <c r="H60" s="85" t="str">
        <f>IF(VLOOKUP(E60,BDD!$A$1:$S$567,15,FALSE)=0,"Critère non évalué","")</f>
        <v>Critère non évalué</v>
      </c>
      <c r="I60" s="66" t="str">
        <f>IFERROR(IF(VLOOKUP($E60,BDD!$A$1:$S$567,MATCH(I$10,BDD!$A$1:$P$1,0),FALSE)=0,"",VLOOKUP($E60,BDD!$A$1:$S$567,MATCH(I$10,BDD!$A$1:$P$1,0),FALSE)),"")</f>
        <v>N1</v>
      </c>
      <c r="J60" s="86"/>
      <c r="K60" s="67" t="str">
        <f>IFERROR(IF(VLOOKUP($E60,BDD!$A$1:$S$567,MATCH(K$10,BDD!$A$1:$P$1,0),FALSE)=0,"",VLOOKUP($E60,BDD!$A$1:$S$567,MATCH(K$10,BDD!$A$1:$P$1,0),FALSE)),"")</f>
        <v>• Par « crise », on entend toute situation exceptionnelle affectant ou pouvant affecter le bon fonctionnement du SI ou de l’organisation.
• Compte tenu de la vitesse de l’impact potentiel, notamment en cas de cyberattaque, une réflexion préalable sur l'urgence de la réaction attendue doit avoir été menée.</v>
      </c>
      <c r="L60" s="68"/>
      <c r="M60" s="87"/>
      <c r="N60" s="87"/>
      <c r="O60" s="68"/>
      <c r="P60" s="109"/>
    </row>
    <row r="61" spans="1:16" ht="130.05000000000001" customHeight="1" x14ac:dyDescent="0.3">
      <c r="A61" s="109"/>
      <c r="B61" s="68"/>
      <c r="C61" s="68" t="str">
        <f t="shared" si="0"/>
        <v>13</v>
      </c>
      <c r="D61" s="68">
        <f t="shared" si="1"/>
        <v>4</v>
      </c>
      <c r="E61" s="84" t="str">
        <f t="shared" si="2"/>
        <v>1342</v>
      </c>
      <c r="F61" s="94" t="s">
        <v>28</v>
      </c>
      <c r="G61" s="65" t="str">
        <f>IFERROR(IF(VLOOKUP($E61,BDD!$A$1:$S$567,MATCH(G$10,BDD!$A$1:$P$1,0),FALSE)=0,"",VLOOKUP($E61,BDD!$A$1:$S$567,MATCH(G$10,BDD!$A$1:$P$1,0),FALSE)),"")</f>
        <v>Les risques majeurs susceptibles de conduire à une situation de crise font l'objet de scénarios identifiés qui détaillent les éléments de langage, les modalités de coordination et les actions de communication de crise entre les différents acteurs (SI, métiers, direction de la communication et dirigeants).</v>
      </c>
      <c r="H61" s="88" t="str">
        <f>IF(VLOOKUP(E61,BDD!$A$1:$S$567,15,FALSE)=0,"Critère non évalué","")</f>
        <v>Critère non évalué</v>
      </c>
      <c r="I61" s="64" t="str">
        <f>IFERROR(IF(VLOOKUP($E61,BDD!$A$1:$S$567,MATCH(I$10,BDD!$A$1:$P$1,0),FALSE)=0,"",VLOOKUP($E61,BDD!$A$1:$S$567,MATCH(I$10,BDD!$A$1:$P$1,0),FALSE)),"")</f>
        <v>N3</v>
      </c>
      <c r="J61" s="89"/>
      <c r="K61" s="65" t="str">
        <f>IFERROR(IF(VLOOKUP($E61,BDD!$A$1:$S$567,MATCH(K$10,BDD!$A$1:$P$1,0),FALSE)=0,"",VLOOKUP($E61,BDD!$A$1:$S$567,MATCH(K$10,BDD!$A$1:$P$1,0),FALSE)),"")</f>
        <v>• L'analyse des risques a été faite et les scénarios pour y faire face ont été préparés. La distinction entre incident « classique » et situation de crise est formalisée au moyen d’un arbre décisionnel (critères : délai, criticité, caractère exceptionnel de l’événement, etc.).
• Il est important de noter que certains scénarios sont soumis à des obligations réglementaires et nécessitent d’intégrer les parties prenantes dans le plan de communication.</v>
      </c>
      <c r="L61" s="68"/>
      <c r="M61" s="90"/>
      <c r="N61" s="90"/>
      <c r="O61" s="68"/>
      <c r="P61" s="109"/>
    </row>
    <row r="62" spans="1:16" ht="130.05000000000001" customHeight="1" x14ac:dyDescent="0.3">
      <c r="A62" s="109"/>
      <c r="B62" s="68"/>
      <c r="C62" s="68" t="str">
        <f t="shared" si="0"/>
        <v>13</v>
      </c>
      <c r="D62" s="68">
        <f>IF(LEFT(F62,14)="Bonne pratique",D61+1,D61)</f>
        <v>4</v>
      </c>
      <c r="E62" s="84" t="str">
        <f t="shared" si="2"/>
        <v>1343</v>
      </c>
      <c r="F62" s="66" t="s">
        <v>30</v>
      </c>
      <c r="G62" s="67" t="str">
        <f>IFERROR(IF(VLOOKUP($E62,BDD!$A$1:$S$567,MATCH(G$10,BDD!$A$1:$P$1,0),FALSE)=0,"",VLOOKUP($E62,BDD!$A$1:$S$567,MATCH(G$10,BDD!$A$1:$P$1,0),FALSE)),"")</f>
        <v>Les outils et ressources nécessaires sont mis en œuvre pour assurer la communication en temps de crise.</v>
      </c>
      <c r="H62" s="85" t="str">
        <f>IF(VLOOKUP(E62,BDD!$A$1:$S$567,15,FALSE)=0,"Critère non évalué","")</f>
        <v>Critère non évalué</v>
      </c>
      <c r="I62" s="66" t="str">
        <f>IFERROR(IF(VLOOKUP($E62,BDD!$A$1:$S$567,MATCH(I$10,BDD!$A$1:$P$1,0),FALSE)=0,"",VLOOKUP($E62,BDD!$A$1:$S$567,MATCH(I$10,BDD!$A$1:$P$1,0),FALSE)),"")</f>
        <v>N3</v>
      </c>
      <c r="J62" s="86"/>
      <c r="K62" s="67" t="str">
        <f>IFERROR(IF(VLOOKUP($E62,BDD!$A$1:$S$567,MATCH(K$10,BDD!$A$1:$P$1,0),FALSE)=0,"",VLOOKUP($E62,BDD!$A$1:$S$567,MATCH(K$10,BDD!$A$1:$P$1,0),FALSE)),"")</f>
        <v>• Afin de rendre la communication la plus efficiente possible, les outils et ressources adaptés sont identifiés, testés, disponibles et à jour, donc facilement activables, y compris en cas d’indisponibilité partielle ou totale des moyens habituels de communication (par exemple : absence d’e-mail ou d’accès Internet).</v>
      </c>
      <c r="L62" s="68"/>
      <c r="M62" s="87"/>
      <c r="N62" s="87"/>
      <c r="O62" s="68"/>
      <c r="P62" s="109"/>
    </row>
    <row r="63" spans="1:16" ht="130.05000000000001" customHeight="1" x14ac:dyDescent="0.3">
      <c r="A63" s="109"/>
      <c r="B63" s="68"/>
      <c r="C63" s="68" t="str">
        <f t="shared" si="0"/>
        <v>13</v>
      </c>
      <c r="D63" s="68">
        <f t="shared" si="1"/>
        <v>4</v>
      </c>
      <c r="E63" s="84" t="str">
        <f t="shared" si="2"/>
        <v>1344</v>
      </c>
      <c r="F63" s="64" t="s">
        <v>32</v>
      </c>
      <c r="G63" s="65" t="str">
        <f>IFERROR(IF(VLOOKUP($E63,BDD!$A$1:$S$567,MATCH(G$10,BDD!$A$1:$P$1,0),FALSE)=0,"",VLOOKUP($E63,BDD!$A$1:$S$567,MATCH(G$10,BDD!$A$1:$P$1,0),FALSE)),"")</f>
        <v>Le plan de communication est testé régulièrement dans le cadre d’exercices de simulation de crise.</v>
      </c>
      <c r="H63" s="88" t="str">
        <f>IF(VLOOKUP(E63,BDD!$A$1:$S$567,15,FALSE)=0,"Critère non évalué","")</f>
        <v>Critère non évalué</v>
      </c>
      <c r="I63" s="64" t="str">
        <f>IFERROR(IF(VLOOKUP($E63,BDD!$A$1:$S$567,MATCH(I$10,BDD!$A$1:$P$1,0),FALSE)=0,"",VLOOKUP($E63,BDD!$A$1:$S$567,MATCH(I$10,BDD!$A$1:$P$1,0),FALSE)),"")</f>
        <v>N4</v>
      </c>
      <c r="J63" s="91"/>
      <c r="K63" s="65" t="str">
        <f>IFERROR(IF(VLOOKUP($E63,BDD!$A$1:$S$567,MATCH(K$10,BDD!$A$1:$P$1,0),FALSE)=0,"",VLOOKUP($E63,BDD!$A$1:$S$567,MATCH(K$10,BDD!$A$1:$P$1,0),FALSE)),"")</f>
        <v/>
      </c>
      <c r="L63" s="68"/>
      <c r="M63" s="90"/>
      <c r="N63" s="90"/>
      <c r="O63" s="68"/>
      <c r="P63" s="109"/>
    </row>
    <row r="64" spans="1:16" ht="129.6" customHeight="1" x14ac:dyDescent="0.3">
      <c r="A64" s="109"/>
      <c r="B64" s="68"/>
      <c r="C64" s="68" t="str">
        <f t="shared" si="0"/>
        <v>13</v>
      </c>
      <c r="D64" s="68">
        <f t="shared" si="1"/>
        <v>4</v>
      </c>
      <c r="E64" s="84" t="str">
        <f t="shared" si="2"/>
        <v>1345</v>
      </c>
      <c r="F64" s="66" t="s">
        <v>33</v>
      </c>
      <c r="G64" s="67" t="str">
        <f>IFERROR(IF(VLOOKUP($E64,BDD!$A$1:$S$567,MATCH(G$10,BDD!$A$1:$P$1,0),FALSE)=0,"",VLOOKUP($E64,BDD!$A$1:$S$567,MATCH(G$10,BDD!$A$1:$P$1,0),FALSE)),"")</f>
        <v>Un retour d’expérience est systématiquement réalisé afin d’améliorer le plan et la procédure de communication de crise.</v>
      </c>
      <c r="H64" s="85" t="str">
        <f>IF(VLOOKUP(E64,BDD!$A$1:$S$567,15,FALSE)=0,"Critère non évalué","")</f>
        <v>Critère non évalué</v>
      </c>
      <c r="I64" s="66" t="str">
        <f>IFERROR(IF(VLOOKUP($E64,BDD!$A$1:$S$567,MATCH(I$10,BDD!$A$1:$P$1,0),FALSE)=0,"",VLOOKUP($E64,BDD!$A$1:$S$567,MATCH(I$10,BDD!$A$1:$P$1,0),FALSE)),"")</f>
        <v>N5</v>
      </c>
      <c r="J64" s="86"/>
      <c r="K64" s="67" t="str">
        <f>IFERROR(IF(VLOOKUP($E64,BDD!$A$1:$S$567,MATCH(K$10,BDD!$A$1:$P$1,0),FALSE)=0,"",VLOOKUP($E64,BDD!$A$1:$S$567,MATCH(K$10,BDD!$A$1:$P$1,0),FALSE)),"")</f>
        <v>• Cette démarche vise à renforcer l’efficacité de la gestion de crise dans une logique d’amélioration continue.</v>
      </c>
      <c r="L64" s="68"/>
      <c r="M64" s="82"/>
      <c r="N64" s="82"/>
      <c r="O64" s="68"/>
      <c r="P64" s="109"/>
    </row>
    <row r="65" spans="1:16" ht="129.6" hidden="1" customHeight="1" x14ac:dyDescent="0.3">
      <c r="A65" s="109"/>
      <c r="B65" s="68"/>
      <c r="C65" s="68" t="str">
        <f t="shared" si="0"/>
        <v>13</v>
      </c>
      <c r="D65" s="68">
        <f t="shared" si="1"/>
        <v>4</v>
      </c>
      <c r="E65" s="84" t="str">
        <f t="shared" si="2"/>
        <v>1346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c>
      <c r="J65" s="206"/>
      <c r="K65" s="96" t="str">
        <f>IFERROR(IF(VLOOKUP($E65,BDD!$A$1:$S$567,MATCH(K$10,BDD!$A$1:$P$1,0),FALSE)=0,"",VLOOKUP($E65,BDD!$A$1:$S$567,MATCH(K$10,BDD!$A$1:$P$1,0),FALSE)),"")</f>
        <v/>
      </c>
      <c r="L65" s="68"/>
      <c r="M65" s="90"/>
      <c r="N65" s="90"/>
      <c r="O65" s="68"/>
      <c r="P65" s="109"/>
    </row>
    <row r="66" spans="1:16" ht="129.6" hidden="1" customHeight="1" x14ac:dyDescent="0.3">
      <c r="A66" s="109"/>
      <c r="B66" s="68"/>
      <c r="C66" s="68" t="str">
        <f t="shared" si="0"/>
        <v>13</v>
      </c>
      <c r="D66" s="68">
        <f t="shared" si="1"/>
        <v>4</v>
      </c>
      <c r="E66" s="84" t="str">
        <f t="shared" si="2"/>
        <v>1347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c>
      <c r="J66" s="86"/>
      <c r="K66" s="67" t="str">
        <f>IFERROR(IF(VLOOKUP($E66,BDD!$A$1:$S$567,MATCH(K$10,BDD!$A$1:$P$1,0),FALSE)=0,"",VLOOKUP($E66,BDD!$A$1:$S$567,MATCH(K$10,BDD!$A$1:$P$1,0),FALSE)),"")</f>
        <v/>
      </c>
      <c r="L66" s="68"/>
      <c r="M66" s="82"/>
      <c r="N66" s="82"/>
      <c r="O66" s="68"/>
      <c r="P66" s="109"/>
    </row>
    <row r="67" spans="1:16" x14ac:dyDescent="0.3">
      <c r="A67" s="109"/>
      <c r="B67" s="68"/>
      <c r="C67" s="68" t="str">
        <f t="shared" si="0"/>
        <v>13</v>
      </c>
      <c r="D67" s="68">
        <f t="shared" si="1"/>
        <v>4</v>
      </c>
      <c r="E67" s="84" t="str">
        <f t="shared" si="2"/>
        <v>134</v>
      </c>
      <c r="F67" s="68"/>
      <c r="G67" s="68"/>
      <c r="H67" s="68"/>
      <c r="I67" s="68"/>
      <c r="J67" s="68"/>
      <c r="K67" s="68"/>
      <c r="L67" s="68"/>
      <c r="M67" s="68"/>
      <c r="N67" s="68"/>
      <c r="O67" s="68"/>
      <c r="P67" s="109"/>
    </row>
    <row r="68" spans="1:16" hidden="1" x14ac:dyDescent="0.3">
      <c r="A68" s="109"/>
      <c r="B68" s="68"/>
      <c r="C68" s="68" t="str">
        <f t="shared" si="0"/>
        <v>13</v>
      </c>
      <c r="D68" s="68"/>
      <c r="E68" s="84"/>
      <c r="F68" s="68"/>
      <c r="G68" s="68"/>
      <c r="H68" s="68"/>
      <c r="I68" s="68"/>
      <c r="J68" s="68"/>
      <c r="K68" s="68"/>
      <c r="L68" s="68"/>
      <c r="M68" s="68"/>
      <c r="N68" s="68"/>
      <c r="O68" s="68"/>
      <c r="P68" s="109"/>
    </row>
    <row r="69" spans="1:16" hidden="1" x14ac:dyDescent="0.3">
      <c r="A69" s="109"/>
      <c r="B69" s="68"/>
      <c r="C69" s="68" t="str">
        <f t="shared" si="0"/>
        <v>13</v>
      </c>
      <c r="D69" s="68"/>
      <c r="E69" s="84"/>
      <c r="F69" s="68"/>
      <c r="G69" s="68"/>
      <c r="H69" s="68"/>
      <c r="I69" s="68"/>
      <c r="J69" s="68"/>
      <c r="K69" s="68"/>
      <c r="L69" s="68"/>
      <c r="M69" s="68"/>
      <c r="N69" s="68"/>
      <c r="O69" s="68"/>
      <c r="P69" s="109"/>
    </row>
    <row r="70" spans="1:16" hidden="1" x14ac:dyDescent="0.3">
      <c r="A70" s="109"/>
      <c r="B70" s="68"/>
      <c r="C70" s="68" t="str">
        <f t="shared" ref="C70:C115" si="5">IF(LEFT(RIGHT($B$1,2),1)=" ",RIGHT($B$1,1),RIGHT($B$1,2))</f>
        <v>13</v>
      </c>
      <c r="D70" s="68"/>
      <c r="E70" s="84"/>
      <c r="F70" s="68"/>
      <c r="G70" s="68"/>
      <c r="H70" s="68"/>
      <c r="I70" s="68"/>
      <c r="J70" s="68"/>
      <c r="K70" s="68"/>
      <c r="L70" s="68"/>
      <c r="M70" s="68"/>
      <c r="N70" s="68"/>
      <c r="O70" s="68"/>
      <c r="P70" s="109"/>
    </row>
    <row r="71" spans="1:16" ht="30" hidden="1" x14ac:dyDescent="0.5">
      <c r="A71" s="229"/>
      <c r="B71" s="74"/>
      <c r="C71" s="68" t="str">
        <f t="shared" si="5"/>
        <v>13</v>
      </c>
      <c r="D71" s="68">
        <f>IF(LEFT(F71,14)="Bonne pratique",D67+1,D67)</f>
        <v>5</v>
      </c>
      <c r="E71" s="84" t="str">
        <f t="shared" si="2"/>
        <v>1355</v>
      </c>
      <c r="F71" s="208" t="s">
        <v>503</v>
      </c>
      <c r="G71" s="75"/>
      <c r="H71" s="205"/>
      <c r="I71" s="73"/>
      <c r="J71" s="73" t="e">
        <f>VLOOKUP(E78,BDD!$A$2:$N$567,6,FALSE)</f>
        <v>#N/A</v>
      </c>
      <c r="K71" s="72"/>
      <c r="L71" s="75"/>
      <c r="M71" s="75"/>
      <c r="N71" s="75"/>
      <c r="O71" s="74"/>
      <c r="P71" s="229"/>
    </row>
    <row r="72" spans="1:16" hidden="1" x14ac:dyDescent="0.3">
      <c r="A72" s="109"/>
      <c r="B72" s="68"/>
      <c r="C72" s="68" t="str">
        <f t="shared" si="5"/>
        <v>13</v>
      </c>
      <c r="D72" s="68">
        <f t="shared" ref="D72:D84" si="6">IF(LEFT(F72,14)="Bonne pratique",D71+1,D71)</f>
        <v>5</v>
      </c>
      <c r="E72" s="84" t="str">
        <f t="shared" si="2"/>
        <v>135</v>
      </c>
      <c r="F72" s="68"/>
      <c r="G72" s="68"/>
      <c r="H72" s="68"/>
      <c r="I72" s="68"/>
      <c r="J72" s="68"/>
      <c r="K72" s="68"/>
      <c r="L72" s="68"/>
      <c r="M72" s="68"/>
      <c r="N72" s="68"/>
      <c r="O72" s="68"/>
      <c r="P72" s="109"/>
    </row>
    <row r="73" spans="1:16" ht="18" hidden="1" x14ac:dyDescent="0.35">
      <c r="A73" s="230"/>
      <c r="B73" s="76"/>
      <c r="C73" s="68" t="str">
        <f t="shared" si="5"/>
        <v>13</v>
      </c>
      <c r="D73" s="68">
        <f t="shared" si="6"/>
        <v>5</v>
      </c>
      <c r="E73" s="84" t="str">
        <f t="shared" si="2"/>
        <v>135</v>
      </c>
      <c r="F73" s="76"/>
      <c r="G73" s="76"/>
      <c r="H73" s="76"/>
      <c r="I73" s="77"/>
      <c r="J73" s="207" t="e">
        <f>IFERROR(_xlfn.TEXTBEFORE(VLOOKUP(E78,BDD!$A$2:$N$567,7,FALSE)," ",30),VLOOKUP(E78,BDD!$A$2:$N$567,7,FALSE))</f>
        <v>#N/A</v>
      </c>
      <c r="K73" s="77"/>
      <c r="L73" s="76"/>
      <c r="M73" s="76"/>
      <c r="N73" s="76"/>
      <c r="O73" s="76"/>
      <c r="P73" s="230"/>
    </row>
    <row r="74" spans="1:16" ht="18" hidden="1" x14ac:dyDescent="0.35">
      <c r="A74" s="109"/>
      <c r="B74" s="68"/>
      <c r="C74" s="68" t="str">
        <f t="shared" si="5"/>
        <v>13</v>
      </c>
      <c r="D74" s="68">
        <f t="shared" si="6"/>
        <v>5</v>
      </c>
      <c r="E74" s="84" t="str">
        <f t="shared" si="2"/>
        <v>135</v>
      </c>
      <c r="F74" s="68"/>
      <c r="G74" s="68"/>
      <c r="H74" s="68"/>
      <c r="I74" s="68"/>
      <c r="J74" s="207" t="str">
        <f>IFERROR(_xlfn.TEXTAFTER(VLOOKUP(E78,BDD!$A$2:$N$567,7,FALSE)," ",30),"")</f>
        <v/>
      </c>
      <c r="K74" s="68"/>
      <c r="L74" s="68"/>
      <c r="M74" s="68"/>
      <c r="N74" s="68"/>
      <c r="O74" s="68"/>
      <c r="P74" s="109"/>
    </row>
    <row r="75" spans="1:16" hidden="1" x14ac:dyDescent="0.3">
      <c r="A75" s="109"/>
      <c r="B75" s="68"/>
      <c r="C75" s="68" t="str">
        <f t="shared" si="5"/>
        <v>13</v>
      </c>
      <c r="D75" s="68">
        <f t="shared" si="6"/>
        <v>5</v>
      </c>
      <c r="E75" s="84" t="str">
        <f t="shared" si="2"/>
        <v>135</v>
      </c>
      <c r="F75" s="68"/>
      <c r="G75" s="68"/>
      <c r="H75" s="68"/>
      <c r="I75" s="68"/>
      <c r="J75" s="78"/>
      <c r="K75" s="68"/>
      <c r="L75" s="68"/>
      <c r="M75" s="619" t="s">
        <v>92</v>
      </c>
      <c r="N75" s="619"/>
      <c r="O75" s="68"/>
      <c r="P75" s="109"/>
    </row>
    <row r="76" spans="1:16" ht="33" hidden="1" x14ac:dyDescent="0.3">
      <c r="A76" s="109"/>
      <c r="B76" s="68"/>
      <c r="C76" s="68" t="str">
        <f t="shared" si="5"/>
        <v>13</v>
      </c>
      <c r="D76" s="68">
        <f t="shared" si="6"/>
        <v>5</v>
      </c>
      <c r="E76" s="84" t="str">
        <f t="shared" si="2"/>
        <v>135</v>
      </c>
      <c r="F76" s="93"/>
      <c r="G76" s="80" t="s">
        <v>561</v>
      </c>
      <c r="H76" s="80" t="s">
        <v>82</v>
      </c>
      <c r="I76" s="80" t="s">
        <v>83</v>
      </c>
      <c r="J76" s="80" t="s">
        <v>84</v>
      </c>
      <c r="K76" s="80" t="s">
        <v>85</v>
      </c>
      <c r="L76" s="78"/>
      <c r="M76" s="81" t="s">
        <v>86</v>
      </c>
      <c r="N76" s="82" t="s">
        <v>87</v>
      </c>
      <c r="O76" s="68"/>
      <c r="P76" s="109"/>
    </row>
    <row r="77" spans="1:16" hidden="1" x14ac:dyDescent="0.3">
      <c r="A77" s="109"/>
      <c r="B77" s="68"/>
      <c r="C77" s="68" t="str">
        <f t="shared" si="5"/>
        <v>13</v>
      </c>
      <c r="D77" s="68">
        <f t="shared" si="6"/>
        <v>5</v>
      </c>
      <c r="E77" s="84" t="str">
        <f t="shared" si="2"/>
        <v>135</v>
      </c>
      <c r="F77" s="68"/>
      <c r="G77" s="83"/>
      <c r="H77" s="83"/>
      <c r="I77" s="83"/>
      <c r="J77" s="68"/>
      <c r="K77" s="83"/>
      <c r="L77" s="68"/>
      <c r="M77" s="68"/>
      <c r="N77" s="68"/>
      <c r="O77" s="68"/>
      <c r="P77" s="109"/>
    </row>
    <row r="78" spans="1:16" ht="130.05000000000001" hidden="1" customHeight="1" x14ac:dyDescent="0.3">
      <c r="A78" s="109"/>
      <c r="B78" s="68"/>
      <c r="C78" s="68" t="str">
        <f t="shared" si="5"/>
        <v>13</v>
      </c>
      <c r="D78" s="68">
        <f t="shared" si="6"/>
        <v>5</v>
      </c>
      <c r="E78" s="84" t="str">
        <f t="shared" si="2"/>
        <v>1351</v>
      </c>
      <c r="F78" s="66" t="s">
        <v>27</v>
      </c>
      <c r="G78" s="67" t="str">
        <f>IFERROR(IF(VLOOKUP($E78,BDD!$A$1:$S$567,MATCH(G$10,BDD!$A$1:$P$1,0),FALSE)=0,"",VLOOKUP($E78,BDD!$A$1:$S$567,MATCH(G$10,BDD!$A$1:$P$1,0),FALSE)),"")</f>
        <v/>
      </c>
      <c r="H78" s="85" t="e">
        <f>IF(VLOOKUP(E78,BDD!$A$1:$S$567,15,FALSE)=0,"Critère non évalué","")</f>
        <v>#N/A</v>
      </c>
      <c r="I78" s="66" t="str">
        <f>IFERROR(IF(VLOOKUP($E78,BDD!$A$1:$S$567,MATCH(I$10,BDD!$A$1:$P$1,0),FALSE)=0,"",VLOOKUP($E78,BDD!$A$1:$S$567,MATCH(I$10,BDD!$A$1:$P$1,0),FALSE)),"")</f>
        <v/>
      </c>
      <c r="J78" s="86"/>
      <c r="K78" s="67" t="str">
        <f>IFERROR(IF(VLOOKUP($E78,BDD!$A$1:$S$567,MATCH(K$10,BDD!$A$1:$P$1,0),FALSE)=0,"",VLOOKUP($E78,BDD!$A$1:$S$567,MATCH(K$10,BDD!$A$1:$P$1,0),FALSE)),"")</f>
        <v/>
      </c>
      <c r="L78" s="68"/>
      <c r="M78" s="87"/>
      <c r="N78" s="87"/>
      <c r="O78" s="68"/>
      <c r="P78" s="109"/>
    </row>
    <row r="79" spans="1:16" ht="130.05000000000001" hidden="1" customHeight="1" x14ac:dyDescent="0.3">
      <c r="A79" s="109"/>
      <c r="B79" s="68"/>
      <c r="C79" s="68" t="str">
        <f t="shared" si="5"/>
        <v>13</v>
      </c>
      <c r="D79" s="68">
        <f t="shared" si="6"/>
        <v>5</v>
      </c>
      <c r="E79" s="84" t="str">
        <f t="shared" si="2"/>
        <v>1352</v>
      </c>
      <c r="F79" s="94" t="s">
        <v>28</v>
      </c>
      <c r="G79" s="65" t="str">
        <f>IFERROR(IF(VLOOKUP($E79,BDD!$A$1:$S$567,MATCH(G$10,BDD!$A$1:$P$1,0),FALSE)=0,"",VLOOKUP($E79,BDD!$A$1:$S$567,MATCH(G$10,BDD!$A$1:$P$1,0),FALSE)),"")</f>
        <v/>
      </c>
      <c r="H79" s="88" t="e">
        <f>IF(VLOOKUP(E79,BDD!$A$1:$S$567,15,FALSE)=0,"Critère non évalué","")</f>
        <v>#N/A</v>
      </c>
      <c r="I79" s="64" t="str">
        <f>IFERROR(IF(VLOOKUP($E79,BDD!$A$1:$S$567,MATCH(I$10,BDD!$A$1:$P$1,0),FALSE)=0,"",VLOOKUP($E79,BDD!$A$1:$S$567,MATCH(I$10,BDD!$A$1:$P$1,0),FALSE)),"")</f>
        <v/>
      </c>
      <c r="J79" s="89"/>
      <c r="K79" s="65" t="str">
        <f>IFERROR(IF(VLOOKUP($E79,BDD!$A$1:$S$567,MATCH(K$10,BDD!$A$1:$P$1,0),FALSE)=0,"",VLOOKUP($E79,BDD!$A$1:$S$567,MATCH(K$10,BDD!$A$1:$P$1,0),FALSE)),"")</f>
        <v/>
      </c>
      <c r="L79" s="68"/>
      <c r="M79" s="90"/>
      <c r="N79" s="90"/>
      <c r="O79" s="68"/>
      <c r="P79" s="109"/>
    </row>
    <row r="80" spans="1:16" ht="130.05000000000001" hidden="1" customHeight="1" x14ac:dyDescent="0.3">
      <c r="A80" s="109"/>
      <c r="B80" s="68"/>
      <c r="C80" s="68" t="str">
        <f t="shared" si="5"/>
        <v>13</v>
      </c>
      <c r="D80" s="68">
        <f t="shared" si="6"/>
        <v>5</v>
      </c>
      <c r="E80" s="84" t="str">
        <f t="shared" si="2"/>
        <v>1353</v>
      </c>
      <c r="F80" s="66" t="s">
        <v>30</v>
      </c>
      <c r="G80" s="67" t="str">
        <f>IFERROR(IF(VLOOKUP($E80,BDD!$A$1:$S$567,MATCH(G$10,BDD!$A$1:$P$1,0),FALSE)=0,"",VLOOKUP($E80,BDD!$A$1:$S$567,MATCH(G$10,BDD!$A$1:$P$1,0),FALSE)),"")</f>
        <v/>
      </c>
      <c r="H80" s="85" t="e">
        <f>IF(VLOOKUP(E80,BDD!$A$1:$S$567,15,FALSE)=0,"Critère non évalué","")</f>
        <v>#N/A</v>
      </c>
      <c r="I80" s="66" t="str">
        <f>IFERROR(IF(VLOOKUP($E80,BDD!$A$1:$S$567,MATCH(I$10,BDD!$A$1:$P$1,0),FALSE)=0,"",VLOOKUP($E80,BDD!$A$1:$S$567,MATCH(I$10,BDD!$A$1:$P$1,0),FALSE)),"")</f>
        <v/>
      </c>
      <c r="J80" s="86"/>
      <c r="K80" s="67" t="str">
        <f>IFERROR(IF(VLOOKUP($E80,BDD!$A$1:$S$567,MATCH(K$10,BDD!$A$1:$P$1,0),FALSE)=0,"",VLOOKUP($E80,BDD!$A$1:$S$567,MATCH(K$10,BDD!$A$1:$P$1,0),FALSE)),"")</f>
        <v/>
      </c>
      <c r="L80" s="68"/>
      <c r="M80" s="87"/>
      <c r="N80" s="87"/>
      <c r="O80" s="68"/>
      <c r="P80" s="109"/>
    </row>
    <row r="81" spans="1:16" ht="130.05000000000001" hidden="1" customHeight="1" x14ac:dyDescent="0.3">
      <c r="A81" s="109"/>
      <c r="B81" s="68"/>
      <c r="C81" s="68" t="str">
        <f t="shared" si="5"/>
        <v>13</v>
      </c>
      <c r="D81" s="68">
        <f t="shared" si="6"/>
        <v>5</v>
      </c>
      <c r="E81" s="84" t="str">
        <f t="shared" si="2"/>
        <v>1354</v>
      </c>
      <c r="F81" s="64" t="s">
        <v>32</v>
      </c>
      <c r="G81" s="65" t="str">
        <f>IFERROR(IF(VLOOKUP($E81,BDD!$A$1:$S$567,MATCH(G$10,BDD!$A$1:$P$1,0),FALSE)=0,"",VLOOKUP($E81,BDD!$A$1:$S$567,MATCH(G$10,BDD!$A$1:$P$1,0),FALSE)),"")</f>
        <v/>
      </c>
      <c r="H81" s="88" t="e">
        <f>IF(VLOOKUP(E81,BDD!$A$1:$S$567,15,FALSE)=0,"Critère non évalué","")</f>
        <v>#N/A</v>
      </c>
      <c r="I81" s="64" t="str">
        <f>IFERROR(IF(VLOOKUP($E81,BDD!$A$1:$S$567,MATCH(I$10,BDD!$A$1:$P$1,0),FALSE)=0,"",VLOOKUP($E81,BDD!$A$1:$S$567,MATCH(I$10,BDD!$A$1:$P$1,0),FALSE)),"")</f>
        <v/>
      </c>
      <c r="J81" s="91"/>
      <c r="K81" s="65" t="str">
        <f>IFERROR(IF(VLOOKUP($E81,BDD!$A$1:$S$567,MATCH(K$10,BDD!$A$1:$P$1,0),FALSE)=0,"",VLOOKUP($E81,BDD!$A$1:$S$567,MATCH(K$10,BDD!$A$1:$P$1,0),FALSE)),"")</f>
        <v/>
      </c>
      <c r="L81" s="68"/>
      <c r="M81" s="90"/>
      <c r="N81" s="90"/>
      <c r="O81" s="68"/>
      <c r="P81" s="109"/>
    </row>
    <row r="82" spans="1:16" ht="130.05000000000001" hidden="1" customHeight="1" x14ac:dyDescent="0.3">
      <c r="A82" s="109"/>
      <c r="B82" s="68"/>
      <c r="C82" s="68" t="str">
        <f t="shared" si="5"/>
        <v>13</v>
      </c>
      <c r="D82" s="68">
        <f t="shared" si="6"/>
        <v>5</v>
      </c>
      <c r="E82" s="84" t="str">
        <f t="shared" si="2"/>
        <v>1355</v>
      </c>
      <c r="F82" s="66" t="s">
        <v>33</v>
      </c>
      <c r="G82" s="67" t="str">
        <f>IFERROR(IF(VLOOKUP($E82,BDD!$A$1:$S$567,MATCH(G$10,BDD!$A$1:$P$1,0),FALSE)=0,"",VLOOKUP($E82,BDD!$A$1:$S$567,MATCH(G$10,BDD!$A$1:$P$1,0),FALSE)),"")</f>
        <v/>
      </c>
      <c r="H82" s="85" t="e">
        <f>IF(VLOOKUP(E82,BDD!$A$1:$S$567,15,FALSE)=0,"Critère non évalué","")</f>
        <v>#N/A</v>
      </c>
      <c r="I82" s="66" t="str">
        <f>IFERROR(IF(VLOOKUP($E82,BDD!$A$1:$S$567,MATCH(I$10,BDD!$A$1:$P$1,0),FALSE)=0,"",VLOOKUP($E82,BDD!$A$1:$S$567,MATCH(I$10,BDD!$A$1:$P$1,0),FALSE)),"")</f>
        <v/>
      </c>
      <c r="J82" s="86"/>
      <c r="K82" s="67" t="str">
        <f>IFERROR(IF(VLOOKUP($E82,BDD!$A$1:$S$567,MATCH(K$10,BDD!$A$1:$P$1,0),FALSE)=0,"",VLOOKUP($E82,BDD!$A$1:$S$567,MATCH(K$10,BDD!$A$1:$P$1,0),FALSE)),"")</f>
        <v/>
      </c>
      <c r="L82" s="68"/>
      <c r="M82" s="82"/>
      <c r="N82" s="82"/>
      <c r="O82" s="68"/>
      <c r="P82" s="109"/>
    </row>
    <row r="83" spans="1:16" ht="130.05000000000001" hidden="1" customHeight="1" x14ac:dyDescent="0.3">
      <c r="A83" s="109"/>
      <c r="B83" s="68"/>
      <c r="C83" s="68" t="str">
        <f t="shared" si="5"/>
        <v>13</v>
      </c>
      <c r="D83" s="68">
        <f t="shared" si="6"/>
        <v>5</v>
      </c>
      <c r="E83" s="84" t="str">
        <f>C83&amp;D83&amp;RIGHT(F83,1)</f>
        <v>1356</v>
      </c>
      <c r="F83" s="64" t="s">
        <v>34</v>
      </c>
      <c r="G83" s="65" t="str">
        <f>IFERROR(IF(VLOOKUP($E83,BDD!$A$1:$S$567,MATCH(G$10,BDD!$A$1:$P$1,0),FALSE)=0,"",VLOOKUP($E83,BDD!$A$1:$S$567,MATCH(G$10,BDD!$A$1:$P$1,0),FALSE)),"")</f>
        <v/>
      </c>
      <c r="H83" s="88" t="e">
        <f>IF(VLOOKUP(E83,BDD!$A$1:$S$567,15,FALSE)=0,"Critère non évalué","")</f>
        <v>#N/A</v>
      </c>
      <c r="I83" s="64" t="str">
        <f>IFERROR(IF(VLOOKUP($E83,BDD!$A$1:$S$567,MATCH(I$10,BDD!$A$1:$P$1,0),FALSE)=0,"",VLOOKUP($E83,BDD!$A$1:$S$567,MATCH(I$10,BDD!$A$1:$P$1,0),FALSE)),"")</f>
        <v/>
      </c>
      <c r="J83" s="91"/>
      <c r="K83" s="65" t="str">
        <f>IFERROR(IF(VLOOKUP($E83,BDD!$A$1:$S$567,MATCH(K$10,BDD!$A$1:$P$1,0),FALSE)=0,"",VLOOKUP($E83,BDD!$A$1:$S$567,MATCH(K$10,BDD!$A$1:$P$1,0),FALSE)),"")</f>
        <v/>
      </c>
      <c r="L83" s="68"/>
      <c r="M83" s="90"/>
      <c r="N83" s="90"/>
      <c r="O83" s="68"/>
      <c r="P83" s="109"/>
    </row>
    <row r="84" spans="1:16" ht="130.05000000000001" hidden="1" customHeight="1" x14ac:dyDescent="0.3">
      <c r="A84" s="109"/>
      <c r="B84" s="68"/>
      <c r="C84" s="68" t="str">
        <f t="shared" si="5"/>
        <v>13</v>
      </c>
      <c r="D84" s="68">
        <f t="shared" si="6"/>
        <v>5</v>
      </c>
      <c r="E84" s="84" t="str">
        <f>C84&amp;D84&amp;RIGHT(F84,1)</f>
        <v>1357</v>
      </c>
      <c r="F84" s="66" t="s">
        <v>36</v>
      </c>
      <c r="G84" s="67" t="str">
        <f>IFERROR(IF(VLOOKUP($E84,BDD!$A$1:$S$567,MATCH(G$10,BDD!$A$1:$P$1,0),FALSE)=0,"",VLOOKUP($E84,BDD!$A$1:$S$567,MATCH(G$10,BDD!$A$1:$P$1,0),FALSE)),"")</f>
        <v/>
      </c>
      <c r="H84" s="85" t="e">
        <f>IF(VLOOKUP(E84,BDD!$A$1:$S$567,15,FALSE)=0,"Critère non évalué","")</f>
        <v>#N/A</v>
      </c>
      <c r="I84" s="66" t="str">
        <f>IFERROR(IF(VLOOKUP($E84,BDD!$A$1:$S$567,MATCH(I$10,BDD!$A$1:$P$1,0),FALSE)=0,"",VLOOKUP($E84,BDD!$A$1:$S$567,MATCH(I$10,BDD!$A$1:$P$1,0),FALSE)),"")</f>
        <v/>
      </c>
      <c r="J84" s="86"/>
      <c r="K84" s="67" t="str">
        <f>IFERROR(IF(VLOOKUP($E84,BDD!$A$1:$S$567,MATCH(K$10,BDD!$A$1:$P$1,0),FALSE)=0,"",VLOOKUP($E84,BDD!$A$1:$S$567,MATCH(K$10,BDD!$A$1:$P$1,0),FALSE)),"")</f>
        <v/>
      </c>
      <c r="L84" s="68"/>
      <c r="M84" s="82"/>
      <c r="N84" s="82"/>
      <c r="O84" s="68"/>
      <c r="P84" s="109"/>
    </row>
    <row r="85" spans="1:16" hidden="1" x14ac:dyDescent="0.3">
      <c r="A85" s="109"/>
      <c r="B85" s="68"/>
      <c r="C85" s="68" t="str">
        <f t="shared" si="5"/>
        <v>13</v>
      </c>
      <c r="D85" s="68"/>
      <c r="E85" s="68"/>
      <c r="F85" s="68"/>
      <c r="G85" s="68"/>
      <c r="H85" s="68"/>
      <c r="I85" s="68"/>
      <c r="J85" s="68"/>
      <c r="K85" s="68"/>
      <c r="L85" s="68"/>
      <c r="M85" s="68"/>
      <c r="N85" s="68"/>
      <c r="O85" s="68"/>
      <c r="P85" s="109"/>
    </row>
    <row r="86" spans="1:16" hidden="1" x14ac:dyDescent="0.3">
      <c r="A86" s="109"/>
      <c r="B86" s="68"/>
      <c r="C86" s="68" t="str">
        <f t="shared" si="5"/>
        <v>13</v>
      </c>
      <c r="D86" s="68"/>
      <c r="E86" s="68"/>
      <c r="F86" s="68"/>
      <c r="G86" s="68"/>
      <c r="H86" s="68"/>
      <c r="I86" s="68"/>
      <c r="J86" s="68"/>
      <c r="K86" s="68"/>
      <c r="L86" s="68"/>
      <c r="M86" s="68"/>
      <c r="N86" s="68"/>
      <c r="O86" s="68"/>
      <c r="P86" s="109"/>
    </row>
    <row r="87" spans="1:16" ht="30" hidden="1" x14ac:dyDescent="0.5">
      <c r="A87" s="229"/>
      <c r="B87" s="74"/>
      <c r="C87" s="68" t="str">
        <f t="shared" si="5"/>
        <v>13</v>
      </c>
      <c r="D87" s="68">
        <f>IF(LEFT(F87,14)="Bonne pratique",D83+1,D83)</f>
        <v>6</v>
      </c>
      <c r="E87" s="84" t="str">
        <f t="shared" ref="E87:E100" si="7">C87&amp;D87&amp;RIGHT(F87,1)</f>
        <v>1366</v>
      </c>
      <c r="F87" s="208" t="s">
        <v>556</v>
      </c>
      <c r="G87" s="75"/>
      <c r="H87" s="205"/>
      <c r="I87" s="73"/>
      <c r="J87" s="73" t="e">
        <f>VLOOKUP(E94,BDD!$A$2:$N$567,6,FALSE)</f>
        <v>#N/A</v>
      </c>
      <c r="K87" s="72"/>
      <c r="L87" s="75"/>
      <c r="M87" s="75"/>
      <c r="N87" s="75"/>
      <c r="O87" s="74"/>
      <c r="P87" s="229"/>
    </row>
    <row r="88" spans="1:16" hidden="1" x14ac:dyDescent="0.3">
      <c r="A88" s="109"/>
      <c r="B88" s="68"/>
      <c r="C88" s="68" t="str">
        <f t="shared" si="5"/>
        <v>13</v>
      </c>
      <c r="D88" s="68">
        <f t="shared" ref="D88:D100" si="8">IF(LEFT(F88,14)="Bonne pratique",D87+1,D87)</f>
        <v>6</v>
      </c>
      <c r="E88" s="84" t="str">
        <f t="shared" si="7"/>
        <v>136</v>
      </c>
      <c r="F88" s="68"/>
      <c r="G88" s="68"/>
      <c r="H88" s="68"/>
      <c r="I88" s="68"/>
      <c r="J88" s="68"/>
      <c r="K88" s="68"/>
      <c r="L88" s="68"/>
      <c r="M88" s="68"/>
      <c r="N88" s="68"/>
      <c r="O88" s="68"/>
      <c r="P88" s="109"/>
    </row>
    <row r="89" spans="1:16" ht="18" hidden="1" x14ac:dyDescent="0.35">
      <c r="A89" s="230"/>
      <c r="B89" s="76"/>
      <c r="C89" s="68" t="str">
        <f t="shared" si="5"/>
        <v>13</v>
      </c>
      <c r="D89" s="68">
        <f t="shared" si="8"/>
        <v>6</v>
      </c>
      <c r="E89" s="84" t="str">
        <f t="shared" si="7"/>
        <v>136</v>
      </c>
      <c r="F89" s="76"/>
      <c r="G89" s="76"/>
      <c r="H89" s="76"/>
      <c r="I89" s="77"/>
      <c r="J89" s="207" t="e">
        <f>IFERROR(_xlfn.TEXTBEFORE(VLOOKUP(E94,BDD!$A$2:$N$567,7,FALSE)," ",30),VLOOKUP(E94,BDD!$A$2:$N$567,7,FALSE))</f>
        <v>#N/A</v>
      </c>
      <c r="K89" s="77"/>
      <c r="L89" s="76"/>
      <c r="M89" s="76"/>
      <c r="N89" s="76"/>
      <c r="O89" s="76"/>
      <c r="P89" s="230"/>
    </row>
    <row r="90" spans="1:16" ht="18" hidden="1" x14ac:dyDescent="0.35">
      <c r="A90" s="109"/>
      <c r="B90" s="68"/>
      <c r="C90" s="68" t="str">
        <f t="shared" si="5"/>
        <v>13</v>
      </c>
      <c r="D90" s="68">
        <f t="shared" si="8"/>
        <v>6</v>
      </c>
      <c r="E90" s="84" t="str">
        <f t="shared" si="7"/>
        <v>136</v>
      </c>
      <c r="F90" s="68"/>
      <c r="G90" s="68"/>
      <c r="H90" s="68"/>
      <c r="I90" s="68"/>
      <c r="J90" s="207" t="str">
        <f>IFERROR(_xlfn.TEXTAFTER(VLOOKUP(E94,BDD!$A$2:$N$567,7,FALSE)," ",30),"")</f>
        <v/>
      </c>
      <c r="K90" s="68"/>
      <c r="L90" s="68"/>
      <c r="M90" s="68"/>
      <c r="N90" s="68"/>
      <c r="O90" s="68"/>
      <c r="P90" s="109"/>
    </row>
    <row r="91" spans="1:16" hidden="1" x14ac:dyDescent="0.3">
      <c r="A91" s="109"/>
      <c r="B91" s="68"/>
      <c r="C91" s="68" t="str">
        <f t="shared" si="5"/>
        <v>13</v>
      </c>
      <c r="D91" s="68">
        <f t="shared" si="8"/>
        <v>6</v>
      </c>
      <c r="E91" s="84" t="str">
        <f t="shared" si="7"/>
        <v>136</v>
      </c>
      <c r="F91" s="68"/>
      <c r="G91" s="68"/>
      <c r="H91" s="68"/>
      <c r="I91" s="68"/>
      <c r="J91" s="78"/>
      <c r="K91" s="68"/>
      <c r="L91" s="68"/>
      <c r="M91" s="619" t="s">
        <v>92</v>
      </c>
      <c r="N91" s="619"/>
      <c r="O91" s="68"/>
      <c r="P91" s="109"/>
    </row>
    <row r="92" spans="1:16" ht="33" hidden="1" x14ac:dyDescent="0.3">
      <c r="A92" s="109"/>
      <c r="B92" s="68"/>
      <c r="C92" s="68" t="str">
        <f t="shared" si="5"/>
        <v>13</v>
      </c>
      <c r="D92" s="68">
        <f t="shared" si="8"/>
        <v>6</v>
      </c>
      <c r="E92" s="84" t="str">
        <f t="shared" si="7"/>
        <v>136</v>
      </c>
      <c r="F92" s="93"/>
      <c r="G92" s="80" t="s">
        <v>561</v>
      </c>
      <c r="H92" s="80" t="s">
        <v>82</v>
      </c>
      <c r="I92" s="80" t="s">
        <v>83</v>
      </c>
      <c r="J92" s="80" t="s">
        <v>84</v>
      </c>
      <c r="K92" s="80" t="s">
        <v>85</v>
      </c>
      <c r="L92" s="78"/>
      <c r="M92" s="81" t="s">
        <v>86</v>
      </c>
      <c r="N92" s="82" t="s">
        <v>87</v>
      </c>
      <c r="O92" s="68"/>
      <c r="P92" s="109"/>
    </row>
    <row r="93" spans="1:16" hidden="1" x14ac:dyDescent="0.3">
      <c r="A93" s="109"/>
      <c r="B93" s="68"/>
      <c r="C93" s="68" t="str">
        <f t="shared" si="5"/>
        <v>13</v>
      </c>
      <c r="D93" s="68">
        <f t="shared" si="8"/>
        <v>6</v>
      </c>
      <c r="E93" s="84" t="str">
        <f t="shared" si="7"/>
        <v>136</v>
      </c>
      <c r="F93" s="68"/>
      <c r="G93" s="83"/>
      <c r="H93" s="83"/>
      <c r="I93" s="83"/>
      <c r="J93" s="68"/>
      <c r="K93" s="83"/>
      <c r="L93" s="68"/>
      <c r="M93" s="68"/>
      <c r="N93" s="68"/>
      <c r="O93" s="68"/>
      <c r="P93" s="109"/>
    </row>
    <row r="94" spans="1:16" ht="130.05000000000001" hidden="1" customHeight="1" x14ac:dyDescent="0.3">
      <c r="A94" s="109"/>
      <c r="B94" s="68"/>
      <c r="C94" s="68" t="str">
        <f t="shared" si="5"/>
        <v>13</v>
      </c>
      <c r="D94" s="68">
        <f t="shared" si="8"/>
        <v>6</v>
      </c>
      <c r="E94" s="84" t="str">
        <f t="shared" si="7"/>
        <v>1361</v>
      </c>
      <c r="F94" s="66" t="s">
        <v>27</v>
      </c>
      <c r="G94" s="67" t="str">
        <f>IFERROR(IF(VLOOKUP($E94,BDD!$A$1:$S$567,MATCH(G$10,BDD!$A$1:$P$1,0),FALSE)=0,"",VLOOKUP($E94,BDD!$A$1:$S$567,MATCH(G$10,BDD!$A$1:$P$1,0),FALSE)),"")</f>
        <v/>
      </c>
      <c r="H94" s="85" t="e">
        <f>IF(VLOOKUP(E94,BDD!$A$1:$S$567,15,FALSE)=0,"Critère non évalué","")</f>
        <v>#N/A</v>
      </c>
      <c r="I94" s="66" t="str">
        <f>IFERROR(IF(VLOOKUP($E94,BDD!$A$1:$S$567,MATCH(I$10,BDD!$A$1:$P$1,0),FALSE)=0,"",VLOOKUP($E94,BDD!$A$1:$S$567,MATCH(I$10,BDD!$A$1:$P$1,0),FALSE)),"")</f>
        <v/>
      </c>
      <c r="J94" s="86"/>
      <c r="K94" s="67" t="str">
        <f>IFERROR(IF(VLOOKUP($E94,BDD!$A$1:$S$567,MATCH(K$10,BDD!$A$1:$P$1,0),FALSE)=0,"",VLOOKUP($E94,BDD!$A$1:$S$567,MATCH(K$10,BDD!$A$1:$P$1,0),FALSE)),"")</f>
        <v/>
      </c>
      <c r="L94" s="68"/>
      <c r="M94" s="87"/>
      <c r="N94" s="87"/>
      <c r="O94" s="68"/>
      <c r="P94" s="109"/>
    </row>
    <row r="95" spans="1:16" ht="130.05000000000001" hidden="1" customHeight="1" x14ac:dyDescent="0.3">
      <c r="A95" s="109"/>
      <c r="B95" s="68"/>
      <c r="C95" s="68" t="str">
        <f t="shared" si="5"/>
        <v>13</v>
      </c>
      <c r="D95" s="68">
        <f t="shared" si="8"/>
        <v>6</v>
      </c>
      <c r="E95" s="84" t="str">
        <f t="shared" si="7"/>
        <v>1362</v>
      </c>
      <c r="F95" s="94" t="s">
        <v>28</v>
      </c>
      <c r="G95" s="65" t="str">
        <f>IFERROR(IF(VLOOKUP($E95,BDD!$A$1:$S$567,MATCH(G$10,BDD!$A$1:$P$1,0),FALSE)=0,"",VLOOKUP($E95,BDD!$A$1:$S$567,MATCH(G$10,BDD!$A$1:$P$1,0),FALSE)),"")</f>
        <v/>
      </c>
      <c r="H95" s="88" t="e">
        <f>IF(VLOOKUP(E95,BDD!$A$1:$S$567,15,FALSE)=0,"Critère non évalué","")</f>
        <v>#N/A</v>
      </c>
      <c r="I95" s="64" t="str">
        <f>IFERROR(IF(VLOOKUP($E95,BDD!$A$1:$S$567,MATCH(I$10,BDD!$A$1:$P$1,0),FALSE)=0,"",VLOOKUP($E95,BDD!$A$1:$S$567,MATCH(I$10,BDD!$A$1:$P$1,0),FALSE)),"")</f>
        <v/>
      </c>
      <c r="J95" s="89"/>
      <c r="K95" s="65" t="str">
        <f>IFERROR(IF(VLOOKUP($E95,BDD!$A$1:$S$567,MATCH(K$10,BDD!$A$1:$P$1,0),FALSE)=0,"",VLOOKUP($E95,BDD!$A$1:$S$567,MATCH(K$10,BDD!$A$1:$P$1,0),FALSE)),"")</f>
        <v/>
      </c>
      <c r="L95" s="68"/>
      <c r="M95" s="90"/>
      <c r="N95" s="90"/>
      <c r="O95" s="68"/>
      <c r="P95" s="109"/>
    </row>
    <row r="96" spans="1:16" ht="130.05000000000001" hidden="1" customHeight="1" x14ac:dyDescent="0.3">
      <c r="A96" s="109"/>
      <c r="B96" s="68"/>
      <c r="C96" s="68" t="str">
        <f t="shared" si="5"/>
        <v>13</v>
      </c>
      <c r="D96" s="68">
        <f t="shared" si="8"/>
        <v>6</v>
      </c>
      <c r="E96" s="84" t="str">
        <f t="shared" si="7"/>
        <v>1363</v>
      </c>
      <c r="F96" s="66" t="s">
        <v>30</v>
      </c>
      <c r="G96" s="67" t="str">
        <f>IFERROR(IF(VLOOKUP($E96,BDD!$A$1:$S$567,MATCH(G$10,BDD!$A$1:$P$1,0),FALSE)=0,"",VLOOKUP($E96,BDD!$A$1:$S$567,MATCH(G$10,BDD!$A$1:$P$1,0),FALSE)),"")</f>
        <v/>
      </c>
      <c r="H96" s="85" t="e">
        <f>IF(VLOOKUP(E96,BDD!$A$1:$S$567,15,FALSE)=0,"Critère non évalué","")</f>
        <v>#N/A</v>
      </c>
      <c r="I96" s="66" t="str">
        <f>IFERROR(IF(VLOOKUP($E96,BDD!$A$1:$S$567,MATCH(I$10,BDD!$A$1:$P$1,0),FALSE)=0,"",VLOOKUP($E96,BDD!$A$1:$S$567,MATCH(I$10,BDD!$A$1:$P$1,0),FALSE)),"")</f>
        <v/>
      </c>
      <c r="J96" s="86"/>
      <c r="K96" s="67" t="str">
        <f>IFERROR(IF(VLOOKUP($E96,BDD!$A$1:$S$567,MATCH(K$10,BDD!$A$1:$P$1,0),FALSE)=0,"",VLOOKUP($E96,BDD!$A$1:$S$567,MATCH(K$10,BDD!$A$1:$P$1,0),FALSE)),"")</f>
        <v/>
      </c>
      <c r="L96" s="68"/>
      <c r="M96" s="87"/>
      <c r="N96" s="87"/>
      <c r="O96" s="68"/>
      <c r="P96" s="109"/>
    </row>
    <row r="97" spans="1:16" ht="130.05000000000001" hidden="1" customHeight="1" x14ac:dyDescent="0.3">
      <c r="A97" s="109"/>
      <c r="B97" s="68"/>
      <c r="C97" s="68" t="str">
        <f t="shared" si="5"/>
        <v>13</v>
      </c>
      <c r="D97" s="68">
        <f t="shared" si="8"/>
        <v>6</v>
      </c>
      <c r="E97" s="84" t="str">
        <f t="shared" si="7"/>
        <v>1364</v>
      </c>
      <c r="F97" s="64" t="s">
        <v>32</v>
      </c>
      <c r="G97" s="65" t="str">
        <f>IFERROR(IF(VLOOKUP($E97,BDD!$A$1:$S$567,MATCH(G$10,BDD!$A$1:$P$1,0),FALSE)=0,"",VLOOKUP($E97,BDD!$A$1:$S$567,MATCH(G$10,BDD!$A$1:$P$1,0),FALSE)),"")</f>
        <v/>
      </c>
      <c r="H97" s="88" t="e">
        <f>IF(VLOOKUP(E97,BDD!$A$1:$S$567,15,FALSE)=0,"Critère non évalué","")</f>
        <v>#N/A</v>
      </c>
      <c r="I97" s="64" t="str">
        <f>IFERROR(IF(VLOOKUP($E97,BDD!$A$1:$S$567,MATCH(I$10,BDD!$A$1:$P$1,0),FALSE)=0,"",VLOOKUP($E97,BDD!$A$1:$S$567,MATCH(I$10,BDD!$A$1:$P$1,0),FALSE)),"")</f>
        <v/>
      </c>
      <c r="J97" s="91"/>
      <c r="K97" s="65" t="str">
        <f>IFERROR(IF(VLOOKUP($E97,BDD!$A$1:$S$567,MATCH(K$10,BDD!$A$1:$P$1,0),FALSE)=0,"",VLOOKUP($E97,BDD!$A$1:$S$567,MATCH(K$10,BDD!$A$1:$P$1,0),FALSE)),"")</f>
        <v/>
      </c>
      <c r="L97" s="68"/>
      <c r="M97" s="90"/>
      <c r="N97" s="90"/>
      <c r="O97" s="68"/>
      <c r="P97" s="109"/>
    </row>
    <row r="98" spans="1:16" ht="130.05000000000001" hidden="1" customHeight="1" x14ac:dyDescent="0.3">
      <c r="A98" s="109"/>
      <c r="B98" s="68"/>
      <c r="C98" s="68" t="str">
        <f t="shared" si="5"/>
        <v>13</v>
      </c>
      <c r="D98" s="68">
        <f t="shared" si="8"/>
        <v>6</v>
      </c>
      <c r="E98" s="84" t="str">
        <f t="shared" si="7"/>
        <v>1365</v>
      </c>
      <c r="F98" s="66" t="s">
        <v>33</v>
      </c>
      <c r="G98" s="67" t="str">
        <f>IFERROR(IF(VLOOKUP($E98,BDD!$A$1:$S$567,MATCH(G$10,BDD!$A$1:$P$1,0),FALSE)=0,"",VLOOKUP($E98,BDD!$A$1:$S$567,MATCH(G$10,BDD!$A$1:$P$1,0),FALSE)),"")</f>
        <v/>
      </c>
      <c r="H98" s="85" t="e">
        <f>IF(VLOOKUP(E98,BDD!$A$1:$S$567,15,FALSE)=0,"Critère non évalué","")</f>
        <v>#N/A</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109"/>
    </row>
    <row r="99" spans="1:16" ht="130.05000000000001" hidden="1" customHeight="1" x14ac:dyDescent="0.3">
      <c r="A99" s="109"/>
      <c r="B99" s="68"/>
      <c r="C99" s="68" t="str">
        <f t="shared" si="5"/>
        <v>13</v>
      </c>
      <c r="D99" s="68">
        <f t="shared" si="8"/>
        <v>6</v>
      </c>
      <c r="E99" s="84" t="str">
        <f t="shared" si="7"/>
        <v>1366</v>
      </c>
      <c r="F99" s="64" t="s">
        <v>34</v>
      </c>
      <c r="G99" s="65" t="str">
        <f>IFERROR(IF(VLOOKUP($E99,BDD!$A$1:$S$567,MATCH(G$10,BDD!$A$1:$P$1,0),FALSE)=0,"",VLOOKUP($E99,BDD!$A$1:$S$567,MATCH(G$10,BDD!$A$1:$P$1,0),FALSE)),"")</f>
        <v/>
      </c>
      <c r="H99" s="88" t="e">
        <f>IF(VLOOKUP(E99,BDD!$A$1:$S$567,15,FALSE)=0,"Critère non évalué","")</f>
        <v>#N/A</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109"/>
    </row>
    <row r="100" spans="1:16" ht="130.05000000000001" hidden="1" customHeight="1" x14ac:dyDescent="0.3">
      <c r="A100" s="109"/>
      <c r="B100" s="68"/>
      <c r="C100" s="68" t="str">
        <f t="shared" si="5"/>
        <v>13</v>
      </c>
      <c r="D100" s="68">
        <f t="shared" si="8"/>
        <v>6</v>
      </c>
      <c r="E100" s="84" t="str">
        <f t="shared" si="7"/>
        <v>1367</v>
      </c>
      <c r="F100" s="66" t="s">
        <v>36</v>
      </c>
      <c r="G100" s="67" t="str">
        <f>IFERROR(IF(VLOOKUP($E100,BDD!$A$1:$S$567,MATCH(G$10,BDD!$A$1:$P$1,0),FALSE)=0,"",VLOOKUP($E100,BDD!$A$1:$S$567,MATCH(G$10,BDD!$A$1:$P$1,0),FALSE)),"")</f>
        <v/>
      </c>
      <c r="H100" s="85" t="e">
        <f>IF(VLOOKUP(E100,BDD!$A$1:$S$567,15,FALSE)=0,"Critère non évalué","")</f>
        <v>#N/A</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109"/>
    </row>
    <row r="101" spans="1:16" hidden="1" x14ac:dyDescent="0.3">
      <c r="A101" s="109"/>
      <c r="B101" s="68"/>
      <c r="C101" s="68" t="str">
        <f t="shared" si="5"/>
        <v>13</v>
      </c>
      <c r="D101" s="68"/>
      <c r="E101" s="68"/>
      <c r="F101" s="68"/>
      <c r="G101" s="68"/>
      <c r="H101" s="68"/>
      <c r="I101" s="68"/>
      <c r="J101" s="68"/>
      <c r="K101" s="68"/>
      <c r="L101" s="68"/>
      <c r="M101" s="68"/>
      <c r="N101" s="68"/>
      <c r="O101" s="68"/>
      <c r="P101" s="109"/>
    </row>
    <row r="102" spans="1:16" hidden="1" x14ac:dyDescent="0.3">
      <c r="A102" s="109"/>
      <c r="B102" s="68"/>
      <c r="C102" s="68" t="str">
        <f t="shared" si="5"/>
        <v>13</v>
      </c>
      <c r="D102" s="68"/>
      <c r="E102" s="68"/>
      <c r="F102" s="68"/>
      <c r="G102" s="68"/>
      <c r="H102" s="68"/>
      <c r="I102" s="68"/>
      <c r="J102" s="68"/>
      <c r="K102" s="68"/>
      <c r="L102" s="68"/>
      <c r="M102" s="68"/>
      <c r="N102" s="68"/>
      <c r="O102" s="68"/>
      <c r="P102" s="109"/>
    </row>
    <row r="103" spans="1:16" ht="30" hidden="1" x14ac:dyDescent="0.5">
      <c r="A103" s="229"/>
      <c r="B103" s="74"/>
      <c r="C103" s="68" t="str">
        <f t="shared" si="5"/>
        <v>13</v>
      </c>
      <c r="D103" s="68">
        <f>IF(LEFT(F103,14)="Bonne pratique",D99+1,D99)</f>
        <v>7</v>
      </c>
      <c r="E103" s="84" t="str">
        <f t="shared" ref="E103:E116" si="9">C103&amp;D103&amp;RIGHT(F103,1)</f>
        <v>1377</v>
      </c>
      <c r="F103" s="208" t="s">
        <v>557</v>
      </c>
      <c r="G103" s="75"/>
      <c r="H103" s="205"/>
      <c r="I103" s="73"/>
      <c r="J103" s="73" t="e">
        <f>VLOOKUP(E110,BDD!$A$2:$N$567,6,FALSE)</f>
        <v>#N/A</v>
      </c>
      <c r="K103" s="72"/>
      <c r="L103" s="75"/>
      <c r="M103" s="75"/>
      <c r="N103" s="75"/>
      <c r="O103" s="74"/>
      <c r="P103" s="229"/>
    </row>
    <row r="104" spans="1:16" hidden="1" x14ac:dyDescent="0.3">
      <c r="A104" s="109"/>
      <c r="B104" s="68"/>
      <c r="C104" s="68" t="str">
        <f t="shared" si="5"/>
        <v>13</v>
      </c>
      <c r="D104" s="68">
        <f t="shared" ref="D104:D116" si="10">IF(LEFT(F104,14)="Bonne pratique",D103+1,D103)</f>
        <v>7</v>
      </c>
      <c r="E104" s="84" t="str">
        <f t="shared" si="9"/>
        <v>137</v>
      </c>
      <c r="F104" s="68"/>
      <c r="G104" s="68"/>
      <c r="H104" s="68"/>
      <c r="I104" s="68"/>
      <c r="J104" s="68"/>
      <c r="K104" s="68"/>
      <c r="L104" s="68"/>
      <c r="M104" s="68"/>
      <c r="N104" s="68"/>
      <c r="O104" s="68"/>
      <c r="P104" s="109"/>
    </row>
    <row r="105" spans="1:16" ht="18" hidden="1" x14ac:dyDescent="0.35">
      <c r="A105" s="230"/>
      <c r="B105" s="76"/>
      <c r="C105" s="68" t="str">
        <f t="shared" si="5"/>
        <v>13</v>
      </c>
      <c r="D105" s="68">
        <f t="shared" si="10"/>
        <v>7</v>
      </c>
      <c r="E105" s="84" t="str">
        <f t="shared" si="9"/>
        <v>137</v>
      </c>
      <c r="F105" s="76"/>
      <c r="G105" s="76"/>
      <c r="H105" s="76"/>
      <c r="I105" s="77"/>
      <c r="J105" s="207" t="e">
        <f>IFERROR(_xlfn.TEXTBEFORE(VLOOKUP(E110,BDD!$A$2:$N$567,7,FALSE)," ",30),VLOOKUP(E110,BDD!$A$2:$N$567,7,FALSE))</f>
        <v>#N/A</v>
      </c>
      <c r="K105" s="77"/>
      <c r="L105" s="76"/>
      <c r="M105" s="76"/>
      <c r="N105" s="76"/>
      <c r="O105" s="76"/>
      <c r="P105" s="230"/>
    </row>
    <row r="106" spans="1:16" ht="18" hidden="1" x14ac:dyDescent="0.35">
      <c r="A106" s="109"/>
      <c r="B106" s="68"/>
      <c r="C106" s="68" t="str">
        <f t="shared" si="5"/>
        <v>13</v>
      </c>
      <c r="D106" s="68">
        <f t="shared" si="10"/>
        <v>7</v>
      </c>
      <c r="E106" s="84" t="str">
        <f t="shared" si="9"/>
        <v>137</v>
      </c>
      <c r="F106" s="68"/>
      <c r="G106" s="68"/>
      <c r="H106" s="68"/>
      <c r="I106" s="68"/>
      <c r="J106" s="207" t="str">
        <f>IFERROR(_xlfn.TEXTAFTER(VLOOKUP(E110,BDD!$A$2:$N$567,7,FALSE)," ",30),"")</f>
        <v/>
      </c>
      <c r="K106" s="68"/>
      <c r="L106" s="68"/>
      <c r="M106" s="68"/>
      <c r="N106" s="68"/>
      <c r="O106" s="68"/>
      <c r="P106" s="109"/>
    </row>
    <row r="107" spans="1:16" hidden="1" x14ac:dyDescent="0.3">
      <c r="A107" s="109"/>
      <c r="B107" s="68"/>
      <c r="C107" s="68" t="str">
        <f t="shared" si="5"/>
        <v>13</v>
      </c>
      <c r="D107" s="68">
        <f t="shared" si="10"/>
        <v>7</v>
      </c>
      <c r="E107" s="84" t="str">
        <f t="shared" si="9"/>
        <v>137</v>
      </c>
      <c r="F107" s="68"/>
      <c r="G107" s="68"/>
      <c r="H107" s="68"/>
      <c r="I107" s="68"/>
      <c r="J107" s="78"/>
      <c r="K107" s="68"/>
      <c r="L107" s="68"/>
      <c r="M107" s="619" t="s">
        <v>92</v>
      </c>
      <c r="N107" s="619"/>
      <c r="O107" s="68"/>
      <c r="P107" s="109"/>
    </row>
    <row r="108" spans="1:16" ht="33" hidden="1" x14ac:dyDescent="0.3">
      <c r="A108" s="109"/>
      <c r="B108" s="68"/>
      <c r="C108" s="68" t="str">
        <f t="shared" si="5"/>
        <v>13</v>
      </c>
      <c r="D108" s="68">
        <f t="shared" si="10"/>
        <v>7</v>
      </c>
      <c r="E108" s="84" t="str">
        <f t="shared" si="9"/>
        <v>137</v>
      </c>
      <c r="F108" s="93"/>
      <c r="G108" s="80" t="s">
        <v>561</v>
      </c>
      <c r="H108" s="80" t="s">
        <v>82</v>
      </c>
      <c r="I108" s="80" t="s">
        <v>83</v>
      </c>
      <c r="J108" s="80" t="s">
        <v>84</v>
      </c>
      <c r="K108" s="80" t="s">
        <v>85</v>
      </c>
      <c r="L108" s="78"/>
      <c r="M108" s="81" t="s">
        <v>86</v>
      </c>
      <c r="N108" s="82" t="s">
        <v>87</v>
      </c>
      <c r="O108" s="68"/>
      <c r="P108" s="109"/>
    </row>
    <row r="109" spans="1:16" hidden="1" x14ac:dyDescent="0.3">
      <c r="A109" s="109"/>
      <c r="B109" s="68"/>
      <c r="C109" s="68" t="str">
        <f t="shared" si="5"/>
        <v>13</v>
      </c>
      <c r="D109" s="68">
        <f t="shared" si="10"/>
        <v>7</v>
      </c>
      <c r="E109" s="84" t="str">
        <f t="shared" si="9"/>
        <v>137</v>
      </c>
      <c r="F109" s="68"/>
      <c r="G109" s="83"/>
      <c r="H109" s="83"/>
      <c r="I109" s="83"/>
      <c r="J109" s="68"/>
      <c r="K109" s="83"/>
      <c r="L109" s="68"/>
      <c r="M109" s="68"/>
      <c r="N109" s="68"/>
      <c r="O109" s="68"/>
      <c r="P109" s="109"/>
    </row>
    <row r="110" spans="1:16" ht="130.05000000000001" hidden="1" customHeight="1" x14ac:dyDescent="0.3">
      <c r="A110" s="109"/>
      <c r="B110" s="68"/>
      <c r="C110" s="68" t="str">
        <f t="shared" si="5"/>
        <v>13</v>
      </c>
      <c r="D110" s="68">
        <f t="shared" si="10"/>
        <v>7</v>
      </c>
      <c r="E110" s="84" t="str">
        <f t="shared" si="9"/>
        <v>1371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109"/>
    </row>
    <row r="111" spans="1:16" ht="130.05000000000001" hidden="1" customHeight="1" x14ac:dyDescent="0.3">
      <c r="A111" s="109"/>
      <c r="B111" s="68"/>
      <c r="C111" s="68" t="str">
        <f t="shared" si="5"/>
        <v>13</v>
      </c>
      <c r="D111" s="68">
        <f t="shared" si="10"/>
        <v>7</v>
      </c>
      <c r="E111" s="84" t="str">
        <f t="shared" si="9"/>
        <v>1372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109"/>
    </row>
    <row r="112" spans="1:16" ht="130.05000000000001" hidden="1" customHeight="1" x14ac:dyDescent="0.3">
      <c r="A112" s="109"/>
      <c r="B112" s="68"/>
      <c r="C112" s="68" t="str">
        <f t="shared" si="5"/>
        <v>13</v>
      </c>
      <c r="D112" s="68">
        <f t="shared" si="10"/>
        <v>7</v>
      </c>
      <c r="E112" s="84" t="str">
        <f t="shared" si="9"/>
        <v>1373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109"/>
    </row>
    <row r="113" spans="1:16" ht="130.05000000000001" hidden="1" customHeight="1" x14ac:dyDescent="0.3">
      <c r="A113" s="109"/>
      <c r="B113" s="68"/>
      <c r="C113" s="68" t="str">
        <f t="shared" si="5"/>
        <v>13</v>
      </c>
      <c r="D113" s="68">
        <f t="shared" si="10"/>
        <v>7</v>
      </c>
      <c r="E113" s="84" t="str">
        <f t="shared" si="9"/>
        <v>1374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109"/>
    </row>
    <row r="114" spans="1:16" ht="130.05000000000001" hidden="1" customHeight="1" x14ac:dyDescent="0.3">
      <c r="A114" s="109"/>
      <c r="B114" s="68"/>
      <c r="C114" s="68" t="str">
        <f t="shared" si="5"/>
        <v>13</v>
      </c>
      <c r="D114" s="68">
        <f t="shared" si="10"/>
        <v>7</v>
      </c>
      <c r="E114" s="84" t="str">
        <f t="shared" si="9"/>
        <v>1375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109"/>
    </row>
    <row r="115" spans="1:16" ht="130.05000000000001" hidden="1" customHeight="1" x14ac:dyDescent="0.3">
      <c r="A115" s="109"/>
      <c r="B115" s="68"/>
      <c r="C115" s="68" t="str">
        <f t="shared" si="5"/>
        <v>13</v>
      </c>
      <c r="D115" s="68">
        <f t="shared" si="10"/>
        <v>7</v>
      </c>
      <c r="E115" s="84" t="str">
        <f t="shared" si="9"/>
        <v>1376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109"/>
    </row>
    <row r="116" spans="1:16" ht="130.05000000000001" hidden="1" customHeight="1" x14ac:dyDescent="0.3">
      <c r="A116" s="109"/>
      <c r="B116" s="68"/>
      <c r="C116" s="68" t="str">
        <f t="shared" ref="C116" si="11">RIGHT($B$1,1)</f>
        <v>3</v>
      </c>
      <c r="D116" s="68">
        <f t="shared" si="10"/>
        <v>7</v>
      </c>
      <c r="E116" s="84" t="str">
        <f t="shared" si="9"/>
        <v>377</v>
      </c>
      <c r="F116" s="66" t="s">
        <v>36</v>
      </c>
      <c r="G116" s="67" t="str">
        <f>IFERROR(IF(VLOOKUP($E116,BDD!$A$1:$S$567,MATCH(G$10,BDD!$A$1:$P$1,0),FALSE)=0,"",VLOOKUP($E116,BDD!$A$1:$S$567,MATCH(G$10,BDD!$A$1:$P$1,0),FALSE)),"")</f>
        <v/>
      </c>
      <c r="H116" s="85" t="str">
        <f>IF(VLOOKUP(E116,BDD!$A$1:$S$567,15,FALSE)=0,"Critère non évalué","")</f>
        <v>Critère non évalué</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109"/>
    </row>
    <row r="117" spans="1:16" x14ac:dyDescent="0.3">
      <c r="A117" s="109"/>
      <c r="B117" s="68"/>
      <c r="C117" s="68"/>
      <c r="D117" s="68"/>
      <c r="E117" s="68"/>
      <c r="F117" s="68"/>
      <c r="G117" s="68"/>
      <c r="H117" s="68"/>
      <c r="I117" s="68"/>
      <c r="J117" s="68"/>
      <c r="K117" s="68"/>
      <c r="L117" s="68"/>
      <c r="M117" s="68"/>
      <c r="N117" s="68"/>
      <c r="O117" s="68"/>
      <c r="P117" s="109"/>
    </row>
    <row r="118" spans="1:16" x14ac:dyDescent="0.3">
      <c r="A118" s="109" t="s">
        <v>164</v>
      </c>
      <c r="B118" s="109"/>
      <c r="C118" s="109"/>
      <c r="D118" s="109"/>
      <c r="E118" s="109"/>
      <c r="F118" s="109"/>
      <c r="G118" s="109"/>
      <c r="H118" s="109"/>
      <c r="I118" s="109"/>
      <c r="J118" s="109"/>
      <c r="K118" s="109"/>
      <c r="L118" s="109"/>
      <c r="M118" s="109"/>
      <c r="N118" s="109"/>
      <c r="O118" s="109"/>
      <c r="P118" s="109" t="s">
        <v>164</v>
      </c>
    </row>
  </sheetData>
  <sheetProtection algorithmName="SHA-512" hashValue="vVWLqC44INxEJiTQbdTEt1QZmrd1Tgrl8EDVSR/v2Tumn4OgZBdkmf4bN3mn1s1r4l95pK9R3ucCiZWg8LAUdw==" saltValue="DDNPTLSIoh+u0ctu+NBVvQ=="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DE6D89D0-0744-46B4-84DC-E42183B2B759}"/>
    <hyperlink ref="F29" location="V2Quest!A1" display="(Cf. Vecteur 2 - Innovation)" xr:uid="{449E4C04-0F5E-445A-B506-217F8FDB694B}"/>
    <hyperlink ref="F45" location="V2Quest!A1" display="(Cf. Vecteur 2 - Innovation)" xr:uid="{80640C48-F097-4389-B471-816B3C9D72C3}"/>
    <hyperlink ref="F61" location="V2Quest!A1" display="(Cf. Vecteur 2 - Innovation)" xr:uid="{6DB3EC18-7CF2-4DE7-A25E-6E71077F5DCD}"/>
    <hyperlink ref="F79" location="V2Quest!A1" display="(Cf. Vecteur 2 - Innovation)" xr:uid="{F0260B22-6EDB-43B0-90F2-A79CFC2FB4CE}"/>
    <hyperlink ref="F95" location="V2Quest!A1" display="(Cf. Vecteur 2 - Innovation)" xr:uid="{4F85617D-8425-467A-88E0-9DC3A79A77AE}"/>
    <hyperlink ref="F111" location="V2Quest!A1" display="(Cf. Vecteur 2 - Innovation)" xr:uid="{17562074-F6F2-424F-91DE-E9BB966FBC8D}"/>
  </hyperlinks>
  <pageMargins left="0.7" right="0.7" top="0.75" bottom="0.75" header="0.3" footer="0.3"/>
  <ignoredErrors>
    <ignoredError sqref="H12:H34 H44:H45 D52 H60:H66" formula="1"/>
    <ignoredError sqref="J71 J73 J87 J89 H97" evalError="1"/>
    <ignoredError sqref="H78:H84 H94:H96" evalError="1"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93537"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193538"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193539" r:id="rId5" name="Option Button 3">
              <controlPr defaultSize="0" autoFill="0" autoLine="0" autoPict="0">
                <anchor moveWithCells="1">
                  <from>
                    <xdr:col>7</xdr:col>
                    <xdr:colOff>114300</xdr:colOff>
                    <xdr:row>12</xdr:row>
                    <xdr:rowOff>640080</xdr:rowOff>
                  </from>
                  <to>
                    <xdr:col>7</xdr:col>
                    <xdr:colOff>1950720</xdr:colOff>
                    <xdr:row>12</xdr:row>
                    <xdr:rowOff>830580</xdr:rowOff>
                  </to>
                </anchor>
              </controlPr>
            </control>
          </mc:Choice>
        </mc:AlternateContent>
        <mc:AlternateContent xmlns:mc="http://schemas.openxmlformats.org/markup-compatibility/2006">
          <mc:Choice Requires="x14">
            <control shapeId="193540"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193541"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93542" r:id="rId8" name="Group Box 6">
              <controlPr defaultSize="0" autoFill="0" autoPict="0" altText="">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93543" r:id="rId9"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93544" r:id="rId10"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193545" r:id="rId11" name="Option Button 9">
              <controlPr defaultSize="0" autoFill="0" autoLine="0" autoPict="0">
                <anchor moveWithCells="1">
                  <from>
                    <xdr:col>7</xdr:col>
                    <xdr:colOff>106680</xdr:colOff>
                    <xdr:row>11</xdr:row>
                    <xdr:rowOff>304800</xdr:rowOff>
                  </from>
                  <to>
                    <xdr:col>7</xdr:col>
                    <xdr:colOff>1958340</xdr:colOff>
                    <xdr:row>11</xdr:row>
                    <xdr:rowOff>502920</xdr:rowOff>
                  </to>
                </anchor>
              </controlPr>
            </control>
          </mc:Choice>
        </mc:AlternateContent>
        <mc:AlternateContent xmlns:mc="http://schemas.openxmlformats.org/markup-compatibility/2006">
          <mc:Choice Requires="x14">
            <control shapeId="193546" r:id="rId12"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193547" r:id="rId13"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193553" r:id="rId14" name="Option Button 17">
              <controlPr defaultSize="0" autoFill="0" autoLine="0" autoPict="0" altText="Case d'option 47">
                <anchor moveWithCells="1">
                  <from>
                    <xdr:col>7</xdr:col>
                    <xdr:colOff>106680</xdr:colOff>
                    <xdr:row>16</xdr:row>
                    <xdr:rowOff>38100</xdr:rowOff>
                  </from>
                  <to>
                    <xdr:col>7</xdr:col>
                    <xdr:colOff>1501140</xdr:colOff>
                    <xdr:row>16</xdr:row>
                    <xdr:rowOff>228600</xdr:rowOff>
                  </to>
                </anchor>
              </controlPr>
            </control>
          </mc:Choice>
        </mc:AlternateContent>
        <mc:AlternateContent xmlns:mc="http://schemas.openxmlformats.org/markup-compatibility/2006">
          <mc:Choice Requires="x14">
            <control shapeId="193554" r:id="rId15" name="Option Button 18">
              <controlPr defaultSize="0" autoFill="0" autoLine="0" autoPict="0">
                <anchor moveWithCells="1">
                  <from>
                    <xdr:col>7</xdr:col>
                    <xdr:colOff>106680</xdr:colOff>
                    <xdr:row>16</xdr:row>
                    <xdr:rowOff>281940</xdr:rowOff>
                  </from>
                  <to>
                    <xdr:col>8</xdr:col>
                    <xdr:colOff>0</xdr:colOff>
                    <xdr:row>16</xdr:row>
                    <xdr:rowOff>480060</xdr:rowOff>
                  </to>
                </anchor>
              </controlPr>
            </control>
          </mc:Choice>
        </mc:AlternateContent>
        <mc:AlternateContent xmlns:mc="http://schemas.openxmlformats.org/markup-compatibility/2006">
          <mc:Choice Requires="x14">
            <control shapeId="193555" r:id="rId16" name="Option Button 19">
              <controlPr defaultSize="0" autoFill="0" autoLine="0" autoPict="0">
                <anchor moveWithCells="1">
                  <from>
                    <xdr:col>7</xdr:col>
                    <xdr:colOff>106680</xdr:colOff>
                    <xdr:row>16</xdr:row>
                    <xdr:rowOff>556260</xdr:rowOff>
                  </from>
                  <to>
                    <xdr:col>8</xdr:col>
                    <xdr:colOff>0</xdr:colOff>
                    <xdr:row>16</xdr:row>
                    <xdr:rowOff>739140</xdr:rowOff>
                  </to>
                </anchor>
              </controlPr>
            </control>
          </mc:Choice>
        </mc:AlternateContent>
        <mc:AlternateContent xmlns:mc="http://schemas.openxmlformats.org/markup-compatibility/2006">
          <mc:Choice Requires="x14">
            <control shapeId="193556" r:id="rId17" name="Option Button 20">
              <controlPr defaultSize="0" autoFill="0" autoLine="0" autoPict="0">
                <anchor moveWithCells="1">
                  <from>
                    <xdr:col>7</xdr:col>
                    <xdr:colOff>106680</xdr:colOff>
                    <xdr:row>16</xdr:row>
                    <xdr:rowOff>807720</xdr:rowOff>
                  </from>
                  <to>
                    <xdr:col>7</xdr:col>
                    <xdr:colOff>937260</xdr:colOff>
                    <xdr:row>16</xdr:row>
                    <xdr:rowOff>990600</xdr:rowOff>
                  </to>
                </anchor>
              </controlPr>
            </control>
          </mc:Choice>
        </mc:AlternateContent>
        <mc:AlternateContent xmlns:mc="http://schemas.openxmlformats.org/markup-compatibility/2006">
          <mc:Choice Requires="x14">
            <control shapeId="193557" r:id="rId18" name="Group Box 21">
              <controlPr defaultSize="0" autoFill="0" autoPict="0">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93558" r:id="rId19" name="Option Button 22">
              <controlPr defaultSize="0" autoFill="0" autoLine="0" autoPict="0">
                <anchor moveWithCells="1">
                  <from>
                    <xdr:col>7</xdr:col>
                    <xdr:colOff>114300</xdr:colOff>
                    <xdr:row>15</xdr:row>
                    <xdr:rowOff>144780</xdr:rowOff>
                  </from>
                  <to>
                    <xdr:col>7</xdr:col>
                    <xdr:colOff>1950720</xdr:colOff>
                    <xdr:row>15</xdr:row>
                    <xdr:rowOff>312420</xdr:rowOff>
                  </to>
                </anchor>
              </controlPr>
            </control>
          </mc:Choice>
        </mc:AlternateContent>
        <mc:AlternateContent xmlns:mc="http://schemas.openxmlformats.org/markup-compatibility/2006">
          <mc:Choice Requires="x14">
            <control shapeId="193559" r:id="rId20" name="Option Button 23">
              <controlPr defaultSize="0" autoFill="0" autoLine="0" autoPict="0">
                <anchor moveWithCells="1">
                  <from>
                    <xdr:col>7</xdr:col>
                    <xdr:colOff>114300</xdr:colOff>
                    <xdr:row>15</xdr:row>
                    <xdr:rowOff>388620</xdr:rowOff>
                  </from>
                  <to>
                    <xdr:col>7</xdr:col>
                    <xdr:colOff>1950720</xdr:colOff>
                    <xdr:row>15</xdr:row>
                    <xdr:rowOff>579120</xdr:rowOff>
                  </to>
                </anchor>
              </controlPr>
            </control>
          </mc:Choice>
        </mc:AlternateContent>
        <mc:AlternateContent xmlns:mc="http://schemas.openxmlformats.org/markup-compatibility/2006">
          <mc:Choice Requires="x14">
            <control shapeId="193560" r:id="rId21" name="Option Button 24">
              <controlPr defaultSize="0" autoFill="0" autoLine="0" autoPict="0">
                <anchor moveWithCells="1">
                  <from>
                    <xdr:col>7</xdr:col>
                    <xdr:colOff>114300</xdr:colOff>
                    <xdr:row>15</xdr:row>
                    <xdr:rowOff>632460</xdr:rowOff>
                  </from>
                  <to>
                    <xdr:col>7</xdr:col>
                    <xdr:colOff>1950720</xdr:colOff>
                    <xdr:row>15</xdr:row>
                    <xdr:rowOff>815340</xdr:rowOff>
                  </to>
                </anchor>
              </controlPr>
            </control>
          </mc:Choice>
        </mc:AlternateContent>
        <mc:AlternateContent xmlns:mc="http://schemas.openxmlformats.org/markup-compatibility/2006">
          <mc:Choice Requires="x14">
            <control shapeId="193561" r:id="rId22" name="Option Button 25">
              <controlPr defaultSize="0" autoFill="0" autoLine="0" autoPict="0">
                <anchor moveWithCells="1">
                  <from>
                    <xdr:col>7</xdr:col>
                    <xdr:colOff>114300</xdr:colOff>
                    <xdr:row>15</xdr:row>
                    <xdr:rowOff>906780</xdr:rowOff>
                  </from>
                  <to>
                    <xdr:col>7</xdr:col>
                    <xdr:colOff>1950720</xdr:colOff>
                    <xdr:row>15</xdr:row>
                    <xdr:rowOff>1097280</xdr:rowOff>
                  </to>
                </anchor>
              </controlPr>
            </control>
          </mc:Choice>
        </mc:AlternateContent>
        <mc:AlternateContent xmlns:mc="http://schemas.openxmlformats.org/markup-compatibility/2006">
          <mc:Choice Requires="x14">
            <control shapeId="193562" r:id="rId23"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93563" r:id="rId24" name="Option Button 27">
              <controlPr defaultSize="0" autoFill="0" autoLine="0" autoPict="0" altText="Case d'option 47">
                <anchor moveWithCells="1">
                  <from>
                    <xdr:col>7</xdr:col>
                    <xdr:colOff>106680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193564" r:id="rId25" name="Option Button 28">
              <controlPr defaultSize="0" autoFill="0" autoLine="0" autoPict="0">
                <anchor moveWithCells="1">
                  <from>
                    <xdr:col>7</xdr:col>
                    <xdr:colOff>106680</xdr:colOff>
                    <xdr:row>14</xdr:row>
                    <xdr:rowOff>304800</xdr:rowOff>
                  </from>
                  <to>
                    <xdr:col>7</xdr:col>
                    <xdr:colOff>1950720</xdr:colOff>
                    <xdr:row>14</xdr:row>
                    <xdr:rowOff>502920</xdr:rowOff>
                  </to>
                </anchor>
              </controlPr>
            </control>
          </mc:Choice>
        </mc:AlternateContent>
        <mc:AlternateContent xmlns:mc="http://schemas.openxmlformats.org/markup-compatibility/2006">
          <mc:Choice Requires="x14">
            <control shapeId="193565" r:id="rId26" name="Option Button 29">
              <controlPr defaultSize="0" autoFill="0" autoLine="0" autoPict="0">
                <anchor moveWithCells="1">
                  <from>
                    <xdr:col>7</xdr:col>
                    <xdr:colOff>106680</xdr:colOff>
                    <xdr:row>14</xdr:row>
                    <xdr:rowOff>579120</xdr:rowOff>
                  </from>
                  <to>
                    <xdr:col>7</xdr:col>
                    <xdr:colOff>1958340</xdr:colOff>
                    <xdr:row>14</xdr:row>
                    <xdr:rowOff>754380</xdr:rowOff>
                  </to>
                </anchor>
              </controlPr>
            </control>
          </mc:Choice>
        </mc:AlternateContent>
        <mc:AlternateContent xmlns:mc="http://schemas.openxmlformats.org/markup-compatibility/2006">
          <mc:Choice Requires="x14">
            <control shapeId="193566" r:id="rId27" name="Option Button 30">
              <controlPr defaultSize="0" autoFill="0" autoLine="0" autoPict="0">
                <anchor moveWithCells="1">
                  <from>
                    <xdr:col>7</xdr:col>
                    <xdr:colOff>106680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193567" r:id="rId28"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93568" r:id="rId29"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193569" r:id="rId30" name="Option Button 33">
              <controlPr defaultSize="0" autoFill="0" autoLine="0" autoPict="0">
                <anchor moveWithCells="1">
                  <from>
                    <xdr:col>7</xdr:col>
                    <xdr:colOff>106680</xdr:colOff>
                    <xdr:row>13</xdr:row>
                    <xdr:rowOff>304800</xdr:rowOff>
                  </from>
                  <to>
                    <xdr:col>7</xdr:col>
                    <xdr:colOff>1950720</xdr:colOff>
                    <xdr:row>13</xdr:row>
                    <xdr:rowOff>502920</xdr:rowOff>
                  </to>
                </anchor>
              </controlPr>
            </control>
          </mc:Choice>
        </mc:AlternateContent>
        <mc:AlternateContent xmlns:mc="http://schemas.openxmlformats.org/markup-compatibility/2006">
          <mc:Choice Requires="x14">
            <control shapeId="193570" r:id="rId31" name="Option Button 34">
              <controlPr defaultSize="0" autoFill="0" autoLine="0" autoPict="0">
                <anchor moveWithCells="1">
                  <from>
                    <xdr:col>7</xdr:col>
                    <xdr:colOff>106680</xdr:colOff>
                    <xdr:row>13</xdr:row>
                    <xdr:rowOff>579120</xdr:rowOff>
                  </from>
                  <to>
                    <xdr:col>7</xdr:col>
                    <xdr:colOff>1958340</xdr:colOff>
                    <xdr:row>13</xdr:row>
                    <xdr:rowOff>754380</xdr:rowOff>
                  </to>
                </anchor>
              </controlPr>
            </control>
          </mc:Choice>
        </mc:AlternateContent>
        <mc:AlternateContent xmlns:mc="http://schemas.openxmlformats.org/markup-compatibility/2006">
          <mc:Choice Requires="x14">
            <control shapeId="193571" r:id="rId32"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93572" r:id="rId33"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93573" r:id="rId34" name="Option Button 37">
              <controlPr defaultSize="0" autoFill="0" autoLine="0" autoPict="0">
                <anchor moveWithCells="1">
                  <from>
                    <xdr:col>7</xdr:col>
                    <xdr:colOff>114300</xdr:colOff>
                    <xdr:row>28</xdr:row>
                    <xdr:rowOff>152400</xdr:rowOff>
                  </from>
                  <to>
                    <xdr:col>7</xdr:col>
                    <xdr:colOff>1950720</xdr:colOff>
                    <xdr:row>28</xdr:row>
                    <xdr:rowOff>342900</xdr:rowOff>
                  </to>
                </anchor>
              </controlPr>
            </control>
          </mc:Choice>
        </mc:AlternateContent>
        <mc:AlternateContent xmlns:mc="http://schemas.openxmlformats.org/markup-compatibility/2006">
          <mc:Choice Requires="x14">
            <control shapeId="193574" r:id="rId35" name="Option Button 38">
              <controlPr defaultSize="0" autoFill="0" autoLine="0" autoPict="0">
                <anchor moveWithCells="1">
                  <from>
                    <xdr:col>7</xdr:col>
                    <xdr:colOff>114300</xdr:colOff>
                    <xdr:row>28</xdr:row>
                    <xdr:rowOff>426720</xdr:rowOff>
                  </from>
                  <to>
                    <xdr:col>7</xdr:col>
                    <xdr:colOff>1950720</xdr:colOff>
                    <xdr:row>28</xdr:row>
                    <xdr:rowOff>632460</xdr:rowOff>
                  </to>
                </anchor>
              </controlPr>
            </control>
          </mc:Choice>
        </mc:AlternateContent>
        <mc:AlternateContent xmlns:mc="http://schemas.openxmlformats.org/markup-compatibility/2006">
          <mc:Choice Requires="x14">
            <control shapeId="193575" r:id="rId36" name="Option Button 39">
              <controlPr defaultSize="0" autoFill="0" autoLine="0" autoPict="0">
                <anchor moveWithCells="1">
                  <from>
                    <xdr:col>7</xdr:col>
                    <xdr:colOff>114300</xdr:colOff>
                    <xdr:row>28</xdr:row>
                    <xdr:rowOff>693420</xdr:rowOff>
                  </from>
                  <to>
                    <xdr:col>7</xdr:col>
                    <xdr:colOff>1950720</xdr:colOff>
                    <xdr:row>28</xdr:row>
                    <xdr:rowOff>899160</xdr:rowOff>
                  </to>
                </anchor>
              </controlPr>
            </control>
          </mc:Choice>
        </mc:AlternateContent>
        <mc:AlternateContent xmlns:mc="http://schemas.openxmlformats.org/markup-compatibility/2006">
          <mc:Choice Requires="x14">
            <control shapeId="193576" r:id="rId37" name="Option Button 40">
              <controlPr defaultSize="0" autoFill="0" autoLine="0" autoPict="0">
                <anchor moveWithCells="1">
                  <from>
                    <xdr:col>7</xdr:col>
                    <xdr:colOff>114300</xdr:colOff>
                    <xdr:row>28</xdr:row>
                    <xdr:rowOff>998220</xdr:rowOff>
                  </from>
                  <to>
                    <xdr:col>7</xdr:col>
                    <xdr:colOff>1950720</xdr:colOff>
                    <xdr:row>28</xdr:row>
                    <xdr:rowOff>1196340</xdr:rowOff>
                  </to>
                </anchor>
              </controlPr>
            </control>
          </mc:Choice>
        </mc:AlternateContent>
        <mc:AlternateContent xmlns:mc="http://schemas.openxmlformats.org/markup-compatibility/2006">
          <mc:Choice Requires="x14">
            <control shapeId="193577" r:id="rId38"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93589" r:id="rId39" name="Option Button 53">
              <controlPr defaultSize="0" autoFill="0" autoLine="0" autoPict="0">
                <anchor moveWithCells="1">
                  <from>
                    <xdr:col>7</xdr:col>
                    <xdr:colOff>114300</xdr:colOff>
                    <xdr:row>31</xdr:row>
                    <xdr:rowOff>144780</xdr:rowOff>
                  </from>
                  <to>
                    <xdr:col>7</xdr:col>
                    <xdr:colOff>1950720</xdr:colOff>
                    <xdr:row>31</xdr:row>
                    <xdr:rowOff>320040</xdr:rowOff>
                  </to>
                </anchor>
              </controlPr>
            </control>
          </mc:Choice>
        </mc:AlternateContent>
        <mc:AlternateContent xmlns:mc="http://schemas.openxmlformats.org/markup-compatibility/2006">
          <mc:Choice Requires="x14">
            <control shapeId="193590" r:id="rId40" name="Option Button 54">
              <controlPr defaultSize="0" autoFill="0" autoLine="0" autoPict="0">
                <anchor moveWithCells="1">
                  <from>
                    <xdr:col>7</xdr:col>
                    <xdr:colOff>114300</xdr:colOff>
                    <xdr:row>31</xdr:row>
                    <xdr:rowOff>396240</xdr:rowOff>
                  </from>
                  <to>
                    <xdr:col>7</xdr:col>
                    <xdr:colOff>1950720</xdr:colOff>
                    <xdr:row>31</xdr:row>
                    <xdr:rowOff>586740</xdr:rowOff>
                  </to>
                </anchor>
              </controlPr>
            </control>
          </mc:Choice>
        </mc:AlternateContent>
        <mc:AlternateContent xmlns:mc="http://schemas.openxmlformats.org/markup-compatibility/2006">
          <mc:Choice Requires="x14">
            <control shapeId="193591" r:id="rId41" name="Option Button 55">
              <controlPr defaultSize="0" autoFill="0" autoLine="0" autoPict="0">
                <anchor moveWithCells="1">
                  <from>
                    <xdr:col>7</xdr:col>
                    <xdr:colOff>114300</xdr:colOff>
                    <xdr:row>31</xdr:row>
                    <xdr:rowOff>640080</xdr:rowOff>
                  </from>
                  <to>
                    <xdr:col>7</xdr:col>
                    <xdr:colOff>1950720</xdr:colOff>
                    <xdr:row>31</xdr:row>
                    <xdr:rowOff>830580</xdr:rowOff>
                  </to>
                </anchor>
              </controlPr>
            </control>
          </mc:Choice>
        </mc:AlternateContent>
        <mc:AlternateContent xmlns:mc="http://schemas.openxmlformats.org/markup-compatibility/2006">
          <mc:Choice Requires="x14">
            <control shapeId="193592" r:id="rId42" name="Option Button 56">
              <controlPr defaultSize="0" autoFill="0" autoLine="0" autoPict="0">
                <anchor moveWithCells="1">
                  <from>
                    <xdr:col>7</xdr:col>
                    <xdr:colOff>114300</xdr:colOff>
                    <xdr:row>31</xdr:row>
                    <xdr:rowOff>922020</xdr:rowOff>
                  </from>
                  <to>
                    <xdr:col>7</xdr:col>
                    <xdr:colOff>1950720</xdr:colOff>
                    <xdr:row>31</xdr:row>
                    <xdr:rowOff>1112520</xdr:rowOff>
                  </to>
                </anchor>
              </controlPr>
            </control>
          </mc:Choice>
        </mc:AlternateContent>
        <mc:AlternateContent xmlns:mc="http://schemas.openxmlformats.org/markup-compatibility/2006">
          <mc:Choice Requires="x14">
            <control shapeId="193593" r:id="rId43"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93594" r:id="rId44" name="Option Button 58">
              <controlPr defaultSize="0" autoFill="0" autoLine="0" autoPict="0" altText="Case d'option 47">
                <anchor moveWithCells="1">
                  <from>
                    <xdr:col>7</xdr:col>
                    <xdr:colOff>106680</xdr:colOff>
                    <xdr:row>30</xdr:row>
                    <xdr:rowOff>91440</xdr:rowOff>
                  </from>
                  <to>
                    <xdr:col>7</xdr:col>
                    <xdr:colOff>1501140</xdr:colOff>
                    <xdr:row>30</xdr:row>
                    <xdr:rowOff>335280</xdr:rowOff>
                  </to>
                </anchor>
              </controlPr>
            </control>
          </mc:Choice>
        </mc:AlternateContent>
        <mc:AlternateContent xmlns:mc="http://schemas.openxmlformats.org/markup-compatibility/2006">
          <mc:Choice Requires="x14">
            <control shapeId="193595" r:id="rId45" name="Option Button 59">
              <controlPr defaultSize="0" autoFill="0" autoLine="0" autoPict="0">
                <anchor moveWithCells="1">
                  <from>
                    <xdr:col>7</xdr:col>
                    <xdr:colOff>106680</xdr:colOff>
                    <xdr:row>30</xdr:row>
                    <xdr:rowOff>388620</xdr:rowOff>
                  </from>
                  <to>
                    <xdr:col>8</xdr:col>
                    <xdr:colOff>0</xdr:colOff>
                    <xdr:row>30</xdr:row>
                    <xdr:rowOff>647700</xdr:rowOff>
                  </to>
                </anchor>
              </controlPr>
            </control>
          </mc:Choice>
        </mc:AlternateContent>
        <mc:AlternateContent xmlns:mc="http://schemas.openxmlformats.org/markup-compatibility/2006">
          <mc:Choice Requires="x14">
            <control shapeId="193596" r:id="rId46" name="Option Button 60">
              <controlPr defaultSize="0" autoFill="0" autoLine="0" autoPict="0">
                <anchor moveWithCells="1">
                  <from>
                    <xdr:col>7</xdr:col>
                    <xdr:colOff>106680</xdr:colOff>
                    <xdr:row>30</xdr:row>
                    <xdr:rowOff>701040</xdr:rowOff>
                  </from>
                  <to>
                    <xdr:col>8</xdr:col>
                    <xdr:colOff>0</xdr:colOff>
                    <xdr:row>30</xdr:row>
                    <xdr:rowOff>929640</xdr:rowOff>
                  </to>
                </anchor>
              </controlPr>
            </control>
          </mc:Choice>
        </mc:AlternateContent>
        <mc:AlternateContent xmlns:mc="http://schemas.openxmlformats.org/markup-compatibility/2006">
          <mc:Choice Requires="x14">
            <control shapeId="193597" r:id="rId47" name="Option Button 61">
              <controlPr defaultSize="0" autoFill="0" autoLine="0" autoPict="0">
                <anchor moveWithCells="1">
                  <from>
                    <xdr:col>7</xdr:col>
                    <xdr:colOff>106680</xdr:colOff>
                    <xdr:row>30</xdr:row>
                    <xdr:rowOff>982980</xdr:rowOff>
                  </from>
                  <to>
                    <xdr:col>7</xdr:col>
                    <xdr:colOff>937260</xdr:colOff>
                    <xdr:row>30</xdr:row>
                    <xdr:rowOff>1219200</xdr:rowOff>
                  </to>
                </anchor>
              </controlPr>
            </control>
          </mc:Choice>
        </mc:AlternateContent>
        <mc:AlternateContent xmlns:mc="http://schemas.openxmlformats.org/markup-compatibility/2006">
          <mc:Choice Requires="x14">
            <control shapeId="193598" r:id="rId48" name="Group Box 62">
              <controlPr defaultSize="0" autoFill="0" autoPict="0">
                <anchor moveWithCells="1">
                  <from>
                    <xdr:col>7</xdr:col>
                    <xdr:colOff>0</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93599" r:id="rId49"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193600" r:id="rId50"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93601" r:id="rId51" name="Option Button 65">
              <controlPr defaultSize="0" autoFill="0" autoLine="0" autoPict="0">
                <anchor moveWithCells="1">
                  <from>
                    <xdr:col>7</xdr:col>
                    <xdr:colOff>106680</xdr:colOff>
                    <xdr:row>29</xdr:row>
                    <xdr:rowOff>579120</xdr:rowOff>
                  </from>
                  <to>
                    <xdr:col>7</xdr:col>
                    <xdr:colOff>1958340</xdr:colOff>
                    <xdr:row>29</xdr:row>
                    <xdr:rowOff>754380</xdr:rowOff>
                  </to>
                </anchor>
              </controlPr>
            </control>
          </mc:Choice>
        </mc:AlternateContent>
        <mc:AlternateContent xmlns:mc="http://schemas.openxmlformats.org/markup-compatibility/2006">
          <mc:Choice Requires="x14">
            <control shapeId="193602" r:id="rId52"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93603" r:id="rId53"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93604" r:id="rId54" name="Option Button 68">
              <controlPr defaultSize="0" autoFill="0" autoLine="0" autoPict="0" altText="Case d'option 47">
                <anchor moveWithCells="1">
                  <from>
                    <xdr:col>7</xdr:col>
                    <xdr:colOff>106680</xdr:colOff>
                    <xdr:row>43</xdr:row>
                    <xdr:rowOff>91440</xdr:rowOff>
                  </from>
                  <to>
                    <xdr:col>7</xdr:col>
                    <xdr:colOff>1501140</xdr:colOff>
                    <xdr:row>43</xdr:row>
                    <xdr:rowOff>335280</xdr:rowOff>
                  </to>
                </anchor>
              </controlPr>
            </control>
          </mc:Choice>
        </mc:AlternateContent>
        <mc:AlternateContent xmlns:mc="http://schemas.openxmlformats.org/markup-compatibility/2006">
          <mc:Choice Requires="x14">
            <control shapeId="193605" r:id="rId55" name="Option Button 69">
              <controlPr defaultSize="0" autoFill="0" autoLine="0" autoPict="0">
                <anchor moveWithCells="1">
                  <from>
                    <xdr:col>7</xdr:col>
                    <xdr:colOff>106680</xdr:colOff>
                    <xdr:row>43</xdr:row>
                    <xdr:rowOff>396240</xdr:rowOff>
                  </from>
                  <to>
                    <xdr:col>7</xdr:col>
                    <xdr:colOff>1950720</xdr:colOff>
                    <xdr:row>43</xdr:row>
                    <xdr:rowOff>655320</xdr:rowOff>
                  </to>
                </anchor>
              </controlPr>
            </control>
          </mc:Choice>
        </mc:AlternateContent>
        <mc:AlternateContent xmlns:mc="http://schemas.openxmlformats.org/markup-compatibility/2006">
          <mc:Choice Requires="x14">
            <control shapeId="193606" r:id="rId56" name="Option Button 70">
              <controlPr defaultSize="0" autoFill="0" autoLine="0" autoPict="0">
                <anchor moveWithCells="1">
                  <from>
                    <xdr:col>7</xdr:col>
                    <xdr:colOff>106680</xdr:colOff>
                    <xdr:row>43</xdr:row>
                    <xdr:rowOff>708660</xdr:rowOff>
                  </from>
                  <to>
                    <xdr:col>7</xdr:col>
                    <xdr:colOff>1958340</xdr:colOff>
                    <xdr:row>43</xdr:row>
                    <xdr:rowOff>937260</xdr:rowOff>
                  </to>
                </anchor>
              </controlPr>
            </control>
          </mc:Choice>
        </mc:AlternateContent>
        <mc:AlternateContent xmlns:mc="http://schemas.openxmlformats.org/markup-compatibility/2006">
          <mc:Choice Requires="x14">
            <control shapeId="193607" r:id="rId57" name="Option Button 71">
              <controlPr defaultSize="0" autoFill="0" autoLine="0" autoPict="0">
                <anchor moveWithCells="1">
                  <from>
                    <xdr:col>7</xdr:col>
                    <xdr:colOff>106680</xdr:colOff>
                    <xdr:row>43</xdr:row>
                    <xdr:rowOff>990600</xdr:rowOff>
                  </from>
                  <to>
                    <xdr:col>7</xdr:col>
                    <xdr:colOff>937260</xdr:colOff>
                    <xdr:row>43</xdr:row>
                    <xdr:rowOff>1226820</xdr:rowOff>
                  </to>
                </anchor>
              </controlPr>
            </control>
          </mc:Choice>
        </mc:AlternateContent>
        <mc:AlternateContent xmlns:mc="http://schemas.openxmlformats.org/markup-compatibility/2006">
          <mc:Choice Requires="x14">
            <control shapeId="193608" r:id="rId58"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93609" r:id="rId59" name="Option Button 73">
              <controlPr defaultSize="0" autoFill="0" autoLine="0" autoPict="0">
                <anchor moveWithCells="1">
                  <from>
                    <xdr:col>7</xdr:col>
                    <xdr:colOff>114300</xdr:colOff>
                    <xdr:row>44</xdr:row>
                    <xdr:rowOff>144780</xdr:rowOff>
                  </from>
                  <to>
                    <xdr:col>7</xdr:col>
                    <xdr:colOff>1950720</xdr:colOff>
                    <xdr:row>44</xdr:row>
                    <xdr:rowOff>320040</xdr:rowOff>
                  </to>
                </anchor>
              </controlPr>
            </control>
          </mc:Choice>
        </mc:AlternateContent>
        <mc:AlternateContent xmlns:mc="http://schemas.openxmlformats.org/markup-compatibility/2006">
          <mc:Choice Requires="x14">
            <control shapeId="193610" r:id="rId60" name="Option Button 74">
              <controlPr defaultSize="0" autoFill="0" autoLine="0" autoPict="0">
                <anchor moveWithCells="1">
                  <from>
                    <xdr:col>7</xdr:col>
                    <xdr:colOff>114300</xdr:colOff>
                    <xdr:row>44</xdr:row>
                    <xdr:rowOff>396240</xdr:rowOff>
                  </from>
                  <to>
                    <xdr:col>7</xdr:col>
                    <xdr:colOff>1950720</xdr:colOff>
                    <xdr:row>44</xdr:row>
                    <xdr:rowOff>586740</xdr:rowOff>
                  </to>
                </anchor>
              </controlPr>
            </control>
          </mc:Choice>
        </mc:AlternateContent>
        <mc:AlternateContent xmlns:mc="http://schemas.openxmlformats.org/markup-compatibility/2006">
          <mc:Choice Requires="x14">
            <control shapeId="193611" r:id="rId61" name="Option Button 75">
              <controlPr defaultSize="0" autoFill="0" autoLine="0" autoPict="0">
                <anchor moveWithCells="1">
                  <from>
                    <xdr:col>7</xdr:col>
                    <xdr:colOff>114300</xdr:colOff>
                    <xdr:row>44</xdr:row>
                    <xdr:rowOff>640080</xdr:rowOff>
                  </from>
                  <to>
                    <xdr:col>7</xdr:col>
                    <xdr:colOff>1950720</xdr:colOff>
                    <xdr:row>44</xdr:row>
                    <xdr:rowOff>830580</xdr:rowOff>
                  </to>
                </anchor>
              </controlPr>
            </control>
          </mc:Choice>
        </mc:AlternateContent>
        <mc:AlternateContent xmlns:mc="http://schemas.openxmlformats.org/markup-compatibility/2006">
          <mc:Choice Requires="x14">
            <control shapeId="193612" r:id="rId62" name="Option Button 76">
              <controlPr defaultSize="0" autoFill="0" autoLine="0" autoPict="0">
                <anchor moveWithCells="1">
                  <from>
                    <xdr:col>7</xdr:col>
                    <xdr:colOff>114300</xdr:colOff>
                    <xdr:row>44</xdr:row>
                    <xdr:rowOff>922020</xdr:rowOff>
                  </from>
                  <to>
                    <xdr:col>7</xdr:col>
                    <xdr:colOff>1950720</xdr:colOff>
                    <xdr:row>44</xdr:row>
                    <xdr:rowOff>1112520</xdr:rowOff>
                  </to>
                </anchor>
              </controlPr>
            </control>
          </mc:Choice>
        </mc:AlternateContent>
        <mc:AlternateContent xmlns:mc="http://schemas.openxmlformats.org/markup-compatibility/2006">
          <mc:Choice Requires="x14">
            <control shapeId="193613" r:id="rId63"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93614" r:id="rId64"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193615" r:id="rId65" name="Option Button 79">
              <controlPr defaultSize="0" autoFill="0" autoLine="0" autoPict="0">
                <anchor moveWithCells="1">
                  <from>
                    <xdr:col>7</xdr:col>
                    <xdr:colOff>106680</xdr:colOff>
                    <xdr:row>46</xdr:row>
                    <xdr:rowOff>281940</xdr:rowOff>
                  </from>
                  <to>
                    <xdr:col>7</xdr:col>
                    <xdr:colOff>1950720</xdr:colOff>
                    <xdr:row>46</xdr:row>
                    <xdr:rowOff>464820</xdr:rowOff>
                  </to>
                </anchor>
              </controlPr>
            </control>
          </mc:Choice>
        </mc:AlternateContent>
        <mc:AlternateContent xmlns:mc="http://schemas.openxmlformats.org/markup-compatibility/2006">
          <mc:Choice Requires="x14">
            <control shapeId="193616" r:id="rId66" name="Option Button 80">
              <controlPr defaultSize="0" autoFill="0" autoLine="0" autoPict="0">
                <anchor moveWithCells="1">
                  <from>
                    <xdr:col>7</xdr:col>
                    <xdr:colOff>106680</xdr:colOff>
                    <xdr:row>46</xdr:row>
                    <xdr:rowOff>533400</xdr:rowOff>
                  </from>
                  <to>
                    <xdr:col>7</xdr:col>
                    <xdr:colOff>1958340</xdr:colOff>
                    <xdr:row>46</xdr:row>
                    <xdr:rowOff>693420</xdr:rowOff>
                  </to>
                </anchor>
              </controlPr>
            </control>
          </mc:Choice>
        </mc:AlternateContent>
        <mc:AlternateContent xmlns:mc="http://schemas.openxmlformats.org/markup-compatibility/2006">
          <mc:Choice Requires="x14">
            <control shapeId="193617" r:id="rId67"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193618" r:id="rId68"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193619" r:id="rId69"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193620" r:id="rId70"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93621" r:id="rId71" name="Option Button 85">
              <controlPr defaultSize="0" autoFill="0" autoLine="0" autoPict="0">
                <anchor moveWithCells="1">
                  <from>
                    <xdr:col>7</xdr:col>
                    <xdr:colOff>106680</xdr:colOff>
                    <xdr:row>45</xdr:row>
                    <xdr:rowOff>579120</xdr:rowOff>
                  </from>
                  <to>
                    <xdr:col>7</xdr:col>
                    <xdr:colOff>1958340</xdr:colOff>
                    <xdr:row>45</xdr:row>
                    <xdr:rowOff>754380</xdr:rowOff>
                  </to>
                </anchor>
              </controlPr>
            </control>
          </mc:Choice>
        </mc:AlternateContent>
        <mc:AlternateContent xmlns:mc="http://schemas.openxmlformats.org/markup-compatibility/2006">
          <mc:Choice Requires="x14">
            <control shapeId="193622" r:id="rId72"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93623" r:id="rId73"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93624" r:id="rId74"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93625" r:id="rId75"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93626" r:id="rId76"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93627" r:id="rId77"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93628" r:id="rId78"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93629" r:id="rId79"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193630" r:id="rId80"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93631" r:id="rId81" name="Option Button 95">
              <controlPr defaultSize="0" autoFill="0" autoLine="0" autoPict="0">
                <anchor moveWithCells="1">
                  <from>
                    <xdr:col>7</xdr:col>
                    <xdr:colOff>106680</xdr:colOff>
                    <xdr:row>59</xdr:row>
                    <xdr:rowOff>579120</xdr:rowOff>
                  </from>
                  <to>
                    <xdr:col>7</xdr:col>
                    <xdr:colOff>1958340</xdr:colOff>
                    <xdr:row>59</xdr:row>
                    <xdr:rowOff>754380</xdr:rowOff>
                  </to>
                </anchor>
              </controlPr>
            </control>
          </mc:Choice>
        </mc:AlternateContent>
        <mc:AlternateContent xmlns:mc="http://schemas.openxmlformats.org/markup-compatibility/2006">
          <mc:Choice Requires="x14">
            <control shapeId="193632" r:id="rId82"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93633" r:id="rId83"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93635" r:id="rId84" name="Option Button 99">
              <controlPr defaultSize="0" autoFill="0" autoLine="0" autoPict="0">
                <anchor moveWithCells="1">
                  <from>
                    <xdr:col>7</xdr:col>
                    <xdr:colOff>114300</xdr:colOff>
                    <xdr:row>63</xdr:row>
                    <xdr:rowOff>144780</xdr:rowOff>
                  </from>
                  <to>
                    <xdr:col>7</xdr:col>
                    <xdr:colOff>1950720</xdr:colOff>
                    <xdr:row>63</xdr:row>
                    <xdr:rowOff>320040</xdr:rowOff>
                  </to>
                </anchor>
              </controlPr>
            </control>
          </mc:Choice>
        </mc:AlternateContent>
        <mc:AlternateContent xmlns:mc="http://schemas.openxmlformats.org/markup-compatibility/2006">
          <mc:Choice Requires="x14">
            <control shapeId="193636" r:id="rId85" name="Option Button 100">
              <controlPr defaultSize="0" autoFill="0" autoLine="0" autoPict="0">
                <anchor moveWithCells="1">
                  <from>
                    <xdr:col>7</xdr:col>
                    <xdr:colOff>114300</xdr:colOff>
                    <xdr:row>63</xdr:row>
                    <xdr:rowOff>396240</xdr:rowOff>
                  </from>
                  <to>
                    <xdr:col>7</xdr:col>
                    <xdr:colOff>1950720</xdr:colOff>
                    <xdr:row>63</xdr:row>
                    <xdr:rowOff>586740</xdr:rowOff>
                  </to>
                </anchor>
              </controlPr>
            </control>
          </mc:Choice>
        </mc:AlternateContent>
        <mc:AlternateContent xmlns:mc="http://schemas.openxmlformats.org/markup-compatibility/2006">
          <mc:Choice Requires="x14">
            <control shapeId="193637" r:id="rId86" name="Option Button 101">
              <controlPr defaultSize="0" autoFill="0" autoLine="0" autoPict="0">
                <anchor moveWithCells="1">
                  <from>
                    <xdr:col>7</xdr:col>
                    <xdr:colOff>114300</xdr:colOff>
                    <xdr:row>63</xdr:row>
                    <xdr:rowOff>640080</xdr:rowOff>
                  </from>
                  <to>
                    <xdr:col>7</xdr:col>
                    <xdr:colOff>1950720</xdr:colOff>
                    <xdr:row>63</xdr:row>
                    <xdr:rowOff>830580</xdr:rowOff>
                  </to>
                </anchor>
              </controlPr>
            </control>
          </mc:Choice>
        </mc:AlternateContent>
        <mc:AlternateContent xmlns:mc="http://schemas.openxmlformats.org/markup-compatibility/2006">
          <mc:Choice Requires="x14">
            <control shapeId="193638" r:id="rId87" name="Option Button 102">
              <controlPr defaultSize="0" autoFill="0" autoLine="0" autoPict="0">
                <anchor moveWithCells="1">
                  <from>
                    <xdr:col>7</xdr:col>
                    <xdr:colOff>114300</xdr:colOff>
                    <xdr:row>63</xdr:row>
                    <xdr:rowOff>922020</xdr:rowOff>
                  </from>
                  <to>
                    <xdr:col>7</xdr:col>
                    <xdr:colOff>1950720</xdr:colOff>
                    <xdr:row>63</xdr:row>
                    <xdr:rowOff>1112520</xdr:rowOff>
                  </to>
                </anchor>
              </controlPr>
            </control>
          </mc:Choice>
        </mc:AlternateContent>
        <mc:AlternateContent xmlns:mc="http://schemas.openxmlformats.org/markup-compatibility/2006">
          <mc:Choice Requires="x14">
            <control shapeId="193639" r:id="rId88"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93640" r:id="rId89" name="Option Button 104">
              <controlPr defaultSize="0" autoFill="0" autoLine="0" autoPict="0" altText="Case d'option 47">
                <anchor moveWithCells="1">
                  <from>
                    <xdr:col>7</xdr:col>
                    <xdr:colOff>106680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193641" r:id="rId90"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93642" r:id="rId91" name="Option Button 106">
              <controlPr defaultSize="0" autoFill="0" autoLine="0" autoPict="0">
                <anchor moveWithCells="1">
                  <from>
                    <xdr:col>7</xdr:col>
                    <xdr:colOff>106680</xdr:colOff>
                    <xdr:row>62</xdr:row>
                    <xdr:rowOff>579120</xdr:rowOff>
                  </from>
                  <to>
                    <xdr:col>7</xdr:col>
                    <xdr:colOff>1958340</xdr:colOff>
                    <xdr:row>62</xdr:row>
                    <xdr:rowOff>754380</xdr:rowOff>
                  </to>
                </anchor>
              </controlPr>
            </control>
          </mc:Choice>
        </mc:AlternateContent>
        <mc:AlternateContent xmlns:mc="http://schemas.openxmlformats.org/markup-compatibility/2006">
          <mc:Choice Requires="x14">
            <control shapeId="193643" r:id="rId92"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93644" r:id="rId93"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93645" r:id="rId94"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193646" r:id="rId95"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93647" r:id="rId96" name="Option Button 111">
              <controlPr defaultSize="0" autoFill="0" autoLine="0" autoPict="0">
                <anchor moveWithCells="1">
                  <from>
                    <xdr:col>7</xdr:col>
                    <xdr:colOff>106680</xdr:colOff>
                    <xdr:row>61</xdr:row>
                    <xdr:rowOff>579120</xdr:rowOff>
                  </from>
                  <to>
                    <xdr:col>7</xdr:col>
                    <xdr:colOff>1958340</xdr:colOff>
                    <xdr:row>61</xdr:row>
                    <xdr:rowOff>754380</xdr:rowOff>
                  </to>
                </anchor>
              </controlPr>
            </control>
          </mc:Choice>
        </mc:AlternateContent>
        <mc:AlternateContent xmlns:mc="http://schemas.openxmlformats.org/markup-compatibility/2006">
          <mc:Choice Requires="x14">
            <control shapeId="193648" r:id="rId97"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93649" r:id="rId98"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9" r:id="rId99"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193682" r:id="rId100"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93683" r:id="rId101"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93684" r:id="rId102"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93685" r:id="rId103"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93691" r:id="rId104"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193692" r:id="rId105" name="Option Button 156">
              <controlPr defaultSize="0" autoFill="0" autoLine="0" autoPict="0">
                <anchor moveWithCells="1">
                  <from>
                    <xdr:col>7</xdr:col>
                    <xdr:colOff>106680</xdr:colOff>
                    <xdr:row>47</xdr:row>
                    <xdr:rowOff>304800</xdr:rowOff>
                  </from>
                  <to>
                    <xdr:col>7</xdr:col>
                    <xdr:colOff>1950720</xdr:colOff>
                    <xdr:row>47</xdr:row>
                    <xdr:rowOff>502920</xdr:rowOff>
                  </to>
                </anchor>
              </controlPr>
            </control>
          </mc:Choice>
        </mc:AlternateContent>
        <mc:AlternateContent xmlns:mc="http://schemas.openxmlformats.org/markup-compatibility/2006">
          <mc:Choice Requires="x14">
            <control shapeId="193693" r:id="rId106" name="Option Button 157">
              <controlPr defaultSize="0" autoFill="0" autoLine="0" autoPict="0">
                <anchor moveWithCells="1">
                  <from>
                    <xdr:col>7</xdr:col>
                    <xdr:colOff>106680</xdr:colOff>
                    <xdr:row>47</xdr:row>
                    <xdr:rowOff>579120</xdr:rowOff>
                  </from>
                  <to>
                    <xdr:col>7</xdr:col>
                    <xdr:colOff>1958340</xdr:colOff>
                    <xdr:row>47</xdr:row>
                    <xdr:rowOff>754380</xdr:rowOff>
                  </to>
                </anchor>
              </controlPr>
            </control>
          </mc:Choice>
        </mc:AlternateContent>
        <mc:AlternateContent xmlns:mc="http://schemas.openxmlformats.org/markup-compatibility/2006">
          <mc:Choice Requires="x14">
            <control shapeId="193694" r:id="rId107"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11" r:id="rId108"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24" r:id="rId109" name="Option Button 160">
              <controlPr defaultSize="0" autoFill="0" autoLine="0" autoPict="0" altText="Case d'option 47">
                <anchor moveWithCells="1">
                  <from>
                    <xdr:col>7</xdr:col>
                    <xdr:colOff>106680</xdr:colOff>
                    <xdr:row>49</xdr:row>
                    <xdr:rowOff>68580</xdr:rowOff>
                  </from>
                  <to>
                    <xdr:col>7</xdr:col>
                    <xdr:colOff>1501140</xdr:colOff>
                    <xdr:row>49</xdr:row>
                    <xdr:rowOff>259080</xdr:rowOff>
                  </to>
                </anchor>
              </controlPr>
            </control>
          </mc:Choice>
        </mc:AlternateContent>
        <mc:AlternateContent xmlns:mc="http://schemas.openxmlformats.org/markup-compatibility/2006">
          <mc:Choice Requires="x14">
            <control shapeId="193697" r:id="rId110" name="Option Button 161">
              <controlPr defaultSize="0" autoFill="0" autoLine="0" autoPict="0">
                <anchor moveWithCells="1">
                  <from>
                    <xdr:col>7</xdr:col>
                    <xdr:colOff>106680</xdr:colOff>
                    <xdr:row>49</xdr:row>
                    <xdr:rowOff>304800</xdr:rowOff>
                  </from>
                  <to>
                    <xdr:col>7</xdr:col>
                    <xdr:colOff>1950720</xdr:colOff>
                    <xdr:row>49</xdr:row>
                    <xdr:rowOff>502920</xdr:rowOff>
                  </to>
                </anchor>
              </controlPr>
            </control>
          </mc:Choice>
        </mc:AlternateContent>
        <mc:AlternateContent xmlns:mc="http://schemas.openxmlformats.org/markup-compatibility/2006">
          <mc:Choice Requires="x14">
            <control shapeId="193698" r:id="rId111" name="Option Button 162">
              <controlPr defaultSize="0" autoFill="0" autoLine="0" autoPict="0">
                <anchor moveWithCells="1">
                  <from>
                    <xdr:col>7</xdr:col>
                    <xdr:colOff>106680</xdr:colOff>
                    <xdr:row>49</xdr:row>
                    <xdr:rowOff>579120</xdr:rowOff>
                  </from>
                  <to>
                    <xdr:col>7</xdr:col>
                    <xdr:colOff>1958340</xdr:colOff>
                    <xdr:row>49</xdr:row>
                    <xdr:rowOff>754380</xdr:rowOff>
                  </to>
                </anchor>
              </controlPr>
            </control>
          </mc:Choice>
        </mc:AlternateContent>
        <mc:AlternateContent xmlns:mc="http://schemas.openxmlformats.org/markup-compatibility/2006">
          <mc:Choice Requires="x14">
            <control shapeId="193699" r:id="rId112" name="Option Button 163">
              <controlPr defaultSize="0" autoFill="0" autoLine="0" autoPict="0">
                <anchor moveWithCells="1">
                  <from>
                    <xdr:col>7</xdr:col>
                    <xdr:colOff>106680</xdr:colOff>
                    <xdr:row>49</xdr:row>
                    <xdr:rowOff>822960</xdr:rowOff>
                  </from>
                  <to>
                    <xdr:col>7</xdr:col>
                    <xdr:colOff>937260</xdr:colOff>
                    <xdr:row>49</xdr:row>
                    <xdr:rowOff>1005840</xdr:rowOff>
                  </to>
                </anchor>
              </controlPr>
            </control>
          </mc:Choice>
        </mc:AlternateContent>
        <mc:AlternateContent xmlns:mc="http://schemas.openxmlformats.org/markup-compatibility/2006">
          <mc:Choice Requires="x14">
            <control shapeId="193700" r:id="rId113" name="Group Box 164">
              <controlPr defaultSize="0" autoFill="0" autoPict="0">
                <anchor moveWithCells="1">
                  <from>
                    <xdr:col>7</xdr:col>
                    <xdr:colOff>0</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93781" r:id="rId114" name="Option Button 245">
              <controlPr defaultSize="0" autoFill="0" autoLine="0" autoPict="0" altText="Case d'option 47">
                <anchor moveWithCells="1">
                  <from>
                    <xdr:col>7</xdr:col>
                    <xdr:colOff>106680</xdr:colOff>
                    <xdr:row>48</xdr:row>
                    <xdr:rowOff>106680</xdr:rowOff>
                  </from>
                  <to>
                    <xdr:col>7</xdr:col>
                    <xdr:colOff>1501140</xdr:colOff>
                    <xdr:row>48</xdr:row>
                    <xdr:rowOff>373380</xdr:rowOff>
                  </to>
                </anchor>
              </controlPr>
            </control>
          </mc:Choice>
        </mc:AlternateContent>
        <mc:AlternateContent xmlns:mc="http://schemas.openxmlformats.org/markup-compatibility/2006">
          <mc:Choice Requires="x14">
            <control shapeId="193782" r:id="rId115" name="Option Button 246">
              <controlPr defaultSize="0" autoFill="0" autoLine="0" autoPict="0">
                <anchor moveWithCells="1">
                  <from>
                    <xdr:col>7</xdr:col>
                    <xdr:colOff>106680</xdr:colOff>
                    <xdr:row>48</xdr:row>
                    <xdr:rowOff>381000</xdr:rowOff>
                  </from>
                  <to>
                    <xdr:col>7</xdr:col>
                    <xdr:colOff>1950720</xdr:colOff>
                    <xdr:row>48</xdr:row>
                    <xdr:rowOff>662940</xdr:rowOff>
                  </to>
                </anchor>
              </controlPr>
            </control>
          </mc:Choice>
        </mc:AlternateContent>
        <mc:AlternateContent xmlns:mc="http://schemas.openxmlformats.org/markup-compatibility/2006">
          <mc:Choice Requires="x14">
            <control shapeId="193783" r:id="rId116" name="Option Button 247">
              <controlPr defaultSize="0" autoFill="0" autoLine="0" autoPict="0">
                <anchor moveWithCells="1">
                  <from>
                    <xdr:col>7</xdr:col>
                    <xdr:colOff>106680</xdr:colOff>
                    <xdr:row>48</xdr:row>
                    <xdr:rowOff>670560</xdr:rowOff>
                  </from>
                  <to>
                    <xdr:col>7</xdr:col>
                    <xdr:colOff>1958340</xdr:colOff>
                    <xdr:row>48</xdr:row>
                    <xdr:rowOff>922020</xdr:rowOff>
                  </to>
                </anchor>
              </controlPr>
            </control>
          </mc:Choice>
        </mc:AlternateContent>
        <mc:AlternateContent xmlns:mc="http://schemas.openxmlformats.org/markup-compatibility/2006">
          <mc:Choice Requires="x14">
            <control shapeId="193784" r:id="rId117" name="Option Button 248">
              <controlPr defaultSize="0" autoFill="0" autoLine="0" autoPict="0">
                <anchor moveWithCells="1">
                  <from>
                    <xdr:col>7</xdr:col>
                    <xdr:colOff>106680</xdr:colOff>
                    <xdr:row>48</xdr:row>
                    <xdr:rowOff>929640</xdr:rowOff>
                  </from>
                  <to>
                    <xdr:col>7</xdr:col>
                    <xdr:colOff>937260</xdr:colOff>
                    <xdr:row>48</xdr:row>
                    <xdr:rowOff>1188720</xdr:rowOff>
                  </to>
                </anchor>
              </controlPr>
            </control>
          </mc:Choice>
        </mc:AlternateContent>
        <mc:AlternateContent xmlns:mc="http://schemas.openxmlformats.org/markup-compatibility/2006">
          <mc:Choice Requires="x14">
            <control shapeId="193785" r:id="rId118" name="Group Box 249">
              <controlPr defaultSize="0" autoFill="0" autoPict="0">
                <anchor moveWithCells="1">
                  <from>
                    <xdr:col>7</xdr:col>
                    <xdr:colOff>0</xdr:colOff>
                    <xdr:row>48</xdr:row>
                    <xdr:rowOff>7620</xdr:rowOff>
                  </from>
                  <to>
                    <xdr:col>8</xdr:col>
                    <xdr:colOff>0</xdr:colOff>
                    <xdr:row>49</xdr:row>
                    <xdr:rowOff>7620</xdr:rowOff>
                  </to>
                </anchor>
              </controlPr>
            </control>
          </mc:Choice>
        </mc:AlternateContent>
        <mc:AlternateContent xmlns:mc="http://schemas.openxmlformats.org/markup-compatibility/2006">
          <mc:Choice Requires="x14">
            <control shapeId="193786" r:id="rId119" name="Option Button 250">
              <controlPr defaultSize="0" autoFill="0" autoLine="0" autoPict="0" altText="Case d'option 47">
                <anchor moveWithCells="1">
                  <from>
                    <xdr:col>7</xdr:col>
                    <xdr:colOff>106680</xdr:colOff>
                    <xdr:row>50</xdr:row>
                    <xdr:rowOff>68580</xdr:rowOff>
                  </from>
                  <to>
                    <xdr:col>7</xdr:col>
                    <xdr:colOff>1501140</xdr:colOff>
                    <xdr:row>50</xdr:row>
                    <xdr:rowOff>243840</xdr:rowOff>
                  </to>
                </anchor>
              </controlPr>
            </control>
          </mc:Choice>
        </mc:AlternateContent>
        <mc:AlternateContent xmlns:mc="http://schemas.openxmlformats.org/markup-compatibility/2006">
          <mc:Choice Requires="x14">
            <control shapeId="193787" r:id="rId120" name="Option Button 251">
              <controlPr defaultSize="0" autoFill="0" autoLine="0" autoPict="0">
                <anchor moveWithCells="1">
                  <from>
                    <xdr:col>7</xdr:col>
                    <xdr:colOff>106680</xdr:colOff>
                    <xdr:row>50</xdr:row>
                    <xdr:rowOff>281940</xdr:rowOff>
                  </from>
                  <to>
                    <xdr:col>7</xdr:col>
                    <xdr:colOff>1950720</xdr:colOff>
                    <xdr:row>50</xdr:row>
                    <xdr:rowOff>464820</xdr:rowOff>
                  </to>
                </anchor>
              </controlPr>
            </control>
          </mc:Choice>
        </mc:AlternateContent>
        <mc:AlternateContent xmlns:mc="http://schemas.openxmlformats.org/markup-compatibility/2006">
          <mc:Choice Requires="x14">
            <control shapeId="25" r:id="rId121" name="Option Button 252">
              <controlPr defaultSize="0" autoFill="0" autoLine="0" autoPict="0">
                <anchor moveWithCells="1">
                  <from>
                    <xdr:col>7</xdr:col>
                    <xdr:colOff>106680</xdr:colOff>
                    <xdr:row>50</xdr:row>
                    <xdr:rowOff>541020</xdr:rowOff>
                  </from>
                  <to>
                    <xdr:col>7</xdr:col>
                    <xdr:colOff>1958340</xdr:colOff>
                    <xdr:row>50</xdr:row>
                    <xdr:rowOff>701040</xdr:rowOff>
                  </to>
                </anchor>
              </controlPr>
            </control>
          </mc:Choice>
        </mc:AlternateContent>
        <mc:AlternateContent xmlns:mc="http://schemas.openxmlformats.org/markup-compatibility/2006">
          <mc:Choice Requires="x14">
            <control shapeId="49" r:id="rId122" name="Option Button 253">
              <controlPr defaultSize="0" autoFill="0" autoLine="0" autoPict="0">
                <anchor moveWithCells="1">
                  <from>
                    <xdr:col>7</xdr:col>
                    <xdr:colOff>106680</xdr:colOff>
                    <xdr:row>50</xdr:row>
                    <xdr:rowOff>762000</xdr:rowOff>
                  </from>
                  <to>
                    <xdr:col>7</xdr:col>
                    <xdr:colOff>937260</xdr:colOff>
                    <xdr:row>50</xdr:row>
                    <xdr:rowOff>929640</xdr:rowOff>
                  </to>
                </anchor>
              </controlPr>
            </control>
          </mc:Choice>
        </mc:AlternateContent>
        <mc:AlternateContent xmlns:mc="http://schemas.openxmlformats.org/markup-compatibility/2006">
          <mc:Choice Requires="x14">
            <control shapeId="52" r:id="rId123" name="Group Box 254">
              <controlPr defaultSize="0" autoFill="0" autoPict="0">
                <anchor moveWithCells="1">
                  <from>
                    <xdr:col>7</xdr:col>
                    <xdr:colOff>0</xdr:colOff>
                    <xdr:row>50</xdr:row>
                    <xdr:rowOff>0</xdr:rowOff>
                  </from>
                  <to>
                    <xdr:col>8</xdr:col>
                    <xdr:colOff>0</xdr:colOff>
                    <xdr:row>51</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57A-0685-46F2-9BAE-33EB992C9F44}">
  <sheetPr codeName="Feuil38">
    <tabColor rgb="FF45413F"/>
  </sheetPr>
  <dimension ref="A1:AJ58"/>
  <sheetViews>
    <sheetView showGridLines="0" showRowColHeaders="0" zoomScale="52" zoomScaleNormal="52" workbookViewId="0">
      <selection activeCell="BF2" sqref="BF2"/>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2" width="4.33203125" style="31" customWidth="1"/>
    <col min="23" max="23" width="3" style="31" customWidth="1"/>
    <col min="24" max="24" width="23.88671875" style="31" customWidth="1"/>
    <col min="25" max="25" width="59.77734375" style="31" customWidth="1"/>
    <col min="26" max="26" width="4" style="31" customWidth="1"/>
    <col min="27" max="28" width="17.109375" style="31" customWidth="1"/>
    <col min="29" max="29" width="5.77734375" style="31" customWidth="1"/>
    <col min="30" max="30" width="7.88671875" style="31" customWidth="1"/>
    <col min="31" max="31" width="2.44140625" style="31" customWidth="1"/>
    <col min="32" max="32" width="19" style="31" customWidth="1"/>
    <col min="33" max="35" width="5.77734375" style="31" customWidth="1"/>
    <col min="36" max="16384" width="8.88671875" style="31"/>
  </cols>
  <sheetData>
    <row r="1" spans="1:36" ht="45" customHeight="1" x14ac:dyDescent="0.45">
      <c r="A1" s="233"/>
      <c r="B1" s="231" t="s">
        <v>856</v>
      </c>
      <c r="C1" s="233"/>
      <c r="D1" s="233"/>
      <c r="E1" s="110"/>
      <c r="F1" s="110"/>
      <c r="G1" s="110"/>
      <c r="H1" s="110"/>
      <c r="I1" s="110"/>
      <c r="J1" s="234"/>
      <c r="K1" s="235"/>
      <c r="L1" s="110"/>
      <c r="M1" s="110"/>
      <c r="N1" s="236"/>
      <c r="O1" s="236"/>
      <c r="P1" s="236"/>
      <c r="Q1" s="236" t="str">
        <f>VLOOKUP($E$27,BDD!$A$2:$N$567,3,FALSE)</f>
        <v>Marketing &amp; communication</v>
      </c>
      <c r="R1" s="109"/>
      <c r="S1" s="113"/>
      <c r="T1" s="113"/>
      <c r="U1" s="113"/>
      <c r="V1" s="113"/>
      <c r="W1" s="113"/>
      <c r="X1" s="113"/>
      <c r="Y1" s="113"/>
      <c r="Z1" s="113"/>
      <c r="AA1" s="113"/>
      <c r="AB1" s="113"/>
      <c r="AC1" s="113"/>
      <c r="AD1" s="113"/>
      <c r="AE1" s="113"/>
      <c r="AF1" s="113"/>
      <c r="AG1" s="113"/>
      <c r="AH1" s="113"/>
      <c r="AI1" s="113"/>
      <c r="AJ1" s="30"/>
    </row>
    <row r="2" spans="1:36" ht="45" customHeight="1" x14ac:dyDescent="0.3">
      <c r="A2" s="109"/>
      <c r="B2" s="109"/>
      <c r="C2" s="109"/>
      <c r="D2" s="109"/>
      <c r="E2" s="109"/>
      <c r="F2" s="109"/>
      <c r="G2" s="109"/>
      <c r="H2" s="109"/>
      <c r="I2" s="109"/>
      <c r="J2" s="109"/>
      <c r="K2" s="109"/>
      <c r="L2" s="109"/>
      <c r="M2" s="109"/>
      <c r="N2" s="114"/>
      <c r="O2" s="114"/>
      <c r="P2" s="114"/>
      <c r="Q2" s="114" t="str">
        <f>VLOOKUP($E$27,BDD!$A$2:$N$567,4,FALSE)</f>
        <v>Promouvoir les apports du numérique au sein de l'organisation</v>
      </c>
      <c r="R2" s="109"/>
      <c r="S2" s="115"/>
      <c r="T2" s="115"/>
      <c r="U2" s="115"/>
      <c r="V2" s="115"/>
      <c r="W2" s="115"/>
      <c r="X2" s="115"/>
      <c r="Y2" s="115"/>
      <c r="Z2" s="115"/>
      <c r="AA2" s="115"/>
      <c r="AB2" s="115"/>
      <c r="AC2" s="115"/>
      <c r="AD2" s="115"/>
      <c r="AE2" s="115"/>
      <c r="AF2" s="115"/>
      <c r="AG2" s="115"/>
      <c r="AH2" s="115"/>
      <c r="AI2" s="115"/>
      <c r="AJ2" s="30"/>
    </row>
    <row r="3" spans="1:36" ht="45" customHeight="1" thickBot="1" x14ac:dyDescent="0.35">
      <c r="A3" s="112"/>
      <c r="B3" s="30"/>
      <c r="C3" s="30"/>
      <c r="D3" s="30"/>
      <c r="E3" s="30"/>
      <c r="F3" s="30"/>
      <c r="G3" s="32"/>
      <c r="H3" s="32"/>
      <c r="I3" s="32"/>
      <c r="J3" s="32"/>
      <c r="K3" s="32"/>
      <c r="L3" s="32"/>
      <c r="M3" s="32"/>
      <c r="N3" s="30"/>
      <c r="O3" s="30"/>
      <c r="P3" s="30"/>
      <c r="Q3" s="30"/>
      <c r="R3" s="30"/>
      <c r="S3" s="30"/>
      <c r="T3" s="30"/>
      <c r="U3" s="30"/>
      <c r="V3" s="30"/>
      <c r="W3" s="30"/>
      <c r="X3" s="33"/>
      <c r="Y3" s="30"/>
      <c r="Z3" s="30"/>
      <c r="AA3" s="30"/>
      <c r="AB3" s="30"/>
      <c r="AC3" s="30"/>
      <c r="AD3" s="30"/>
      <c r="AE3" s="30"/>
      <c r="AF3" s="30"/>
      <c r="AG3" s="30"/>
      <c r="AH3" s="30"/>
      <c r="AI3" s="112"/>
      <c r="AJ3" s="30"/>
    </row>
    <row r="4" spans="1:36" ht="26.4" thickBot="1" x14ac:dyDescent="0.55000000000000004">
      <c r="A4" s="112"/>
      <c r="B4" s="30"/>
      <c r="C4" s="30"/>
      <c r="D4" s="30"/>
      <c r="E4" s="30"/>
      <c r="F4" s="30"/>
      <c r="G4" s="36" t="s">
        <v>1</v>
      </c>
      <c r="H4" s="34"/>
      <c r="I4" s="32"/>
      <c r="J4" s="34"/>
      <c r="K4" s="34"/>
      <c r="L4" s="34"/>
      <c r="M4" s="34"/>
      <c r="N4" s="30"/>
      <c r="O4" s="30"/>
      <c r="P4" s="30"/>
      <c r="Q4" s="30"/>
      <c r="R4" s="30"/>
      <c r="S4" s="30"/>
      <c r="T4" s="30"/>
      <c r="U4" s="30"/>
      <c r="V4" s="30"/>
      <c r="W4" s="30"/>
      <c r="X4" s="122" t="s">
        <v>0</v>
      </c>
      <c r="Y4" s="30"/>
      <c r="Z4" s="30"/>
      <c r="AA4" s="30"/>
      <c r="AB4" s="417"/>
      <c r="AC4" s="418" t="s">
        <v>1079</v>
      </c>
      <c r="AD4" s="30"/>
      <c r="AE4" s="30"/>
      <c r="AF4" s="30"/>
      <c r="AG4" s="35"/>
      <c r="AH4" s="35"/>
      <c r="AI4" s="117"/>
      <c r="AJ4" s="30"/>
    </row>
    <row r="5" spans="1:36" ht="30" customHeight="1" thickBot="1" x14ac:dyDescent="0.35">
      <c r="A5" s="112"/>
      <c r="B5" s="30"/>
      <c r="C5" s="30"/>
      <c r="D5" s="30"/>
      <c r="E5" s="30" t="str">
        <f>$C$25&amp;"11"</f>
        <v>1311</v>
      </c>
      <c r="F5" s="30"/>
      <c r="G5" s="196" t="str">
        <f>IF(VLOOKUP(E5,BDD!$A$2:$N$567,13,FALSE)=0,"",VLOOKUP(E5,BDD!$A$2:$N$567,13,FALSE))</f>
        <v>Développer la confiance à l'égard du numérique au sein de l'organisation.</v>
      </c>
      <c r="H5" s="37"/>
      <c r="I5" s="32"/>
      <c r="K5" s="37"/>
      <c r="L5" s="568"/>
      <c r="M5" s="568"/>
      <c r="N5" s="569"/>
      <c r="O5" s="569"/>
      <c r="P5" s="569"/>
      <c r="Q5" s="569"/>
      <c r="R5" s="569"/>
      <c r="S5" s="569"/>
      <c r="T5" s="569"/>
      <c r="U5" s="569"/>
      <c r="V5" s="569"/>
      <c r="W5" s="569"/>
      <c r="X5" s="570"/>
      <c r="Y5" s="569"/>
      <c r="Z5" s="569"/>
      <c r="AA5" s="569"/>
      <c r="AB5" s="569"/>
      <c r="AC5" s="30"/>
      <c r="AD5" s="30"/>
      <c r="AE5" s="30"/>
      <c r="AF5" s="30"/>
      <c r="AG5" s="30"/>
      <c r="AH5" s="30"/>
      <c r="AI5" s="112"/>
      <c r="AJ5" s="30"/>
    </row>
    <row r="6" spans="1:36" ht="30" customHeight="1" x14ac:dyDescent="0.3">
      <c r="A6" s="116"/>
      <c r="B6" s="38"/>
      <c r="C6" s="38"/>
      <c r="D6" s="38"/>
      <c r="E6" s="38" t="str">
        <f>$C$25&amp;"12"</f>
        <v>1312</v>
      </c>
      <c r="F6" s="38"/>
      <c r="G6" s="196" t="str">
        <f>IF(VLOOKUP(E6,BDD!$A$2:$N$567,13,FALSE)=0,"",VLOOKUP(E6,BDD!$A$2:$N$567,13,FALSE))</f>
        <v>Promouvoir les innovations numériques et les nouveaux usages pour sensibiliser et acculturer.</v>
      </c>
      <c r="H6" s="39"/>
      <c r="I6" s="32"/>
      <c r="K6" s="39"/>
      <c r="L6" s="538"/>
      <c r="M6" s="539"/>
      <c r="N6" s="540"/>
      <c r="O6" s="541"/>
      <c r="P6" s="541"/>
      <c r="Q6" s="541"/>
      <c r="R6" s="541"/>
      <c r="S6" s="541"/>
      <c r="T6" s="541"/>
      <c r="U6" s="541"/>
      <c r="V6" s="541"/>
      <c r="W6" s="541"/>
      <c r="X6" s="541"/>
      <c r="Y6" s="541"/>
      <c r="Z6" s="541"/>
      <c r="AA6" s="541"/>
      <c r="AB6" s="541"/>
      <c r="AC6" s="542"/>
      <c r="AD6" s="35"/>
      <c r="AE6" s="35"/>
      <c r="AF6" s="35"/>
      <c r="AG6" s="32"/>
      <c r="AH6" s="32"/>
      <c r="AI6" s="118"/>
      <c r="AJ6" s="38"/>
    </row>
    <row r="7" spans="1:36" ht="31.8" thickBot="1" x14ac:dyDescent="0.35">
      <c r="A7" s="116"/>
      <c r="B7" s="38"/>
      <c r="C7" s="38"/>
      <c r="D7" s="38"/>
      <c r="E7" s="38" t="str">
        <f>$C$25&amp;"13"</f>
        <v>1313</v>
      </c>
      <c r="F7" s="38"/>
      <c r="G7" s="196" t="str">
        <f>IF(VLOOKUP(E7,BDD!$A$2:$N$567,13,FALSE)=0,"",VLOOKUP(E7,BDD!$A$2:$N$567,13,FALSE))</f>
        <v>Faciliter l'adhésion des collaborateurs de l'organisation aux usages et aux transformations numériques.</v>
      </c>
      <c r="H7" s="39"/>
      <c r="I7" s="32"/>
      <c r="K7" s="39"/>
      <c r="L7" s="543"/>
      <c r="M7" s="544"/>
      <c r="N7" s="420" t="s">
        <v>2</v>
      </c>
      <c r="O7" s="421" t="s">
        <v>3</v>
      </c>
      <c r="P7" s="421" t="s">
        <v>4</v>
      </c>
      <c r="Q7" s="421" t="s">
        <v>5</v>
      </c>
      <c r="R7" s="421" t="s">
        <v>6</v>
      </c>
      <c r="S7" s="421" t="s">
        <v>7</v>
      </c>
      <c r="T7" s="421" t="s">
        <v>8</v>
      </c>
      <c r="U7" s="421" t="s">
        <v>9</v>
      </c>
      <c r="V7" s="421" t="s">
        <v>1019</v>
      </c>
      <c r="W7" s="545"/>
      <c r="X7" s="460" t="s">
        <v>10</v>
      </c>
      <c r="Y7" s="461" t="s">
        <v>11</v>
      </c>
      <c r="Z7" s="546"/>
      <c r="AA7" s="463" t="s">
        <v>12</v>
      </c>
      <c r="AB7" s="464" t="s">
        <v>13</v>
      </c>
      <c r="AC7" s="547"/>
      <c r="AD7" s="40"/>
      <c r="AE7" s="637" t="s">
        <v>14</v>
      </c>
      <c r="AF7" s="41" t="s">
        <v>15</v>
      </c>
      <c r="AG7" s="32"/>
      <c r="AH7" s="32"/>
      <c r="AI7" s="118"/>
      <c r="AJ7" s="38"/>
    </row>
    <row r="8" spans="1:36" ht="41.4" x14ac:dyDescent="0.3">
      <c r="A8" s="116"/>
      <c r="B8" s="38"/>
      <c r="C8" s="38"/>
      <c r="D8" s="38"/>
      <c r="E8" s="38" t="str">
        <f>$C$25&amp;"14"</f>
        <v>1314</v>
      </c>
      <c r="F8" s="38"/>
      <c r="G8" s="196" t="str">
        <f>IF(VLOOKUP(E8,BDD!$A$2:$N$567,13,FALSE)=0,"",VLOOKUP(E8,BDD!$A$2:$N$567,13,FALSE))</f>
        <v>Positionner la DSI comme un acteur stratégique.</v>
      </c>
      <c r="H8" s="39"/>
      <c r="I8" s="32"/>
      <c r="K8" s="39"/>
      <c r="L8" s="543"/>
      <c r="M8" s="419" t="str">
        <f>IF(LEFT(RIGHT($B$1,2),1)=" ",RIGHT($B$1,1),RIGHT($B$1,2))&amp;1</f>
        <v>131</v>
      </c>
      <c r="N8" s="422" t="str">
        <f>RIGHT(M8,1)&amp;" : "&amp;VLOOKUP($M8&amp;"1",BDD!$A$2:$N$567,6,FALSE)</f>
        <v>1 : Marketing de la DSI</v>
      </c>
      <c r="O8" s="423" t="str">
        <f>IF(VLOOKUP($M8&amp;RIGHT(O$7,1),BDD!$A$1:$S$600,15,FALSE)=4,"NE",IF(VLOOKUP($M8&amp;RIGHT(O$7,1),BDD!$A$1:$S$600,15,FALSE)=0,"NE",VLOOKUP($M8&amp;RIGHT(O$7,1),BDD!$A$1:$S$600,15,FALSE)))</f>
        <v>NE</v>
      </c>
      <c r="P8" s="423" t="str">
        <f>IF(VLOOKUP($M8&amp;RIGHT(P$7,1),BDD!$A$1:$S$600,15,FALSE)=4,"NE",IF(VLOOKUP($M8&amp;RIGHT(P$7,1),BDD!$A$1:$S$600,15,FALSE)=0,"NE",VLOOKUP($M8&amp;RIGHT(P$7,1),BDD!$A$1:$S$600,15,FALSE)))</f>
        <v>NE</v>
      </c>
      <c r="Q8" s="423" t="str">
        <f>IF(VLOOKUP($M8&amp;RIGHT(Q$7,1),BDD!$A$1:$S$600,15,FALSE)=4,"NE",IF(VLOOKUP($M8&amp;RIGHT(Q$7,1),BDD!$A$1:$S$600,15,FALSE)=0,"NE",VLOOKUP($M8&amp;RIGHT(Q$7,1),BDD!$A$1:$S$600,15,FALSE)))</f>
        <v>NE</v>
      </c>
      <c r="R8" s="423" t="str">
        <f>IF(VLOOKUP($M8&amp;RIGHT(R$7,1),BDD!$A$1:$S$600,15,FALSE)=4,"NE",IF(VLOOKUP($M8&amp;RIGHT(R$7,1),BDD!$A$1:$S$600,15,FALSE)=0,"NE",VLOOKUP($M8&amp;RIGHT(R$7,1),BDD!$A$1:$S$600,15,FALSE)))</f>
        <v>NE</v>
      </c>
      <c r="S8" s="423" t="str">
        <f>IF(VLOOKUP($M8&amp;RIGHT(S$7,1),BDD!$A$1:$S$600,15,FALSE)=4,"NE",IF(VLOOKUP($M8&amp;RIGHT(S$7,1),BDD!$A$1:$S$600,15,FALSE)=0,"NE",VLOOKUP($M8&amp;RIGHT(S$7,1),BDD!$A$1:$S$600,15,FALSE)))</f>
        <v>NE</v>
      </c>
      <c r="T8" s="423"/>
      <c r="U8" s="475"/>
      <c r="V8" s="475"/>
      <c r="W8" s="545"/>
      <c r="X8" s="441" t="s">
        <v>16</v>
      </c>
      <c r="Y8" s="442"/>
      <c r="Z8" s="548"/>
      <c r="AA8" s="468">
        <f>O25</f>
        <v>0</v>
      </c>
      <c r="AB8" s="469">
        <f>S25</f>
        <v>0</v>
      </c>
      <c r="AC8" s="547"/>
      <c r="AD8" s="40"/>
      <c r="AE8" s="638"/>
      <c r="AF8" s="44" t="s">
        <v>17</v>
      </c>
      <c r="AG8" s="32"/>
      <c r="AH8" s="32"/>
      <c r="AI8" s="118"/>
      <c r="AJ8" s="38"/>
    </row>
    <row r="9" spans="1:36" ht="30" customHeight="1" x14ac:dyDescent="0.3">
      <c r="A9" s="116"/>
      <c r="B9" s="38"/>
      <c r="C9" s="38"/>
      <c r="D9" s="38"/>
      <c r="E9" s="38" t="str">
        <f>$C$25&amp;"15"</f>
        <v>1315</v>
      </c>
      <c r="F9" s="38"/>
      <c r="G9" s="196" t="str">
        <f>IF(VLOOKUP(E9,BDD!$A$2:$N$567,13,FALSE)=0,"",VLOOKUP(E9,BDD!$A$2:$N$567,13,FALSE))</f>
        <v>Contribuer à la valorisation de l'organisation (via la communication externe).</v>
      </c>
      <c r="H9" s="39"/>
      <c r="I9" s="32"/>
      <c r="K9" s="39"/>
      <c r="L9" s="543"/>
      <c r="M9" s="419" t="str">
        <f>IF(LEFT(RIGHT($B$1,2),1)=" ",RIGHT($B$1,1),RIGHT($B$1,2))&amp;2</f>
        <v>132</v>
      </c>
      <c r="N9" s="424" t="str">
        <f>RIGHT(M9,1)&amp;" : "&amp;VLOOKUP($M9&amp;"1",BDD!$A$2:$N$567,6,FALSE)</f>
        <v>2 : Marketing des services</v>
      </c>
      <c r="O9" s="425" t="str">
        <f>IF(VLOOKUP($M9&amp;RIGHT(O$7,1),BDD!$A$1:$S$600,15,FALSE)=4,"NE",IF(VLOOKUP($M9&amp;RIGHT(O$7,1),BDD!$A$1:$S$600,15,FALSE)=0,"NE",VLOOKUP($M9&amp;RIGHT(O$7,1),BDD!$A$1:$S$600,15,FALSE)))</f>
        <v>NE</v>
      </c>
      <c r="P9" s="425" t="str">
        <f>IF(VLOOKUP($M9&amp;RIGHT(P$7,1),BDD!$A$1:$S$600,15,FALSE)=4,"NE",IF(VLOOKUP($M9&amp;RIGHT(P$7,1),BDD!$A$1:$S$600,15,FALSE)=0,"NE",VLOOKUP($M9&amp;RIGHT(P$7,1),BDD!$A$1:$S$600,15,FALSE)))</f>
        <v>NE</v>
      </c>
      <c r="Q9" s="425" t="str">
        <f>IF(VLOOKUP($M9&amp;RIGHT(Q$7,1),BDD!$A$1:$S$600,15,FALSE)=4,"NE",IF(VLOOKUP($M9&amp;RIGHT(Q$7,1),BDD!$A$1:$S$600,15,FALSE)=0,"NE",VLOOKUP($M9&amp;RIGHT(Q$7,1),BDD!$A$1:$S$600,15,FALSE)))</f>
        <v>NE</v>
      </c>
      <c r="R9" s="425" t="str">
        <f>IF(VLOOKUP($M9&amp;RIGHT(R$7,1),BDD!$A$1:$S$600,15,FALSE)=4,"NE",IF(VLOOKUP($M9&amp;RIGHT(R$7,1),BDD!$A$1:$S$600,15,FALSE)=0,"NE",VLOOKUP($M9&amp;RIGHT(R$7,1),BDD!$A$1:$S$600,15,FALSE)))</f>
        <v>NE</v>
      </c>
      <c r="S9" s="425" t="str">
        <f>IF(VLOOKUP($M9&amp;RIGHT(S$7,1),BDD!$A$1:$S$600,15,FALSE)=4,"NE",IF(VLOOKUP($M9&amp;RIGHT(S$7,1),BDD!$A$1:$S$600,15,FALSE)=0,"NE",VLOOKUP($M9&amp;RIGHT(S$7,1),BDD!$A$1:$S$600,15,FALSE)))</f>
        <v>NE</v>
      </c>
      <c r="T9" s="426"/>
      <c r="U9" s="427"/>
      <c r="V9" s="427"/>
      <c r="W9" s="545"/>
      <c r="X9" s="443" t="s">
        <v>16</v>
      </c>
      <c r="Y9" s="444"/>
      <c r="Z9" s="549"/>
      <c r="AA9" s="472">
        <f>O33</f>
        <v>0</v>
      </c>
      <c r="AB9" s="473">
        <f>S33</f>
        <v>0</v>
      </c>
      <c r="AC9" s="547"/>
      <c r="AD9" s="40"/>
      <c r="AE9" s="638"/>
      <c r="AF9" s="48" t="s">
        <v>18</v>
      </c>
      <c r="AG9" s="32"/>
      <c r="AH9" s="32"/>
      <c r="AI9" s="118"/>
      <c r="AJ9" s="38"/>
    </row>
    <row r="10" spans="1:36" ht="30" customHeight="1" x14ac:dyDescent="0.3">
      <c r="A10" s="116"/>
      <c r="B10" s="38"/>
      <c r="C10" s="38"/>
      <c r="D10" s="38"/>
      <c r="E10" s="38" t="str">
        <f>$C$25&amp;"16"</f>
        <v>1316</v>
      </c>
      <c r="F10" s="38"/>
      <c r="G10" s="31" t="str">
        <f>IF(VLOOKUP(E10,BDD!$A$2:$N$567,13,FALSE)=0,"",VLOOKUP(E10,BDD!$A$2:$N$567,13,FALSE))</f>
        <v/>
      </c>
      <c r="H10" s="39"/>
      <c r="I10" s="32"/>
      <c r="K10" s="39"/>
      <c r="L10" s="543"/>
      <c r="M10" s="419" t="str">
        <f>IF(LEFT(RIGHT($B$1,2),1)=" ",RIGHT($B$1,1),RIGHT($B$1,2))&amp;3</f>
        <v>133</v>
      </c>
      <c r="N10" s="422" t="str">
        <f>RIGHT(M10,1)&amp;" : "&amp;VLOOKUP($M10&amp;"1",BDD!$A$2:$N$567,6,FALSE)</f>
        <v>3 : Plan de communication du numérique</v>
      </c>
      <c r="O10" s="423" t="str">
        <f>IF(VLOOKUP($M10&amp;RIGHT(O$7,1),BDD!$A$1:$S$600,15,FALSE)=4,"NE",IF(VLOOKUP($M10&amp;RIGHT(O$7,1),BDD!$A$1:$S$600,15,FALSE)=0,"NE",VLOOKUP($M10&amp;RIGHT(O$7,1),BDD!$A$1:$S$600,15,FALSE)))</f>
        <v>NE</v>
      </c>
      <c r="P10" s="423" t="str">
        <f>IF(VLOOKUP($M10&amp;RIGHT(P$7,1),BDD!$A$1:$S$600,15,FALSE)=4,"NE",IF(VLOOKUP($M10&amp;RIGHT(P$7,1),BDD!$A$1:$S$600,15,FALSE)=0,"NE",VLOOKUP($M10&amp;RIGHT(P$7,1),BDD!$A$1:$S$600,15,FALSE)))</f>
        <v>NE</v>
      </c>
      <c r="Q10" s="423" t="str">
        <f>IF(VLOOKUP($M10&amp;RIGHT(Q$7,1),BDD!$A$1:$S$600,15,FALSE)=4,"NE",IF(VLOOKUP($M10&amp;RIGHT(Q$7,1),BDD!$A$1:$S$600,15,FALSE)=0,"NE",VLOOKUP($M10&amp;RIGHT(Q$7,1),BDD!$A$1:$S$600,15,FALSE)))</f>
        <v>NE</v>
      </c>
      <c r="R10" s="428" t="str">
        <f>IF(VLOOKUP($M10&amp;RIGHT(R$7,1),BDD!$A$1:$S$600,15,FALSE)=4,"NE",IF(VLOOKUP($M10&amp;RIGHT(R$7,1),BDD!$A$1:$S$600,15,FALSE)=0,"NE",VLOOKUP($M10&amp;RIGHT(R$7,1),BDD!$A$1:$S$600,15,FALSE)))</f>
        <v>NE</v>
      </c>
      <c r="S10" s="423" t="str">
        <f>IF(VLOOKUP($M10&amp;RIGHT(S$7,1),BDD!$A$1:$S$600,15,FALSE)=4,"NE",IF(VLOOKUP($M10&amp;RIGHT(S$7,1),BDD!$A$1:$S$600,15,FALSE)=0,"NE",VLOOKUP($M10&amp;RIGHT(S$7,1),BDD!$A$1:$S$600,15,FALSE)))</f>
        <v>NE</v>
      </c>
      <c r="T10" s="423" t="str">
        <f>IF(VLOOKUP($M10&amp;RIGHT(T$7,1),BDD!$A$1:$S$600,15,FALSE)=4,"NE",IF(VLOOKUP($M10&amp;RIGHT(T$7,1),BDD!$A$1:$S$600,15,FALSE)=0,"NE",VLOOKUP($M10&amp;RIGHT(T$7,1),BDD!$A$1:$S$600,15,FALSE)))</f>
        <v>NE</v>
      </c>
      <c r="U10" s="429" t="str">
        <f>IF(VLOOKUP($M10&amp;RIGHT(U$7,1),BDD!$A$1:$S$600,15,FALSE)=4,"NE",IF(VLOOKUP($M10&amp;RIGHT(U$7,1),BDD!$A$1:$S$600,15,FALSE)=0,"NE",VLOOKUP($M10&amp;RIGHT(U$7,1),BDD!$A$1:$S$600,15,FALSE)))</f>
        <v>NE</v>
      </c>
      <c r="V10" s="429" t="str">
        <f>IF(VLOOKUP($M10&amp;RIGHT(V$7,1),BDD!$A$1:$S$600,15,FALSE)=4,"NE",IF(VLOOKUP($M10&amp;RIGHT(V$7,1),BDD!$A$1:$S$600,15,FALSE)=0,"NE",VLOOKUP($M10&amp;RIGHT(V$7,1),BDD!$A$1:$S$600,15,FALSE)))</f>
        <v>NE</v>
      </c>
      <c r="W10" s="545"/>
      <c r="X10" s="445" t="s">
        <v>16</v>
      </c>
      <c r="Y10" s="446"/>
      <c r="Z10" s="548"/>
      <c r="AA10" s="468">
        <f>O40</f>
        <v>0</v>
      </c>
      <c r="AB10" s="469">
        <f>S40</f>
        <v>0</v>
      </c>
      <c r="AC10" s="547"/>
      <c r="AD10" s="40"/>
      <c r="AE10" s="638"/>
      <c r="AF10" s="53" t="s">
        <v>19</v>
      </c>
      <c r="AG10" s="51"/>
      <c r="AH10" s="52"/>
      <c r="AI10" s="119"/>
      <c r="AJ10" s="38"/>
    </row>
    <row r="11" spans="1:36" ht="30" customHeight="1" thickBot="1" x14ac:dyDescent="0.35">
      <c r="A11" s="112"/>
      <c r="B11" s="30"/>
      <c r="C11" s="30"/>
      <c r="D11" s="30"/>
      <c r="E11" s="30" t="str">
        <f>$C$25&amp;"17"</f>
        <v>1317</v>
      </c>
      <c r="F11" s="30"/>
      <c r="G11" s="31" t="str">
        <f>IF(VLOOKUP(E11,BDD!$A$2:$N$567,13,FALSE)=0,"",VLOOKUP(E11,BDD!$A$2:$N$567,13,FALSE))</f>
        <v/>
      </c>
      <c r="H11" s="52"/>
      <c r="I11" s="32"/>
      <c r="K11" s="52"/>
      <c r="L11" s="550"/>
      <c r="M11" s="419" t="str">
        <f>IF(LEFT(RIGHT($B$1,2),1)=" ",RIGHT($B$1,1),RIGHT($B$1,2))&amp;4</f>
        <v>134</v>
      </c>
      <c r="N11" s="424" t="str">
        <f>RIGHT(M11,1)&amp;" : "&amp;VLOOKUP($M11&amp;"1",BDD!$A$2:$N$567,6,FALSE)</f>
        <v>4 : Situation de crise</v>
      </c>
      <c r="O11" s="425" t="str">
        <f>IF(VLOOKUP($M11&amp;RIGHT(O$7,1),BDD!$A$1:$S$600,15,FALSE)=4,"NE",IF(VLOOKUP($M11&amp;RIGHT(O$7,1),BDD!$A$1:$S$600,15,FALSE)=0,"NE",VLOOKUP($M11&amp;RIGHT(O$7,1),BDD!$A$1:$S$600,15,FALSE)))</f>
        <v>NE</v>
      </c>
      <c r="P11" s="425" t="str">
        <f>IF(VLOOKUP($M11&amp;RIGHT(P$7,1),BDD!$A$1:$S$600,15,FALSE)=4,"NE",IF(VLOOKUP($M11&amp;RIGHT(P$7,1),BDD!$A$1:$S$600,15,FALSE)=0,"NE",VLOOKUP($M11&amp;RIGHT(P$7,1),BDD!$A$1:$S$600,15,FALSE)))</f>
        <v>NE</v>
      </c>
      <c r="Q11" s="425" t="str">
        <f>IF(VLOOKUP($M11&amp;RIGHT(Q$7,1),BDD!$A$1:$S$600,15,FALSE)=4,"NE",IF(VLOOKUP($M11&amp;RIGHT(Q$7,1),BDD!$A$1:$S$600,15,FALSE)=0,"NE",VLOOKUP($M11&amp;RIGHT(Q$7,1),BDD!$A$1:$S$600,15,FALSE)))</f>
        <v>NE</v>
      </c>
      <c r="R11" s="425" t="str">
        <f>IF(VLOOKUP($M11&amp;RIGHT(R$7,1),BDD!$A$1:$S$600,15,FALSE)=4,"NE",IF(VLOOKUP($M11&amp;RIGHT(R$7,1),BDD!$A$1:$S$600,15,FALSE)=0,"NE",VLOOKUP($M11&amp;RIGHT(R$7,1),BDD!$A$1:$S$600,15,FALSE)))</f>
        <v>NE</v>
      </c>
      <c r="S11" s="425" t="str">
        <f>IF(VLOOKUP($M11&amp;RIGHT(S$7,1),BDD!$A$1:$S$600,15,FALSE)=4,"NE",IF(VLOOKUP($M11&amp;RIGHT(S$7,1),BDD!$A$1:$S$600,15,FALSE)=0,"NE",VLOOKUP($M11&amp;RIGHT(S$7,1),BDD!$A$1:$S$600,15,FALSE)))</f>
        <v>NE</v>
      </c>
      <c r="T11" s="426"/>
      <c r="U11" s="427"/>
      <c r="V11" s="427"/>
      <c r="W11" s="545"/>
      <c r="X11" s="447" t="s">
        <v>16</v>
      </c>
      <c r="Y11" s="448"/>
      <c r="Z11" s="548"/>
      <c r="AA11" s="472">
        <f>O50</f>
        <v>0</v>
      </c>
      <c r="AB11" s="473">
        <f>S50</f>
        <v>0</v>
      </c>
      <c r="AC11" s="547"/>
      <c r="AD11" s="40"/>
      <c r="AE11" s="212"/>
      <c r="AG11" s="51"/>
      <c r="AH11" s="52"/>
      <c r="AI11" s="119"/>
      <c r="AJ11" s="30"/>
    </row>
    <row r="12" spans="1:36" ht="30" customHeight="1" x14ac:dyDescent="0.3">
      <c r="A12" s="112"/>
      <c r="B12" s="30"/>
      <c r="C12" s="30"/>
      <c r="D12" s="30"/>
      <c r="F12" s="30"/>
      <c r="G12" s="54" t="s">
        <v>20</v>
      </c>
      <c r="H12" s="57"/>
      <c r="I12" s="32"/>
      <c r="K12" s="34"/>
      <c r="L12" s="552"/>
      <c r="M12" s="553"/>
      <c r="N12" s="554"/>
      <c r="O12" s="554"/>
      <c r="P12" s="554"/>
      <c r="Q12" s="554"/>
      <c r="R12" s="554"/>
      <c r="S12" s="554"/>
      <c r="T12" s="554"/>
      <c r="U12" s="556"/>
      <c r="V12" s="556"/>
      <c r="W12" s="556"/>
      <c r="X12" s="556"/>
      <c r="Y12" s="556"/>
      <c r="Z12" s="556"/>
      <c r="AA12" s="556"/>
      <c r="AB12" s="556"/>
      <c r="AC12" s="557"/>
      <c r="AD12" s="55"/>
      <c r="AE12" s="56"/>
      <c r="AF12" s="56"/>
      <c r="AG12" s="30"/>
      <c r="AH12" s="30"/>
      <c r="AI12" s="112"/>
      <c r="AJ12" s="30"/>
    </row>
    <row r="13" spans="1:36" ht="30" customHeight="1" thickBot="1" x14ac:dyDescent="0.35">
      <c r="A13" s="112"/>
      <c r="B13" s="30"/>
      <c r="C13" s="30"/>
      <c r="D13" s="30"/>
      <c r="E13" s="30" t="s">
        <v>1013</v>
      </c>
      <c r="F13" s="30"/>
      <c r="G13" s="197" t="str">
        <f>IF(VLOOKUP(E13,BDD!$A$2:$N$567,14,FALSE)=0,"",VLOOKUP(E13,BDD!$A$2:$N$567,14,FALSE))</f>
        <v>Usages et réalisations non contrôlés, potentiellement risqués (conformité, menace cyber...), induits par une communication insuffisante ou absente.</v>
      </c>
      <c r="H13" s="58"/>
      <c r="I13" s="32"/>
      <c r="K13" s="57"/>
      <c r="L13" s="558"/>
      <c r="M13" s="553"/>
      <c r="N13" s="559" t="str">
        <f>"Evaluation globale du vecteur "&amp;RIGHT(B1,2)</f>
        <v>Evaluation globale du vecteur 13</v>
      </c>
      <c r="O13" s="560"/>
      <c r="P13" s="560"/>
      <c r="Q13" s="560"/>
      <c r="R13" s="560"/>
      <c r="S13" s="560"/>
      <c r="T13" s="560"/>
      <c r="U13" s="556"/>
      <c r="V13" s="556"/>
      <c r="W13" s="556"/>
      <c r="X13" s="556"/>
      <c r="Y13" s="556"/>
      <c r="Z13" s="548"/>
      <c r="AA13" s="562" t="s">
        <v>642</v>
      </c>
      <c r="AB13" s="562" t="s">
        <v>643</v>
      </c>
      <c r="AC13" s="557"/>
      <c r="AD13" s="30"/>
      <c r="AE13" s="30"/>
      <c r="AF13" s="30"/>
      <c r="AG13" s="30"/>
      <c r="AH13" s="30"/>
      <c r="AI13" s="112"/>
      <c r="AJ13" s="30"/>
    </row>
    <row r="14" spans="1:36" ht="38.4" customHeight="1" thickBot="1" x14ac:dyDescent="0.35">
      <c r="A14" s="112"/>
      <c r="B14" s="30"/>
      <c r="C14" s="30"/>
      <c r="D14" s="30"/>
      <c r="E14" s="30" t="s">
        <v>1014</v>
      </c>
      <c r="F14" s="30"/>
      <c r="G14" s="197" t="str">
        <f>IF(VLOOKUP(E14,BDD!$A$2:$N$567,14,FALSE)=0,"",VLOOKUP(E14,BDD!$A$2:$N$567,14,FALSE))</f>
        <v>Manque d’attractivité de la DSI en interne et externe à l'organisation, notamment pour recruter ou retenir les collaborateurs au sein de l'organisation.</v>
      </c>
      <c r="H14" s="58"/>
      <c r="I14" s="32"/>
      <c r="K14" s="58"/>
      <c r="L14" s="551"/>
      <c r="M14" s="553"/>
      <c r="N14" s="451"/>
      <c r="O14" s="560"/>
      <c r="P14" s="560"/>
      <c r="Q14" s="560"/>
      <c r="R14" s="560"/>
      <c r="S14" s="560"/>
      <c r="T14" s="560"/>
      <c r="U14" s="560"/>
      <c r="V14" s="560"/>
      <c r="W14" s="560"/>
      <c r="X14" s="449" t="s">
        <v>16</v>
      </c>
      <c r="Y14" s="450"/>
      <c r="Z14" s="556"/>
      <c r="AA14" s="530">
        <f>O22</f>
        <v>0</v>
      </c>
      <c r="AB14" s="531">
        <f>SUM($X$27:$X$56)</f>
        <v>0</v>
      </c>
      <c r="AC14" s="557"/>
      <c r="AD14" s="30"/>
      <c r="AE14" s="30"/>
      <c r="AF14" s="30"/>
      <c r="AG14" s="30"/>
      <c r="AH14" s="30"/>
      <c r="AI14" s="112"/>
      <c r="AJ14" s="30"/>
    </row>
    <row r="15" spans="1:36" ht="38.4" customHeight="1" thickBot="1" x14ac:dyDescent="0.35">
      <c r="A15" s="112"/>
      <c r="B15" s="30"/>
      <c r="C15" s="30"/>
      <c r="D15" s="30"/>
      <c r="E15" s="30" t="s">
        <v>1015</v>
      </c>
      <c r="F15" s="30"/>
      <c r="G15" s="197" t="str">
        <f>IF(VLOOKUP(E15,BDD!$A$2:$N$567,14,FALSE)=0,"",VLOOKUP(E15,BDD!$A$2:$N$567,14,FALSE))</f>
        <v>Dégradation de l'image du SI.</v>
      </c>
      <c r="H15" s="58"/>
      <c r="I15" s="32"/>
      <c r="K15" s="32"/>
      <c r="L15" s="563"/>
      <c r="M15" s="564"/>
      <c r="N15" s="565"/>
      <c r="O15" s="565"/>
      <c r="P15" s="565"/>
      <c r="Q15" s="565"/>
      <c r="R15" s="565"/>
      <c r="S15" s="565"/>
      <c r="T15" s="565"/>
      <c r="U15" s="565"/>
      <c r="V15" s="565"/>
      <c r="W15" s="565"/>
      <c r="X15" s="566"/>
      <c r="Y15" s="565"/>
      <c r="Z15" s="565"/>
      <c r="AA15" s="565"/>
      <c r="AB15" s="565"/>
      <c r="AC15" s="567"/>
      <c r="AD15" s="30"/>
      <c r="AE15" s="30"/>
      <c r="AF15" s="30"/>
      <c r="AG15" s="30"/>
      <c r="AH15" s="30"/>
      <c r="AI15" s="112"/>
      <c r="AJ15" s="30"/>
    </row>
    <row r="16" spans="1:36" ht="24" customHeight="1" x14ac:dyDescent="0.3">
      <c r="A16" s="112"/>
      <c r="B16" s="30"/>
      <c r="C16" s="30"/>
      <c r="D16" s="30"/>
      <c r="E16" s="30" t="s">
        <v>1016</v>
      </c>
      <c r="F16" s="30"/>
      <c r="G16" s="197" t="str">
        <f>IF(VLOOKUP(E16,BDD!$A$2:$N$567,14,FALSE)=0,"",VLOOKUP(E16,BDD!$A$2:$N$567,14,FALSE))</f>
        <v/>
      </c>
      <c r="H16" s="58"/>
      <c r="I16" s="32"/>
      <c r="L16" s="571"/>
      <c r="M16" s="572"/>
      <c r="N16" s="569"/>
      <c r="O16" s="569"/>
      <c r="P16" s="569"/>
      <c r="Q16" s="569"/>
      <c r="R16" s="569"/>
      <c r="S16" s="569"/>
      <c r="T16" s="569"/>
      <c r="U16" s="569"/>
      <c r="V16" s="569"/>
      <c r="W16" s="569"/>
      <c r="X16" s="569"/>
      <c r="Y16" s="569"/>
      <c r="Z16" s="569"/>
      <c r="AA16" s="569"/>
      <c r="AB16" s="569"/>
      <c r="AC16" s="30"/>
      <c r="AE16" s="30"/>
      <c r="AF16" s="30"/>
      <c r="AG16" s="30"/>
      <c r="AH16" s="30"/>
      <c r="AI16" s="112"/>
      <c r="AJ16" s="30"/>
    </row>
    <row r="17" spans="1:36" ht="24" hidden="1" customHeight="1" x14ac:dyDescent="0.3">
      <c r="A17" s="112"/>
      <c r="B17" s="30"/>
      <c r="C17" s="30"/>
      <c r="D17" s="30"/>
      <c r="E17" s="30" t="s">
        <v>1017</v>
      </c>
      <c r="F17" s="30"/>
      <c r="G17" s="197" t="str">
        <f>IF(VLOOKUP(E17,BDD!$A$2:$N$567,14,FALSE)=0,"",VLOOKUP(E17,BDD!$A$2:$N$567,14,FALSE))</f>
        <v/>
      </c>
      <c r="H17" s="58"/>
      <c r="I17" s="32"/>
      <c r="L17" s="573"/>
      <c r="M17" s="573"/>
      <c r="N17" s="573"/>
      <c r="O17" s="573"/>
      <c r="P17" s="573"/>
      <c r="Q17" s="573"/>
      <c r="R17" s="573"/>
      <c r="S17" s="573"/>
      <c r="T17" s="573"/>
      <c r="U17" s="573"/>
      <c r="V17" s="573"/>
      <c r="W17" s="573"/>
      <c r="X17" s="573"/>
      <c r="Y17" s="573"/>
      <c r="Z17" s="573"/>
      <c r="AA17" s="573"/>
      <c r="AB17" s="573"/>
      <c r="AE17" s="30"/>
      <c r="AF17" s="30"/>
      <c r="AG17" s="30"/>
      <c r="AH17" s="30"/>
      <c r="AI17" s="112"/>
      <c r="AJ17" s="30"/>
    </row>
    <row r="18" spans="1:36" ht="24" hidden="1" customHeight="1" x14ac:dyDescent="0.3">
      <c r="A18" s="112"/>
      <c r="B18" s="30"/>
      <c r="C18" s="30"/>
      <c r="D18" s="30"/>
      <c r="E18" s="30" t="s">
        <v>1018</v>
      </c>
      <c r="F18" s="30"/>
      <c r="G18" s="197" t="str">
        <f>IF(VLOOKUP(E18,BDD!$A$2:$N$567,14,FALSE)=0,"",VLOOKUP(E18,BDD!$A$2:$N$567,14,FALSE))</f>
        <v/>
      </c>
      <c r="H18" s="58"/>
      <c r="I18" s="32"/>
      <c r="L18" s="573"/>
      <c r="M18" s="573"/>
      <c r="N18" s="573"/>
      <c r="O18" s="573"/>
      <c r="P18" s="573"/>
      <c r="Q18" s="573"/>
      <c r="R18" s="573"/>
      <c r="S18" s="573"/>
      <c r="T18" s="573"/>
      <c r="U18" s="573"/>
      <c r="V18" s="573"/>
      <c r="W18" s="573"/>
      <c r="X18" s="573"/>
      <c r="Y18" s="573"/>
      <c r="Z18" s="573"/>
      <c r="AA18" s="573"/>
      <c r="AB18" s="573"/>
      <c r="AE18" s="30"/>
      <c r="AF18" s="30"/>
      <c r="AG18" s="30"/>
      <c r="AH18" s="30"/>
      <c r="AI18" s="112"/>
      <c r="AJ18" s="30"/>
    </row>
    <row r="19" spans="1:36" ht="24" customHeight="1" x14ac:dyDescent="0.3">
      <c r="A19" s="112"/>
      <c r="B19" s="30"/>
      <c r="C19" s="30"/>
      <c r="D19" s="30"/>
      <c r="E19" s="30"/>
      <c r="F19" s="30"/>
      <c r="H19" s="58"/>
      <c r="I19" s="32"/>
      <c r="AE19" s="30"/>
      <c r="AF19" s="30"/>
      <c r="AG19" s="30"/>
      <c r="AH19" s="30"/>
      <c r="AI19" s="112"/>
      <c r="AJ19" s="30"/>
    </row>
    <row r="20" spans="1:36" ht="30" customHeight="1" x14ac:dyDescent="0.3">
      <c r="A20" s="112"/>
      <c r="B20" s="30"/>
      <c r="C20" s="30"/>
      <c r="D20" s="30"/>
      <c r="E20" s="30"/>
      <c r="F20" s="30"/>
      <c r="G20" s="197"/>
      <c r="H20" s="58"/>
      <c r="I20" s="32"/>
      <c r="K20" s="58"/>
      <c r="L20" s="58"/>
      <c r="M20" s="32"/>
      <c r="N20" s="215" t="s">
        <v>855</v>
      </c>
      <c r="O20" s="641">
        <f>COUNTIF(N27:N99,"Non renseigné")</f>
        <v>24</v>
      </c>
      <c r="P20" s="642"/>
      <c r="Q20" s="642"/>
      <c r="R20" s="643"/>
      <c r="S20" s="30"/>
      <c r="T20" s="30"/>
      <c r="U20" s="30"/>
      <c r="V20" s="30"/>
      <c r="W20" s="30"/>
      <c r="X20" s="30"/>
      <c r="Y20" s="30"/>
      <c r="Z20" s="30"/>
      <c r="AA20" s="30"/>
      <c r="AB20" s="30"/>
      <c r="AC20" s="30"/>
      <c r="AD20" s="30"/>
      <c r="AE20" s="30"/>
      <c r="AF20" s="30"/>
      <c r="AG20" s="30"/>
      <c r="AH20" s="30"/>
      <c r="AI20" s="112"/>
      <c r="AJ20" s="30"/>
    </row>
    <row r="21" spans="1:36" ht="30" customHeight="1" x14ac:dyDescent="0.3">
      <c r="A21" s="112"/>
      <c r="B21" s="30"/>
      <c r="C21" s="30"/>
      <c r="D21" s="30"/>
      <c r="E21" s="30"/>
      <c r="F21" s="30"/>
      <c r="G21" s="197"/>
      <c r="H21" s="58"/>
      <c r="I21" s="58"/>
      <c r="K21" s="58"/>
      <c r="L21" s="58"/>
      <c r="M21" s="32"/>
      <c r="N21" s="215" t="s">
        <v>853</v>
      </c>
      <c r="O21" s="648">
        <f>COUNTIF($N$27:$N$76,"Non évalué")</f>
        <v>0</v>
      </c>
      <c r="P21" s="649"/>
      <c r="Q21" s="649"/>
      <c r="R21" s="650"/>
      <c r="S21" s="30"/>
      <c r="T21" s="30"/>
      <c r="U21" s="30"/>
      <c r="V21" s="30"/>
      <c r="W21" s="30"/>
      <c r="X21" s="30"/>
      <c r="Y21" s="30"/>
      <c r="Z21" s="30"/>
      <c r="AA21" s="30"/>
      <c r="AB21" s="30"/>
      <c r="AC21" s="30"/>
      <c r="AD21" s="30"/>
      <c r="AE21" s="30"/>
      <c r="AF21" s="30"/>
      <c r="AG21" s="30"/>
      <c r="AH21" s="30"/>
      <c r="AI21" s="112"/>
      <c r="AJ21" s="30"/>
    </row>
    <row r="22" spans="1:36" ht="50.4" customHeight="1" x14ac:dyDescent="0.3">
      <c r="A22" s="112"/>
      <c r="B22" s="30"/>
      <c r="C22" s="30"/>
      <c r="D22" s="30"/>
      <c r="F22" s="30"/>
      <c r="G22" s="197" t="e">
        <f>IF(VLOOKUP(#REF!,BDD!$A$2:$N$567,14,FALSE)=0,"",VLOOKUP(#REF!,BDD!$A$2:$N$567,14,FALSE))</f>
        <v>#REF!</v>
      </c>
      <c r="H22" s="30"/>
      <c r="I22" s="30"/>
      <c r="J22" s="30"/>
      <c r="K22" s="30"/>
      <c r="L22" s="32"/>
      <c r="M22" s="32"/>
      <c r="N22" s="214" t="s">
        <v>551</v>
      </c>
      <c r="O22" s="639">
        <v>0</v>
      </c>
      <c r="P22" s="640"/>
      <c r="Q22" s="640"/>
      <c r="R22" s="640"/>
      <c r="S22" s="30"/>
      <c r="T22" s="30"/>
      <c r="U22" s="30"/>
      <c r="V22" s="30"/>
      <c r="W22" s="30"/>
      <c r="X22" s="30"/>
      <c r="Y22" s="30"/>
      <c r="Z22" s="30"/>
      <c r="AA22" s="30"/>
      <c r="AB22" s="30"/>
      <c r="AC22" s="30"/>
      <c r="AD22" s="30"/>
      <c r="AE22" s="30"/>
      <c r="AF22" s="30"/>
      <c r="AG22" s="30"/>
      <c r="AH22" s="30"/>
      <c r="AI22" s="112"/>
      <c r="AJ22" s="30"/>
    </row>
    <row r="23" spans="1:36" ht="30" customHeight="1" x14ac:dyDescent="0.3">
      <c r="A23" s="112"/>
      <c r="B23" s="30"/>
      <c r="D23" s="30"/>
      <c r="E23" s="30"/>
      <c r="F23" s="30"/>
      <c r="G23" s="30"/>
      <c r="H23" s="59" t="s">
        <v>21</v>
      </c>
      <c r="I23" s="240"/>
      <c r="J23" s="60"/>
      <c r="K23" s="60"/>
      <c r="L23" s="61"/>
      <c r="M23" s="62"/>
      <c r="N23" s="30"/>
      <c r="O23" s="30"/>
      <c r="P23" s="30"/>
      <c r="Q23" s="30"/>
      <c r="R23" s="30"/>
      <c r="S23" s="30"/>
      <c r="T23" s="30"/>
      <c r="U23" s="30"/>
      <c r="V23" s="30"/>
      <c r="W23" s="30"/>
      <c r="X23" s="357"/>
      <c r="Y23" s="30"/>
      <c r="Z23" s="30"/>
      <c r="AA23" s="30"/>
      <c r="AB23" s="30"/>
      <c r="AC23" s="30"/>
      <c r="AD23" s="30"/>
      <c r="AE23" s="30"/>
      <c r="AF23" s="30"/>
      <c r="AG23" s="30"/>
      <c r="AH23" s="30"/>
      <c r="AI23" s="112"/>
      <c r="AJ23" s="30"/>
    </row>
    <row r="24" spans="1:36" ht="39.6" customHeight="1" x14ac:dyDescent="0.3">
      <c r="A24" s="112"/>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4" t="s">
        <v>13</v>
      </c>
      <c r="T24" s="645"/>
      <c r="U24" s="645"/>
      <c r="V24" s="679"/>
      <c r="W24" s="364"/>
      <c r="X24" s="357"/>
      <c r="Y24" s="30"/>
      <c r="Z24" s="30"/>
      <c r="AA24" s="30"/>
      <c r="AB24" s="30"/>
      <c r="AC24" s="30"/>
      <c r="AD24" s="30"/>
      <c r="AE24" s="30"/>
      <c r="AF24" s="30"/>
      <c r="AG24" s="30"/>
      <c r="AH24" s="30"/>
      <c r="AI24" s="112"/>
      <c r="AJ24" s="30"/>
    </row>
    <row r="25" spans="1:36" ht="30" customHeight="1" x14ac:dyDescent="0.3">
      <c r="A25" s="112"/>
      <c r="B25" s="30"/>
      <c r="C25" s="30" t="str">
        <f>IF(LEFT(RIGHT($B$1,2),1)=" ",RIGHT($B$1,1),RIGHT($B$1,2))</f>
        <v>13</v>
      </c>
      <c r="D25" s="32">
        <f>IF(LEFT(F25,5)="Bonne",B23+1,D24)</f>
        <v>1</v>
      </c>
      <c r="E25" s="32"/>
      <c r="F25" s="191" t="s">
        <v>499</v>
      </c>
      <c r="G25" s="192" t="str">
        <f>VLOOKUP(E27,BDD!$A$2:$N$567,6,FALSE)</f>
        <v>Marketing de la DSI</v>
      </c>
      <c r="H25" s="190"/>
      <c r="I25" s="135"/>
      <c r="J25" s="135"/>
      <c r="K25" s="135"/>
      <c r="L25" s="136"/>
      <c r="M25" s="137"/>
      <c r="N25" s="138"/>
      <c r="O25" s="630">
        <v>0</v>
      </c>
      <c r="P25" s="630"/>
      <c r="Q25" s="630"/>
      <c r="R25" s="630"/>
      <c r="S25" s="685">
        <f>SUMIFS(S:S,$D:$D,D25,$N:$N,"Exigences"&amp;"*")</f>
        <v>0</v>
      </c>
      <c r="T25" s="685"/>
      <c r="U25" s="685"/>
      <c r="V25" s="686"/>
      <c r="W25" s="365"/>
      <c r="X25" s="357"/>
      <c r="Y25" s="30"/>
      <c r="Z25" s="30"/>
      <c r="AA25" s="30"/>
      <c r="AB25" s="30"/>
      <c r="AC25" s="30"/>
      <c r="AD25" s="30"/>
      <c r="AE25" s="30"/>
      <c r="AF25" s="30"/>
      <c r="AG25" s="30"/>
      <c r="AH25" s="30"/>
      <c r="AI25" s="112"/>
      <c r="AJ25" s="30"/>
    </row>
    <row r="26" spans="1:36" ht="30" customHeight="1" x14ac:dyDescent="0.3">
      <c r="A26" s="112"/>
      <c r="B26" s="30"/>
      <c r="C26" s="30" t="str">
        <f t="shared" ref="C26:C56" si="0">IF(LEFT(RIGHT($B$1,2),1)=" ",RIGHT($B$1,1),RIGHT($B$1,2))</f>
        <v>13</v>
      </c>
      <c r="D26" s="32">
        <f>IF(LEFT(F26,5)="Bonne",D24+1,D25)</f>
        <v>1</v>
      </c>
      <c r="F26" s="211" t="s">
        <v>550</v>
      </c>
      <c r="G26" s="620" t="str">
        <f>VLOOKUP(E28,BDD!$A$2:$N$567,7,FALSE)</f>
        <v>La DSI définit sa « raison d'être » et organise son propre marketing.</v>
      </c>
      <c r="H26" s="621"/>
      <c r="I26" s="621"/>
      <c r="J26" s="621"/>
      <c r="K26" s="621"/>
      <c r="L26" s="621"/>
      <c r="M26" s="621"/>
      <c r="N26" s="622"/>
      <c r="O26" s="631"/>
      <c r="P26" s="631"/>
      <c r="Q26" s="631"/>
      <c r="R26" s="631"/>
      <c r="S26" s="687"/>
      <c r="T26" s="687"/>
      <c r="U26" s="687"/>
      <c r="V26" s="688"/>
      <c r="W26" s="365"/>
      <c r="X26" s="356">
        <f>IFERROR(IF(N26=Suppl!$E$65,0,IF(N26=Suppl!$E$66,1/2/(COUNTIFS($N:$N,"Exigences"&amp;"*")+COUNTIFS($N:$N,"Non"&amp;"*")),IF(N26=Suppl!$E$67,1/(COUNTIFS($N:$N,"Exigences"&amp;"*")+COUNTIFS($N:$N,"Non"&amp;"*")),0))),0)</f>
        <v>0</v>
      </c>
      <c r="Y26" s="30"/>
      <c r="Z26" s="30"/>
      <c r="AA26" s="30"/>
      <c r="AB26" s="30"/>
      <c r="AC26" s="30"/>
      <c r="AD26" s="30"/>
      <c r="AE26" s="30"/>
      <c r="AF26" s="30"/>
      <c r="AG26" s="30"/>
      <c r="AH26" s="30"/>
      <c r="AI26" s="112"/>
      <c r="AJ26" s="30"/>
    </row>
    <row r="27" spans="1:36" ht="30" customHeight="1" x14ac:dyDescent="0.3">
      <c r="A27" s="112"/>
      <c r="B27" s="30"/>
      <c r="C27" s="30" t="str">
        <f t="shared" si="0"/>
        <v>13</v>
      </c>
      <c r="D27" s="32">
        <f>IF(LEFT(F27,5)="Bonne",D25+1,D26)</f>
        <v>1</v>
      </c>
      <c r="E27" s="32" t="str">
        <f>C27&amp;D27&amp;RIGHT(F27,1)</f>
        <v>1311</v>
      </c>
      <c r="F27" s="143" t="s">
        <v>27</v>
      </c>
      <c r="G27" s="144" t="str">
        <f>VLOOKUP(E27,BDD!$A$2:$N$567,MATCH(G$24,BDD!$A$1:$P$1,0),FALSE)</f>
        <v>La raison d'être de la DSI est communiquée et partagée. Elle est en ligne avec la stratégie de l'organisation.</v>
      </c>
      <c r="H27" s="149" t="str">
        <f>IF(VLOOKUP($E27,BDD!$A$2:$N$567,MATCH($H$23,BDD!$A$1:$P$1,0),FALSE)=H$24,'V13_Marketing&amp;Comm.'!H$24,"")</f>
        <v>N1</v>
      </c>
      <c r="I27" s="150" t="str">
        <f>IF(VLOOKUP($E27,BDD!$A$2:$N$567,MATCH($H$23,BDD!$A$1:$P$1,0),FALSE)=I$24,'V13_Marketing&amp;Comm.'!I$24,"")</f>
        <v/>
      </c>
      <c r="J27" s="150" t="str">
        <f>IF(VLOOKUP($E27,BDD!$A$2:$N$567,MATCH($H$23,BDD!$A$1:$P$1,0),FALSE)=J$24,'V13_Marketing&amp;Comm.'!J$24,"")</f>
        <v/>
      </c>
      <c r="K27" s="150" t="str">
        <f>IF(VLOOKUP($E27,BDD!$A$2:$N$567,MATCH($H$23,BDD!$A$1:$P$1,0),FALSE)=K$24,'V13_Marketing&amp;Comm.'!K$24,"")</f>
        <v/>
      </c>
      <c r="L27" s="151" t="str">
        <f>IF(VLOOKUP($E27,BDD!$A$2:$N$567,MATCH($H$23,BDD!$A$1:$P$1,0),FALSE)=L$24,'V13_Marketing&amp;Comm.'!L$24,"")</f>
        <v/>
      </c>
      <c r="M27" s="63">
        <f t="shared" ref="M27:M32" si="1">IF(N27="Exigences partiellement respectées",1,IF(N27="Exigences respectées",2,0))</f>
        <v>0</v>
      </c>
      <c r="N27" s="144" t="str">
        <f>VLOOKUP(VLOOKUP(E27,BDD!$A$2:$P$550,15,FALSE),Suppl!$D$64:$E$68,2,FALSE)</f>
        <v>Non renseigné</v>
      </c>
      <c r="O27" s="626"/>
      <c r="P27" s="626"/>
      <c r="Q27" s="626"/>
      <c r="R27" s="626"/>
      <c r="S27" s="689">
        <f>IF(N27=Suppl!$E$65,0,IF(N27=Suppl!$E$66,1/2/(COUNTIFS($D:$D,D27,$N:$N,"Exigences"&amp;"*",G:G,"&lt;&gt;0")+COUNTIFS($D:$D,D27,$N:$N,"Non"&amp;"*",G:G,"&lt;&gt;0")),IF(N27=Suppl!$E$67,1/(COUNTIFS($D:$D,D27,$N:$N,"Exigences"&amp;"*",G:G,"&lt;&gt;0")+COUNTIFS($D:$D,D27,$N:$N,"Non"&amp;"*",G:G,"&lt;&gt;0")),0)))</f>
        <v>0</v>
      </c>
      <c r="T27" s="653"/>
      <c r="U27" s="653"/>
      <c r="V27" s="690"/>
      <c r="W27" s="363"/>
      <c r="X27" s="356">
        <f>IFERROR(IF(N27=Suppl!$E$65,0,IF(N27=Suppl!$E$66,1/2/(COUNTIFS($N:$N,"Exigences"&amp;"*")+COUNTIFS($N:$N,"Non"&amp;"*")),IF(N27=Suppl!$E$67,1/(COUNTIFS($N:$N,"Exigences"&amp;"*")+COUNTIFS($N:$N,"Non"&amp;"*")),0))),0)</f>
        <v>0</v>
      </c>
      <c r="Y27" s="30"/>
      <c r="Z27" s="30"/>
      <c r="AA27" s="30"/>
      <c r="AB27" s="30"/>
      <c r="AC27" s="30"/>
      <c r="AD27" s="30"/>
      <c r="AE27" s="30"/>
      <c r="AF27" s="30"/>
      <c r="AG27" s="30"/>
      <c r="AH27" s="30"/>
      <c r="AI27" s="112"/>
      <c r="AJ27" s="30"/>
    </row>
    <row r="28" spans="1:36" ht="30" customHeight="1" x14ac:dyDescent="0.3">
      <c r="A28" s="112"/>
      <c r="B28" s="30"/>
      <c r="C28" s="30" t="str">
        <f t="shared" si="0"/>
        <v>13</v>
      </c>
      <c r="D28" s="32">
        <f t="shared" ref="D28:D32" si="2">IF(LEFT(F28,5)="Bonne",D26+1,D27)</f>
        <v>1</v>
      </c>
      <c r="E28" s="32" t="str">
        <f t="shared" ref="E28:E32" si="3">C28&amp;D28&amp;RIGHT(F28,1)</f>
        <v>1312</v>
      </c>
      <c r="F28" s="145" t="s">
        <v>28</v>
      </c>
      <c r="G28" s="146" t="str">
        <f>VLOOKUP(E28,BDD!$A$2:$N$567,MATCH(G$24,BDD!$A$1:$P$1,0),FALSE)</f>
        <v>Cette raison d'être recouvre les notions d'identité, de vision, d'ambition et de valeur, portées par la DSI.</v>
      </c>
      <c r="H28" s="149" t="str">
        <f>IF(VLOOKUP($E28,BDD!$A$2:$N$567,MATCH($H$23,BDD!$A$1:$P$1,0),FALSE)=H$24,'V13_Marketing&amp;Comm.'!H$24,"")</f>
        <v/>
      </c>
      <c r="I28" s="150" t="str">
        <f>IF(VLOOKUP($E28,BDD!$A$2:$N$567,MATCH($H$23,BDD!$A$1:$P$1,0),FALSE)=I$24,'V13_Marketing&amp;Comm.'!I$24,"")</f>
        <v>N2</v>
      </c>
      <c r="J28" s="150" t="str">
        <f>IF(VLOOKUP($E28,BDD!$A$2:$N$567,MATCH($H$23,BDD!$A$1:$P$1,0),FALSE)=J$24,'V13_Marketing&amp;Comm.'!J$24,"")</f>
        <v/>
      </c>
      <c r="K28" s="150" t="str">
        <f>IF(VLOOKUP($E28,BDD!$A$2:$N$567,MATCH($H$23,BDD!$A$1:$P$1,0),FALSE)=K$24,'V13_Marketing&amp;Comm.'!K$24,"")</f>
        <v/>
      </c>
      <c r="L28" s="151" t="str">
        <f>IF(VLOOKUP($E28,BDD!$A$2:$N$567,MATCH($H$23,BDD!$A$1:$P$1,0),FALSE)=L$24,'V13_Marketing&amp;Comm.'!L$24,"")</f>
        <v/>
      </c>
      <c r="M28" s="63">
        <f t="shared" si="1"/>
        <v>0</v>
      </c>
      <c r="N28" s="146" t="str">
        <f>VLOOKUP(VLOOKUP(E28,BDD!$A$2:$P$550,15,FALSE),Suppl!$D$64:$E$68,2,FALSE)</f>
        <v>Non renseigné</v>
      </c>
      <c r="O28" s="629"/>
      <c r="P28" s="629"/>
      <c r="Q28" s="629"/>
      <c r="R28" s="629"/>
      <c r="S28" s="691">
        <f>IF(N28=Suppl!$E$65,0,IF(N28=Suppl!$E$66,1/2/(COUNTIFS($D:$D,D28,$N:$N,"Exigences"&amp;"*",G:G,"&lt;&gt;0")+COUNTIFS($D:$D,D28,$N:$N,"Non"&amp;"*",G:G,"&lt;&gt;0")),IF(N28=Suppl!$E$67,1/(COUNTIFS($D:$D,D28,$N:$N,"Exigences"&amp;"*",G:G,"&lt;&gt;0")+COUNTIFS($D:$D,D28,$N:$N,"Non"&amp;"*",G:G,"&lt;&gt;0")),0)))</f>
        <v>0</v>
      </c>
      <c r="T28" s="627"/>
      <c r="U28" s="627"/>
      <c r="V28" s="692"/>
      <c r="W28" s="363"/>
      <c r="X28" s="356">
        <f>IFERROR(IF(N28=Suppl!$E$65,0,IF(N28=Suppl!$E$66,1/2/(COUNTIFS($N:$N,"Exigences"&amp;"*")+COUNTIFS($N:$N,"Non"&amp;"*")),IF(N28=Suppl!$E$67,1/(COUNTIFS($N:$N,"Exigences"&amp;"*")+COUNTIFS($N:$N,"Non"&amp;"*")),0))),0)</f>
        <v>0</v>
      </c>
      <c r="Y28" s="30"/>
      <c r="Z28" s="30"/>
      <c r="AA28" s="30"/>
      <c r="AB28" s="30"/>
      <c r="AC28" s="30"/>
      <c r="AD28" s="30"/>
      <c r="AE28" s="30"/>
      <c r="AF28" s="30"/>
      <c r="AG28" s="30"/>
      <c r="AH28" s="30"/>
      <c r="AI28" s="112"/>
      <c r="AJ28" s="30"/>
    </row>
    <row r="29" spans="1:36" ht="30" customHeight="1" x14ac:dyDescent="0.3">
      <c r="A29" s="112"/>
      <c r="B29" s="30"/>
      <c r="C29" s="30" t="str">
        <f t="shared" si="0"/>
        <v>13</v>
      </c>
      <c r="D29" s="32">
        <f>IF(LEFT(F29,5)="Bonne",D27+1,D28)</f>
        <v>1</v>
      </c>
      <c r="E29" s="32" t="str">
        <f t="shared" si="3"/>
        <v>1313</v>
      </c>
      <c r="F29" s="143" t="s">
        <v>30</v>
      </c>
      <c r="G29" s="144" t="str">
        <f>VLOOKUP(E29,BDD!$A$2:$N$567,MATCH(G$24,BDD!$A$1:$P$1,0),FALSE)</f>
        <v>La raison d'être est régulièrement actualisée.</v>
      </c>
      <c r="H29" s="149" t="str">
        <f>IF(VLOOKUP($E29,BDD!$A$2:$N$567,MATCH($H$23,BDD!$A$1:$P$1,0),FALSE)=H$24,'V13_Marketing&amp;Comm.'!H$24,"")</f>
        <v/>
      </c>
      <c r="I29" s="150" t="str">
        <f>IF(VLOOKUP($E29,BDD!$A$2:$N$567,MATCH($H$23,BDD!$A$1:$P$1,0),FALSE)=I$24,'V13_Marketing&amp;Comm.'!I$24,"")</f>
        <v/>
      </c>
      <c r="J29" s="150" t="str">
        <f>IF(VLOOKUP($E29,BDD!$A$2:$N$567,MATCH($H$23,BDD!$A$1:$P$1,0),FALSE)=J$24,'V13_Marketing&amp;Comm.'!J$24,"")</f>
        <v>N3</v>
      </c>
      <c r="K29" s="150" t="str">
        <f>IF(VLOOKUP($E29,BDD!$A$2:$N$567,MATCH($H$23,BDD!$A$1:$P$1,0),FALSE)=K$24,'V13_Marketing&amp;Comm.'!K$24,"")</f>
        <v/>
      </c>
      <c r="L29" s="151" t="str">
        <f>IF(VLOOKUP($E29,BDD!$A$2:$N$567,MATCH($H$23,BDD!$A$1:$P$1,0),FALSE)=L$24,'V13_Marketing&amp;Comm.'!L$24,"")</f>
        <v/>
      </c>
      <c r="M29" s="63">
        <f t="shared" si="1"/>
        <v>0</v>
      </c>
      <c r="N29" s="144" t="str">
        <f>VLOOKUP(VLOOKUP(E29,BDD!$A$2:$P$550,15,FALSE),Suppl!$D$64:$E$68,2,FALSE)</f>
        <v>Non renseigné</v>
      </c>
      <c r="O29" s="629"/>
      <c r="P29" s="629"/>
      <c r="Q29" s="629"/>
      <c r="R29" s="629"/>
      <c r="S29" s="691">
        <f>IF(N29=Suppl!$E$65,0,IF(N29=Suppl!$E$66,1/2/(COUNTIFS($D:$D,D29,$N:$N,"Exigences"&amp;"*",G:G,"&lt;&gt;0")+COUNTIFS($D:$D,D29,$N:$N,"Non"&amp;"*",G:G,"&lt;&gt;0")),IF(N29=Suppl!$E$67,1/(COUNTIFS($D:$D,D29,$N:$N,"Exigences"&amp;"*",G:G,"&lt;&gt;0")+COUNTIFS($D:$D,D29,$N:$N,"Non"&amp;"*",G:G,"&lt;&gt;0")),0)))</f>
        <v>0</v>
      </c>
      <c r="T29" s="627"/>
      <c r="U29" s="627"/>
      <c r="V29" s="692"/>
      <c r="W29" s="363"/>
      <c r="X29" s="356">
        <f>IFERROR(IF(N29=Suppl!$E$65,0,IF(N29=Suppl!$E$66,1/2/(COUNTIFS($N:$N,"Exigences"&amp;"*")+COUNTIFS($N:$N,"Non"&amp;"*")),IF(N29=Suppl!$E$67,1/(COUNTIFS($N:$N,"Exigences"&amp;"*")+COUNTIFS($N:$N,"Non"&amp;"*")),0))),0)</f>
        <v>0</v>
      </c>
      <c r="Y29" s="30"/>
      <c r="Z29" s="30"/>
      <c r="AA29" s="30"/>
      <c r="AB29" s="30"/>
      <c r="AC29" s="30"/>
      <c r="AD29" s="30"/>
      <c r="AE29" s="30"/>
      <c r="AF29" s="30"/>
      <c r="AG29" s="30"/>
      <c r="AH29" s="30"/>
      <c r="AI29" s="112"/>
      <c r="AJ29" s="30"/>
    </row>
    <row r="30" spans="1:36" ht="30" customHeight="1" x14ac:dyDescent="0.3">
      <c r="A30" s="112"/>
      <c r="B30" s="30"/>
      <c r="C30" s="30" t="str">
        <f t="shared" si="0"/>
        <v>13</v>
      </c>
      <c r="D30" s="32">
        <f t="shared" si="2"/>
        <v>1</v>
      </c>
      <c r="E30" s="32" t="str">
        <f t="shared" si="3"/>
        <v>1314</v>
      </c>
      <c r="F30" s="145" t="s">
        <v>32</v>
      </c>
      <c r="G30" s="146" t="str">
        <f>VLOOKUP(E30,BDD!$A$2:$N$567,MATCH(G$24,BDD!$A$1:$P$1,0),FALSE)</f>
        <v>La raison d'être est perçue et incarnée dans les différentes communications (internes et externes).</v>
      </c>
      <c r="H30" s="149" t="str">
        <f>IF(VLOOKUP($E30,BDD!$A$2:$N$567,MATCH($H$23,BDD!$A$1:$P$1,0),FALSE)=H$24,'V13_Marketing&amp;Comm.'!H$24,"")</f>
        <v/>
      </c>
      <c r="I30" s="150" t="str">
        <f>IF(VLOOKUP($E30,BDD!$A$2:$N$567,MATCH($H$23,BDD!$A$1:$P$1,0),FALSE)=I$24,'V13_Marketing&amp;Comm.'!I$24,"")</f>
        <v/>
      </c>
      <c r="J30" s="150" t="str">
        <f>IF(VLOOKUP($E30,BDD!$A$2:$N$567,MATCH($H$23,BDD!$A$1:$P$1,0),FALSE)=J$24,'V13_Marketing&amp;Comm.'!J$24,"")</f>
        <v/>
      </c>
      <c r="K30" s="150" t="str">
        <f>IF(VLOOKUP($E30,BDD!$A$2:$N$567,MATCH($H$23,BDD!$A$1:$P$1,0),FALSE)=K$24,'V13_Marketing&amp;Comm.'!K$24,"")</f>
        <v/>
      </c>
      <c r="L30" s="151" t="str">
        <f>IF(VLOOKUP($E30,BDD!$A$2:$N$567,MATCH($H$23,BDD!$A$1:$P$1,0),FALSE)=L$24,'V13_Marketing&amp;Comm.'!L$24,"")</f>
        <v>N5</v>
      </c>
      <c r="M30" s="63">
        <f t="shared" si="1"/>
        <v>0</v>
      </c>
      <c r="N30" s="146" t="str">
        <f>VLOOKUP(VLOOKUP(E30,BDD!$A$2:$P$550,15,FALSE),Suppl!$D$64:$E$68,2,FALSE)</f>
        <v>Non renseigné</v>
      </c>
      <c r="O30" s="629"/>
      <c r="P30" s="629"/>
      <c r="Q30" s="629"/>
      <c r="R30" s="629"/>
      <c r="S30" s="691">
        <f>IF(N30=Suppl!$E$65,0,IF(N30=Suppl!$E$66,1/2/(COUNTIFS($D:$D,D30,$N:$N,"Exigences"&amp;"*",G:G,"&lt;&gt;0")+COUNTIFS($D:$D,D30,$N:$N,"Non"&amp;"*",G:G,"&lt;&gt;0")),IF(N30=Suppl!$E$67,1/(COUNTIFS($D:$D,D30,$N:$N,"Exigences"&amp;"*",G:G,"&lt;&gt;0")+COUNTIFS($D:$D,D30,$N:$N,"Non"&amp;"*",G:G,"&lt;&gt;0")),0)))</f>
        <v>0</v>
      </c>
      <c r="T30" s="627"/>
      <c r="U30" s="627"/>
      <c r="V30" s="692"/>
      <c r="W30" s="363"/>
      <c r="X30" s="356">
        <f>IFERROR(IF(N30=Suppl!$E$65,0,IF(N30=Suppl!$E$66,1/2/(COUNTIFS($N:$N,"Exigences"&amp;"*")+COUNTIFS($N:$N,"Non"&amp;"*")),IF(N30=Suppl!$E$67,1/(COUNTIFS($N:$N,"Exigences"&amp;"*")+COUNTIFS($N:$N,"Non"&amp;"*")),0))),0)</f>
        <v>0</v>
      </c>
      <c r="Y30" s="30" t="s">
        <v>164</v>
      </c>
      <c r="Z30" s="30"/>
      <c r="AA30" s="30"/>
      <c r="AB30" s="30"/>
      <c r="AC30" s="30"/>
      <c r="AD30" s="30"/>
      <c r="AE30" s="30"/>
      <c r="AF30" s="30"/>
      <c r="AG30" s="30"/>
      <c r="AH30" s="30"/>
      <c r="AI30" s="112"/>
      <c r="AJ30" s="30"/>
    </row>
    <row r="31" spans="1:36" ht="30" customHeight="1" x14ac:dyDescent="0.3">
      <c r="A31" s="112"/>
      <c r="B31" s="30"/>
      <c r="C31" s="30" t="str">
        <f t="shared" si="0"/>
        <v>13</v>
      </c>
      <c r="D31" s="32">
        <f t="shared" si="2"/>
        <v>1</v>
      </c>
      <c r="E31" s="32" t="str">
        <f t="shared" si="3"/>
        <v>1315</v>
      </c>
      <c r="F31" s="143" t="s">
        <v>33</v>
      </c>
      <c r="G31" s="144" t="str">
        <f>VLOOKUP(E31,BDD!$A$2:$N$567,MATCH(G$24,BDD!$A$1:$P$1,0),FALSE)</f>
        <v>Le marketing de la DSI est organisé à destination de deux cibles principales : les collaborateurs internes à la DSI, l'ensemble des collaborateurs de l'organisation.</v>
      </c>
      <c r="H31" s="149" t="str">
        <f>IF(VLOOKUP($E31,BDD!$A$2:$N$567,MATCH($H$23,BDD!$A$1:$P$1,0),FALSE)=H$24,'V13_Marketing&amp;Comm.'!H$24,"")</f>
        <v/>
      </c>
      <c r="I31" s="150" t="str">
        <f>IF(VLOOKUP($E31,BDD!$A$2:$N$567,MATCH($H$23,BDD!$A$1:$P$1,0),FALSE)=I$24,'V13_Marketing&amp;Comm.'!I$24,"")</f>
        <v>N2</v>
      </c>
      <c r="J31" s="150" t="str">
        <f>IF(VLOOKUP($E31,BDD!$A$2:$N$567,MATCH($H$23,BDD!$A$1:$P$1,0),FALSE)=J$24,'V13_Marketing&amp;Comm.'!J$24,"")</f>
        <v/>
      </c>
      <c r="K31" s="150" t="str">
        <f>IF(VLOOKUP($E31,BDD!$A$2:$N$567,MATCH($H$23,BDD!$A$1:$P$1,0),FALSE)=K$24,'V13_Marketing&amp;Comm.'!K$24,"")</f>
        <v/>
      </c>
      <c r="L31" s="151" t="str">
        <f>IF(VLOOKUP($E31,BDD!$A$2:$N$567,MATCH($H$23,BDD!$A$1:$P$1,0),FALSE)=L$24,'V13_Marketing&amp;Comm.'!L$24,"")</f>
        <v/>
      </c>
      <c r="M31" s="63">
        <f t="shared" si="1"/>
        <v>0</v>
      </c>
      <c r="N31" s="144" t="str">
        <f>VLOOKUP(VLOOKUP(E31,BDD!$A$2:$P$550,15,FALSE),Suppl!$D$64:$E$68,2,FALSE)</f>
        <v>Non renseigné</v>
      </c>
      <c r="O31" s="629"/>
      <c r="P31" s="629"/>
      <c r="Q31" s="629"/>
      <c r="R31" s="629"/>
      <c r="S31" s="691">
        <f>IF(N31=Suppl!$E$65,0,IF(N31=Suppl!$E$66,1/2/(COUNTIFS($D:$D,D31,$N:$N,"Exigences"&amp;"*",G:G,"&lt;&gt;0")+COUNTIFS($D:$D,D31,$N:$N,"Non"&amp;"*",G:G,"&lt;&gt;0")),IF(N31=Suppl!$E$67,1/(COUNTIFS($D:$D,D31,$N:$N,"Exigences"&amp;"*",G:G,"&lt;&gt;0")+COUNTIFS($D:$D,D31,$N:$N,"Non"&amp;"*",G:G,"&lt;&gt;0")),0)))</f>
        <v>0</v>
      </c>
      <c r="T31" s="627"/>
      <c r="U31" s="627"/>
      <c r="V31" s="692"/>
      <c r="W31" s="363"/>
      <c r="X31" s="356">
        <f>IFERROR(IF(N31=Suppl!$E$65,0,IF(N31=Suppl!$E$66,1/2/(COUNTIFS($N:$N,"Exigences"&amp;"*")+COUNTIFS($N:$N,"Non"&amp;"*")),IF(N31=Suppl!$E$67,1/(COUNTIFS($N:$N,"Exigences"&amp;"*")+COUNTIFS($N:$N,"Non"&amp;"*")),0))),0)</f>
        <v>0</v>
      </c>
      <c r="Y31" s="30"/>
      <c r="Z31" s="30"/>
      <c r="AA31" s="30"/>
      <c r="AB31" s="30"/>
      <c r="AC31" s="30"/>
      <c r="AD31" s="30"/>
      <c r="AE31" s="30"/>
      <c r="AF31" s="30"/>
      <c r="AG31" s="30"/>
      <c r="AH31" s="30"/>
      <c r="AI31" s="112"/>
      <c r="AJ31" s="30"/>
    </row>
    <row r="32" spans="1:36" ht="30" customHeight="1" x14ac:dyDescent="0.3">
      <c r="A32" s="112"/>
      <c r="B32" s="30"/>
      <c r="C32" s="30" t="str">
        <f t="shared" si="0"/>
        <v>13</v>
      </c>
      <c r="D32" s="32">
        <f t="shared" si="2"/>
        <v>1</v>
      </c>
      <c r="E32" s="32" t="str">
        <f t="shared" si="3"/>
        <v>1316</v>
      </c>
      <c r="F32" s="147" t="s">
        <v>34</v>
      </c>
      <c r="G32" s="148" t="str">
        <f>VLOOKUP(E32,BDD!$A$2:$N$567,MATCH(G$24,BDD!$A$1:$P$1,0),FALSE)</f>
        <v>Un plan marketing est défini et son exécution est pilotée par la direction ou le management de la DSI.</v>
      </c>
      <c r="H32" s="149" t="str">
        <f>IF(VLOOKUP($E32,BDD!$A$2:$N$567,MATCH($H$23,BDD!$A$1:$P$1,0),FALSE)=H$24,'V13_Marketing&amp;Comm.'!H$24,"")</f>
        <v/>
      </c>
      <c r="I32" s="150" t="str">
        <f>IF(VLOOKUP($E32,BDD!$A$2:$N$567,MATCH($H$23,BDD!$A$1:$P$1,0),FALSE)=I$24,'V13_Marketing&amp;Comm.'!I$24,"")</f>
        <v/>
      </c>
      <c r="J32" s="150" t="str">
        <f>IF(VLOOKUP($E32,BDD!$A$2:$N$567,MATCH($H$23,BDD!$A$1:$P$1,0),FALSE)=J$24,'V13_Marketing&amp;Comm.'!J$24,"")</f>
        <v/>
      </c>
      <c r="K32" s="150" t="str">
        <f>IF(VLOOKUP($E32,BDD!$A$2:$N$567,MATCH($H$23,BDD!$A$1:$P$1,0),FALSE)=K$24,'V13_Marketing&amp;Comm.'!K$24,"")</f>
        <v>N4</v>
      </c>
      <c r="L32" s="151" t="str">
        <f>IF(VLOOKUP($E32,BDD!$A$2:$N$567,MATCH($H$23,BDD!$A$1:$P$1,0),FALSE)=L$24,'V13_Marketing&amp;Comm.'!L$24,"")</f>
        <v/>
      </c>
      <c r="M32" s="63">
        <f t="shared" si="1"/>
        <v>0</v>
      </c>
      <c r="N32" s="148" t="str">
        <f>VLOOKUP(VLOOKUP(E32,BDD!$A$2:$P$550,15,FALSE),Suppl!$D$64:$E$68,2,FALSE)</f>
        <v>Non renseigné</v>
      </c>
      <c r="O32" s="629"/>
      <c r="P32" s="629"/>
      <c r="Q32" s="629"/>
      <c r="R32" s="629"/>
      <c r="S32" s="691">
        <f>IF(N32=Suppl!$E$65,0,IF(N32=Suppl!$E$66,1/2/(COUNTIFS($D:$D,D32,$N:$N,"Exigences"&amp;"*",G:G,"&lt;&gt;0")+COUNTIFS($D:$D,D32,$N:$N,"Non"&amp;"*",G:G,"&lt;&gt;0")),IF(N32=Suppl!$E$67,1/(COUNTIFS($D:$D,D32,$N:$N,"Exigences"&amp;"*",G:G,"&lt;&gt;0")+COUNTIFS($D:$D,D32,$N:$N,"Non"&amp;"*",G:G,"&lt;&gt;0")),0)))</f>
        <v>0</v>
      </c>
      <c r="T32" s="627"/>
      <c r="U32" s="627"/>
      <c r="V32" s="692"/>
      <c r="W32" s="363"/>
      <c r="X32" s="356">
        <f>IFERROR(IF(N32=Suppl!$E$65,0,IF(N32=Suppl!$E$66,1/2/(COUNTIFS($N:$N,"Exigences"&amp;"*")+COUNTIFS($N:$N,"Non"&amp;"*")),IF(N32=Suppl!$E$67,1/(COUNTIFS($N:$N,"Exigences"&amp;"*")+COUNTIFS($N:$N,"Non"&amp;"*")),0))),0)</f>
        <v>0</v>
      </c>
      <c r="Y32" s="30"/>
      <c r="Z32" s="30"/>
      <c r="AA32" s="30"/>
      <c r="AB32" s="30"/>
      <c r="AC32" s="30"/>
      <c r="AD32" s="30"/>
      <c r="AE32" s="30"/>
      <c r="AF32" s="30"/>
      <c r="AG32" s="30"/>
      <c r="AH32" s="30"/>
      <c r="AI32" s="112"/>
      <c r="AJ32" s="30"/>
    </row>
    <row r="33" spans="1:36" ht="30" customHeight="1" x14ac:dyDescent="0.3">
      <c r="A33" s="112"/>
      <c r="B33" s="30"/>
      <c r="C33" s="30" t="str">
        <f t="shared" si="0"/>
        <v>13</v>
      </c>
      <c r="D33" s="32">
        <f t="shared" ref="D33:D56" si="4">IF(LEFT(F33,5)="Bonne",D31+1,D32)</f>
        <v>2</v>
      </c>
      <c r="E33" s="32" t="str">
        <f t="shared" ref="E33:E56" si="5">C33&amp;D33&amp;RIGHT(F33,1)</f>
        <v>1322</v>
      </c>
      <c r="F33" s="191" t="s">
        <v>500</v>
      </c>
      <c r="G33" s="192" t="str">
        <f>VLOOKUP(E35,BDD!$A$2:$N$567,6,FALSE)</f>
        <v>Marketing des services</v>
      </c>
      <c r="H33" s="190" t="str">
        <f>VLOOKUP(E35,BDD!$A$2:$N$567,6,FALSE)</f>
        <v>Marketing des services</v>
      </c>
      <c r="I33" s="135"/>
      <c r="J33" s="135"/>
      <c r="K33" s="135"/>
      <c r="L33" s="136"/>
      <c r="M33" s="137"/>
      <c r="N33" s="138"/>
      <c r="O33" s="630">
        <v>0</v>
      </c>
      <c r="P33" s="630"/>
      <c r="Q33" s="630"/>
      <c r="R33" s="630"/>
      <c r="S33" s="685">
        <f>SUMIFS(S:S,$D:$D,D33,$N:$N,"Exigences"&amp;"*")</f>
        <v>0</v>
      </c>
      <c r="T33" s="685"/>
      <c r="U33" s="685"/>
      <c r="V33" s="686"/>
      <c r="W33" s="365"/>
      <c r="X33" s="356">
        <f>IFERROR(IF(N33=Suppl!$E$65,0,IF(N33=Suppl!$E$66,1/2/(COUNTIFS($N:$N,"Exigences"&amp;"*")+COUNTIFS($N:$N,"Non"&amp;"*")),IF(N33=Suppl!$E$67,1/(COUNTIFS($N:$N,"Exigences"&amp;"*")+COUNTIFS($N:$N,"Non"&amp;"*")),0))),0)</f>
        <v>0</v>
      </c>
      <c r="Y33" s="30"/>
      <c r="Z33" s="30"/>
      <c r="AA33" s="30"/>
      <c r="AB33" s="30"/>
      <c r="AC33" s="30"/>
      <c r="AD33" s="30"/>
      <c r="AE33" s="30"/>
      <c r="AF33" s="30"/>
      <c r="AG33" s="30"/>
      <c r="AH33" s="30"/>
      <c r="AI33" s="112"/>
      <c r="AJ33" s="30"/>
    </row>
    <row r="34" spans="1:36" ht="30" customHeight="1" x14ac:dyDescent="0.3">
      <c r="A34" s="112"/>
      <c r="B34" s="30"/>
      <c r="C34" s="30" t="str">
        <f t="shared" si="0"/>
        <v>13</v>
      </c>
      <c r="D34" s="32">
        <f t="shared" si="4"/>
        <v>2</v>
      </c>
      <c r="E34" s="32" t="str">
        <f t="shared" si="5"/>
        <v>1321</v>
      </c>
      <c r="F34" s="211" t="s">
        <v>550</v>
      </c>
      <c r="G34" s="620" t="str">
        <f>VLOOKUP(E36,BDD!$A$2:$N$567,7,FALSE)</f>
        <v>La DSI organise le marketing de ses services auprès de ses clients.</v>
      </c>
      <c r="H34" s="621"/>
      <c r="I34" s="621"/>
      <c r="J34" s="621"/>
      <c r="K34" s="621"/>
      <c r="L34" s="621"/>
      <c r="M34" s="621"/>
      <c r="N34" s="622"/>
      <c r="O34" s="631"/>
      <c r="P34" s="631"/>
      <c r="Q34" s="631"/>
      <c r="R34" s="631"/>
      <c r="S34" s="687"/>
      <c r="T34" s="687"/>
      <c r="U34" s="687"/>
      <c r="V34" s="688"/>
      <c r="W34" s="365"/>
      <c r="X34" s="356">
        <f>IFERROR(IF(N34=Suppl!$E$65,0,IF(N34=Suppl!$E$66,1/2/(COUNTIFS($N:$N,"Exigences"&amp;"*")+COUNTIFS($N:$N,"Non"&amp;"*")),IF(N34=Suppl!$E$67,1/(COUNTIFS($N:$N,"Exigences"&amp;"*")+COUNTIFS($N:$N,"Non"&amp;"*")),0))),0)</f>
        <v>0</v>
      </c>
      <c r="Y34" s="30"/>
      <c r="Z34" s="30"/>
      <c r="AA34" s="30"/>
      <c r="AB34" s="30"/>
      <c r="AC34" s="30"/>
      <c r="AD34" s="30"/>
      <c r="AE34" s="30"/>
      <c r="AF34" s="30"/>
      <c r="AG34" s="30"/>
      <c r="AH34" s="30"/>
      <c r="AI34" s="112"/>
      <c r="AJ34" s="30"/>
    </row>
    <row r="35" spans="1:36" ht="30" customHeight="1" x14ac:dyDescent="0.3">
      <c r="A35" s="112"/>
      <c r="B35" s="30"/>
      <c r="C35" s="30" t="str">
        <f t="shared" si="0"/>
        <v>13</v>
      </c>
      <c r="D35" s="32">
        <f t="shared" si="4"/>
        <v>2</v>
      </c>
      <c r="E35" s="32" t="str">
        <f t="shared" si="5"/>
        <v>1321</v>
      </c>
      <c r="F35" s="143" t="s">
        <v>27</v>
      </c>
      <c r="G35" s="144" t="str">
        <f>VLOOKUP(E35,BDD!$A$2:$N$567,MATCH(G$24,BDD!$A$1:$P$1,0),FALSE)</f>
        <v>Un plan marketing des services est bâti et mis en place.</v>
      </c>
      <c r="H35" s="149" t="str">
        <f>IF(VLOOKUP($E35,BDD!$A$2:$N$567,MATCH($H$23,BDD!$A$1:$P$1,0),FALSE)=H$24,'V13_Marketing&amp;Comm.'!H$24,"")</f>
        <v/>
      </c>
      <c r="I35" s="150" t="str">
        <f>IF(VLOOKUP($E35,BDD!$A$2:$N$567,MATCH($H$23,BDD!$A$1:$P$1,0),FALSE)=I$24,'V13_Marketing&amp;Comm.'!I$24,"")</f>
        <v/>
      </c>
      <c r="J35" s="150" t="str">
        <f>IF(VLOOKUP($E35,BDD!$A$2:$N$567,MATCH($H$23,BDD!$A$1:$P$1,0),FALSE)=J$24,'V13_Marketing&amp;Comm.'!J$24,"")</f>
        <v>N3</v>
      </c>
      <c r="K35" s="150" t="str">
        <f>IF(VLOOKUP($E35,BDD!$A$2:$N$567,MATCH($H$23,BDD!$A$1:$P$1,0),FALSE)=K$24,'V13_Marketing&amp;Comm.'!K$24,"")</f>
        <v/>
      </c>
      <c r="L35" s="151" t="str">
        <f>IF(VLOOKUP($E35,BDD!$A$2:$N$567,MATCH($H$23,BDD!$A$1:$P$1,0),FALSE)=L$24,'V13_Marketing&amp;Comm.'!L$24,"")</f>
        <v/>
      </c>
      <c r="M35" s="63">
        <f>IF(N35="Exigences partiellement respectées",1,IF(N35="Exigences respectées",2,0))</f>
        <v>0</v>
      </c>
      <c r="N35" s="144" t="str">
        <f>VLOOKUP(VLOOKUP(E35,BDD!$A$2:$P$550,15,FALSE),Suppl!$D$64:$E$68,2,FALSE)</f>
        <v>Non renseigné</v>
      </c>
      <c r="O35" s="626"/>
      <c r="P35" s="626"/>
      <c r="Q35" s="626"/>
      <c r="R35" s="626"/>
      <c r="S35" s="689">
        <f>IF(N35=Suppl!$E$65,0,IF(N35=Suppl!$E$66,1/2/(COUNTIFS($D:$D,D35,$N:$N,"Exigences"&amp;"*",G:G,"&lt;&gt;0")+COUNTIFS($D:$D,D35,$N:$N,"Non"&amp;"*",G:G,"&lt;&gt;0")),IF(N35=Suppl!$E$67,1/(COUNTIFS($D:$D,D35,$N:$N,"Exigences"&amp;"*",G:G,"&lt;&gt;0")+COUNTIFS($D:$D,D35,$N:$N,"Non"&amp;"*",G:G,"&lt;&gt;0")),0)))</f>
        <v>0</v>
      </c>
      <c r="T35" s="653"/>
      <c r="U35" s="653"/>
      <c r="V35" s="690"/>
      <c r="W35" s="363"/>
      <c r="X35" s="356">
        <f>IFERROR(IF(N35=Suppl!$E$65,0,IF(N35=Suppl!$E$66,1/2/(COUNTIFS($N:$N,"Exigences"&amp;"*")+COUNTIFS($N:$N,"Non"&amp;"*")),IF(N35=Suppl!$E$67,1/(COUNTIFS($N:$N,"Exigences"&amp;"*")+COUNTIFS($N:$N,"Non"&amp;"*")),0))),0)</f>
        <v>0</v>
      </c>
      <c r="Y35" s="30"/>
      <c r="Z35" s="30"/>
      <c r="AA35" s="30"/>
      <c r="AB35" s="30"/>
      <c r="AC35" s="30"/>
      <c r="AD35" s="30"/>
      <c r="AE35" s="30"/>
      <c r="AF35" s="30"/>
      <c r="AG35" s="30"/>
      <c r="AH35" s="30"/>
      <c r="AI35" s="112"/>
      <c r="AJ35" s="30"/>
    </row>
    <row r="36" spans="1:36" ht="30" customHeight="1" x14ac:dyDescent="0.3">
      <c r="A36" s="112"/>
      <c r="B36" s="30"/>
      <c r="C36" s="30" t="str">
        <f t="shared" si="0"/>
        <v>13</v>
      </c>
      <c r="D36" s="32">
        <f t="shared" si="4"/>
        <v>2</v>
      </c>
      <c r="E36" s="32" t="str">
        <f t="shared" si="5"/>
        <v>1322</v>
      </c>
      <c r="F36" s="145" t="s">
        <v>28</v>
      </c>
      <c r="G36" s="146" t="str">
        <f>VLOOKUP(E36,BDD!$A$2:$N$567,MATCH(G$24,BDD!$A$1:$P$1,0),FALSE)</f>
        <v>La DSI assure une promotion régulière du catalogue de services.</v>
      </c>
      <c r="H36" s="149" t="str">
        <f>IF(VLOOKUP($E36,BDD!$A$2:$N$567,MATCH($H$23,BDD!$A$1:$P$1,0),FALSE)=H$24,'V13_Marketing&amp;Comm.'!H$24,"")</f>
        <v/>
      </c>
      <c r="I36" s="150" t="str">
        <f>IF(VLOOKUP($E36,BDD!$A$2:$N$567,MATCH($H$23,BDD!$A$1:$P$1,0),FALSE)=I$24,'V13_Marketing&amp;Comm.'!I$24,"")</f>
        <v/>
      </c>
      <c r="J36" s="150" t="str">
        <f>IF(VLOOKUP($E36,BDD!$A$2:$N$567,MATCH($H$23,BDD!$A$1:$P$1,0),FALSE)=J$24,'V13_Marketing&amp;Comm.'!J$24,"")</f>
        <v>N3</v>
      </c>
      <c r="K36" s="150" t="str">
        <f>IF(VLOOKUP($E36,BDD!$A$2:$N$567,MATCH($H$23,BDD!$A$1:$P$1,0),FALSE)=K$24,'V13_Marketing&amp;Comm.'!K$24,"")</f>
        <v/>
      </c>
      <c r="L36" s="151" t="str">
        <f>IF(VLOOKUP($E36,BDD!$A$2:$N$567,MATCH($H$23,BDD!$A$1:$P$1,0),FALSE)=L$24,'V13_Marketing&amp;Comm.'!L$24,"")</f>
        <v/>
      </c>
      <c r="M36" s="63">
        <f t="shared" ref="M36:M39" si="6">IF(N36="Exigences partiellement respectées",1,IF(N36="Exigences respectées",2,0))</f>
        <v>0</v>
      </c>
      <c r="N36" s="146" t="str">
        <f>VLOOKUP(VLOOKUP(E36,BDD!$A$2:$P$550,15,FALSE),Suppl!$D$64:$E$68,2,FALSE)</f>
        <v>Non renseigné</v>
      </c>
      <c r="O36" s="629"/>
      <c r="P36" s="629"/>
      <c r="Q36" s="629"/>
      <c r="R36" s="629"/>
      <c r="S36" s="691">
        <f>IF(N36=Suppl!$E$65,0,IF(N36=Suppl!$E$66,1/2/(COUNTIFS($D:$D,D36,$N:$N,"Exigences"&amp;"*",G:G,"&lt;&gt;0")+COUNTIFS($D:$D,D36,$N:$N,"Non"&amp;"*",G:G,"&lt;&gt;0")),IF(N36=Suppl!$E$67,1/(COUNTIFS($D:$D,D36,$N:$N,"Exigences"&amp;"*",G:G,"&lt;&gt;0")+COUNTIFS($D:$D,D36,$N:$N,"Non"&amp;"*",G:G,"&lt;&gt;0")),0)))</f>
        <v>0</v>
      </c>
      <c r="T36" s="627"/>
      <c r="U36" s="627"/>
      <c r="V36" s="692"/>
      <c r="W36" s="363"/>
      <c r="X36" s="356">
        <f>IFERROR(IF(N36=Suppl!$E$65,0,IF(N36=Suppl!$E$66,1/2/(COUNTIFS($N:$N,"Exigences"&amp;"*")+COUNTIFS($N:$N,"Non"&amp;"*")),IF(N36=Suppl!$E$67,1/(COUNTIFS($N:$N,"Exigences"&amp;"*")+COUNTIFS($N:$N,"Non"&amp;"*")),0))),0)</f>
        <v>0</v>
      </c>
      <c r="Y36" s="30"/>
      <c r="Z36" s="30"/>
      <c r="AA36" s="30"/>
      <c r="AB36" s="30"/>
      <c r="AC36" s="30"/>
      <c r="AD36" s="30"/>
      <c r="AE36" s="30"/>
      <c r="AF36" s="30"/>
      <c r="AG36" s="30"/>
      <c r="AH36" s="30"/>
      <c r="AI36" s="112"/>
      <c r="AJ36" s="30"/>
    </row>
    <row r="37" spans="1:36" ht="30" customHeight="1" x14ac:dyDescent="0.3">
      <c r="A37" s="112"/>
      <c r="B37" s="30"/>
      <c r="C37" s="30" t="str">
        <f t="shared" si="0"/>
        <v>13</v>
      </c>
      <c r="D37" s="32">
        <f t="shared" si="4"/>
        <v>2</v>
      </c>
      <c r="E37" s="32" t="str">
        <f t="shared" si="5"/>
        <v>1323</v>
      </c>
      <c r="F37" s="143" t="s">
        <v>30</v>
      </c>
      <c r="G37" s="144" t="str">
        <f>VLOOKUP(E37,BDD!$A$2:$N$567,MATCH(G$24,BDD!$A$1:$P$1,0),FALSE)</f>
        <v>La DSI mesure et améliore la satisfaction des utilisateurs.</v>
      </c>
      <c r="H37" s="149" t="str">
        <f>IF(VLOOKUP($E37,BDD!$A$2:$N$567,MATCH($H$23,BDD!$A$1:$P$1,0),FALSE)=H$24,'V13_Marketing&amp;Comm.'!H$24,"")</f>
        <v/>
      </c>
      <c r="I37" s="150" t="str">
        <f>IF(VLOOKUP($E37,BDD!$A$2:$N$567,MATCH($H$23,BDD!$A$1:$P$1,0),FALSE)=I$24,'V13_Marketing&amp;Comm.'!I$24,"")</f>
        <v/>
      </c>
      <c r="J37" s="150" t="str">
        <f>IF(VLOOKUP($E37,BDD!$A$2:$N$567,MATCH($H$23,BDD!$A$1:$P$1,0),FALSE)=J$24,'V13_Marketing&amp;Comm.'!J$24,"")</f>
        <v/>
      </c>
      <c r="K37" s="150" t="str">
        <f>IF(VLOOKUP($E37,BDD!$A$2:$N$567,MATCH($H$23,BDD!$A$1:$P$1,0),FALSE)=K$24,'V13_Marketing&amp;Comm.'!K$24,"")</f>
        <v>N4</v>
      </c>
      <c r="L37" s="151" t="str">
        <f>IF(VLOOKUP($E37,BDD!$A$2:$N$567,MATCH($H$23,BDD!$A$1:$P$1,0),FALSE)=L$24,'V13_Marketing&amp;Comm.'!L$24,"")</f>
        <v/>
      </c>
      <c r="M37" s="63">
        <f t="shared" si="6"/>
        <v>0</v>
      </c>
      <c r="N37" s="144" t="str">
        <f>VLOOKUP(VLOOKUP(E37,BDD!$A$2:$P$550,15,FALSE),Suppl!$D$64:$E$68,2,FALSE)</f>
        <v>Non renseigné</v>
      </c>
      <c r="O37" s="629"/>
      <c r="P37" s="629"/>
      <c r="Q37" s="629"/>
      <c r="R37" s="629"/>
      <c r="S37" s="691">
        <f>IF(N37=Suppl!$E$65,0,IF(N37=Suppl!$E$66,1/2/(COUNTIFS($D:$D,D37,$N:$N,"Exigences"&amp;"*",G:G,"&lt;&gt;0")+COUNTIFS($D:$D,D37,$N:$N,"Non"&amp;"*",G:G,"&lt;&gt;0")),IF(N37=Suppl!$E$67,1/(COUNTIFS($D:$D,D37,$N:$N,"Exigences"&amp;"*",G:G,"&lt;&gt;0")+COUNTIFS($D:$D,D37,$N:$N,"Non"&amp;"*",G:G,"&lt;&gt;0")),0)))</f>
        <v>0</v>
      </c>
      <c r="T37" s="627"/>
      <c r="U37" s="627"/>
      <c r="V37" s="692"/>
      <c r="W37" s="363"/>
      <c r="X37" s="356">
        <f>IFERROR(IF(N37=Suppl!$E$65,0,IF(N37=Suppl!$E$66,1/2/(COUNTIFS($N:$N,"Exigences"&amp;"*")+COUNTIFS($N:$N,"Non"&amp;"*")),IF(N37=Suppl!$E$67,1/(COUNTIFS($N:$N,"Exigences"&amp;"*")+COUNTIFS($N:$N,"Non"&amp;"*")),0))),0)</f>
        <v>0</v>
      </c>
      <c r="Y37" s="30"/>
      <c r="Z37" s="30"/>
      <c r="AA37" s="30"/>
      <c r="AB37" s="30"/>
      <c r="AC37" s="30"/>
      <c r="AD37" s="30"/>
      <c r="AE37" s="30"/>
      <c r="AF37" s="30"/>
      <c r="AG37" s="30"/>
      <c r="AH37" s="30"/>
      <c r="AI37" s="112"/>
      <c r="AJ37" s="30"/>
    </row>
    <row r="38" spans="1:36" ht="30" customHeight="1" x14ac:dyDescent="0.3">
      <c r="A38" s="112"/>
      <c r="B38" s="30"/>
      <c r="C38" s="30" t="str">
        <f t="shared" si="0"/>
        <v>13</v>
      </c>
      <c r="D38" s="32">
        <f t="shared" si="4"/>
        <v>2</v>
      </c>
      <c r="E38" s="32" t="str">
        <f t="shared" si="5"/>
        <v>1324</v>
      </c>
      <c r="F38" s="145" t="s">
        <v>32</v>
      </c>
      <c r="G38" s="146" t="str">
        <f>VLOOKUP(E38,BDD!$A$2:$N$567,MATCH(G$24,BDD!$A$1:$P$1,0),FALSE)</f>
        <v>La DSI évalue l'adoption des services par les utilisateurs.</v>
      </c>
      <c r="H38" s="149" t="str">
        <f>IF(VLOOKUP($E38,BDD!$A$2:$N$567,MATCH($H$23,BDD!$A$1:$P$1,0),FALSE)=H$24,'V13_Marketing&amp;Comm.'!H$24,"")</f>
        <v/>
      </c>
      <c r="I38" s="150" t="str">
        <f>IF(VLOOKUP($E38,BDD!$A$2:$N$567,MATCH($H$23,BDD!$A$1:$P$1,0),FALSE)=I$24,'V13_Marketing&amp;Comm.'!I$24,"")</f>
        <v/>
      </c>
      <c r="J38" s="150" t="str">
        <f>IF(VLOOKUP($E38,BDD!$A$2:$N$567,MATCH($H$23,BDD!$A$1:$P$1,0),FALSE)=J$24,'V13_Marketing&amp;Comm.'!J$24,"")</f>
        <v/>
      </c>
      <c r="K38" s="150" t="str">
        <f>IF(VLOOKUP($E38,BDD!$A$2:$N$567,MATCH($H$23,BDD!$A$1:$P$1,0),FALSE)=K$24,'V13_Marketing&amp;Comm.'!K$24,"")</f>
        <v/>
      </c>
      <c r="L38" s="151" t="str">
        <f>IF(VLOOKUP($E38,BDD!$A$2:$N$567,MATCH($H$23,BDD!$A$1:$P$1,0),FALSE)=L$24,'V13_Marketing&amp;Comm.'!L$24,"")</f>
        <v>N5</v>
      </c>
      <c r="M38" s="63">
        <f t="shared" si="6"/>
        <v>0</v>
      </c>
      <c r="N38" s="146" t="str">
        <f>VLOOKUP(VLOOKUP(E38,BDD!$A$2:$P$550,15,FALSE),Suppl!$D$64:$E$68,2,FALSE)</f>
        <v>Non renseigné</v>
      </c>
      <c r="O38" s="629"/>
      <c r="P38" s="629"/>
      <c r="Q38" s="629"/>
      <c r="R38" s="629"/>
      <c r="S38" s="691">
        <f>IF(N38=Suppl!$E$65,0,IF(N38=Suppl!$E$66,1/2/(COUNTIFS($D:$D,D38,$N:$N,"Exigences"&amp;"*",G:G,"&lt;&gt;0")+COUNTIFS($D:$D,D38,$N:$N,"Non"&amp;"*",G:G,"&lt;&gt;0")),IF(N38=Suppl!$E$67,1/(COUNTIFS($D:$D,D38,$N:$N,"Exigences"&amp;"*",G:G,"&lt;&gt;0")+COUNTIFS($D:$D,D38,$N:$N,"Non"&amp;"*",G:G,"&lt;&gt;0")),0)))</f>
        <v>0</v>
      </c>
      <c r="T38" s="627"/>
      <c r="U38" s="627"/>
      <c r="V38" s="692"/>
      <c r="W38" s="363"/>
      <c r="X38" s="356">
        <f>IFERROR(IF(N38=Suppl!$E$65,0,IF(N38=Suppl!$E$66,1/2/(COUNTIFS($N:$N,"Exigences"&amp;"*")+COUNTIFS($N:$N,"Non"&amp;"*")),IF(N38=Suppl!$E$67,1/(COUNTIFS($N:$N,"Exigences"&amp;"*")+COUNTIFS($N:$N,"Non"&amp;"*")),0))),0)</f>
        <v>0</v>
      </c>
      <c r="Y38" s="30"/>
      <c r="Z38" s="30"/>
      <c r="AA38" s="30"/>
      <c r="AB38" s="30"/>
      <c r="AC38" s="30"/>
      <c r="AD38" s="30"/>
      <c r="AE38" s="30"/>
      <c r="AF38" s="30"/>
      <c r="AG38" s="30"/>
      <c r="AH38" s="30"/>
      <c r="AI38" s="112"/>
      <c r="AJ38" s="30"/>
    </row>
    <row r="39" spans="1:36" ht="30" customHeight="1" x14ac:dyDescent="0.3">
      <c r="A39" s="112"/>
      <c r="B39" s="30"/>
      <c r="C39" s="30" t="str">
        <f t="shared" si="0"/>
        <v>13</v>
      </c>
      <c r="D39" s="32">
        <f t="shared" si="4"/>
        <v>2</v>
      </c>
      <c r="E39" s="32" t="str">
        <f t="shared" si="5"/>
        <v>1325</v>
      </c>
      <c r="F39" s="143" t="s">
        <v>33</v>
      </c>
      <c r="G39" s="144" t="str">
        <f>VLOOKUP(E39,BDD!$A$2:$N$567,MATCH(G$24,BDD!$A$1:$P$1,0),FALSE)</f>
        <v>Le plan marketing fait l'objet d'un pilotage et d'un suivi régulier et actualisé.</v>
      </c>
      <c r="H39" s="149" t="str">
        <f>IF(VLOOKUP($E39,BDD!$A$2:$N$567,MATCH($H$23,BDD!$A$1:$P$1,0),FALSE)=H$24,'V13_Marketing&amp;Comm.'!H$24,"")</f>
        <v/>
      </c>
      <c r="I39" s="150" t="str">
        <f>IF(VLOOKUP($E39,BDD!$A$2:$N$567,MATCH($H$23,BDD!$A$1:$P$1,0),FALSE)=I$24,'V13_Marketing&amp;Comm.'!I$24,"")</f>
        <v/>
      </c>
      <c r="J39" s="150" t="str">
        <f>IF(VLOOKUP($E39,BDD!$A$2:$N$567,MATCH($H$23,BDD!$A$1:$P$1,0),FALSE)=J$24,'V13_Marketing&amp;Comm.'!J$24,"")</f>
        <v/>
      </c>
      <c r="K39" s="150" t="str">
        <f>IF(VLOOKUP($E39,BDD!$A$2:$N$567,MATCH($H$23,BDD!$A$1:$P$1,0),FALSE)=K$24,'V13_Marketing&amp;Comm.'!K$24,"")</f>
        <v>N4</v>
      </c>
      <c r="L39" s="151" t="str">
        <f>IF(VLOOKUP($E39,BDD!$A$2:$N$567,MATCH($H$23,BDD!$A$1:$P$1,0),FALSE)=L$24,'V13_Marketing&amp;Comm.'!L$24,"")</f>
        <v/>
      </c>
      <c r="M39" s="63">
        <f t="shared" si="6"/>
        <v>0</v>
      </c>
      <c r="N39" s="144" t="str">
        <f>VLOOKUP(VLOOKUP(E39,BDD!$A$2:$P$550,15,FALSE),Suppl!$D$64:$E$68,2,FALSE)</f>
        <v>Non renseigné</v>
      </c>
      <c r="O39" s="629"/>
      <c r="P39" s="629"/>
      <c r="Q39" s="629"/>
      <c r="R39" s="629"/>
      <c r="S39" s="691">
        <f>IF(N39=Suppl!$E$65,0,IF(N39=Suppl!$E$66,1/2/(COUNTIFS($D:$D,D39,$N:$N,"Exigences"&amp;"*",G:G,"&lt;&gt;0")+COUNTIFS($D:$D,D39,$N:$N,"Non"&amp;"*",G:G,"&lt;&gt;0")),IF(N39=Suppl!$E$67,1/(COUNTIFS($D:$D,D39,$N:$N,"Exigences"&amp;"*",G:G,"&lt;&gt;0")+COUNTIFS($D:$D,D39,$N:$N,"Non"&amp;"*",G:G,"&lt;&gt;0")),0)))</f>
        <v>0</v>
      </c>
      <c r="T39" s="627"/>
      <c r="U39" s="627"/>
      <c r="V39" s="692"/>
      <c r="W39" s="363"/>
      <c r="X39" s="356">
        <f>IFERROR(IF(N39=Suppl!$E$65,0,IF(N39=Suppl!$E$66,1/2/(COUNTIFS($N:$N,"Exigences"&amp;"*")+COUNTIFS($N:$N,"Non"&amp;"*")),IF(N39=Suppl!$E$67,1/(COUNTIFS($N:$N,"Exigences"&amp;"*")+COUNTIFS($N:$N,"Non"&amp;"*")),0))),0)</f>
        <v>0</v>
      </c>
      <c r="Y39" s="30"/>
      <c r="Z39" s="30"/>
      <c r="AA39" s="30"/>
      <c r="AB39" s="30"/>
      <c r="AC39" s="30"/>
      <c r="AD39" s="30"/>
      <c r="AE39" s="30"/>
      <c r="AF39" s="30"/>
      <c r="AG39" s="30"/>
      <c r="AH39" s="30"/>
      <c r="AI39" s="112"/>
      <c r="AJ39" s="30"/>
    </row>
    <row r="40" spans="1:36" ht="30" customHeight="1" x14ac:dyDescent="0.3">
      <c r="A40" s="112"/>
      <c r="B40" s="30"/>
      <c r="C40" s="30" t="str">
        <f t="shared" si="0"/>
        <v>13</v>
      </c>
      <c r="D40" s="32">
        <f t="shared" si="4"/>
        <v>3</v>
      </c>
      <c r="E40" s="32" t="str">
        <f t="shared" si="5"/>
        <v>1333</v>
      </c>
      <c r="F40" s="191" t="s">
        <v>501</v>
      </c>
      <c r="G40" s="192" t="str">
        <f>VLOOKUP(E42,BDD!$A$2:$N$567,6,FALSE)</f>
        <v>Plan de communication du numérique</v>
      </c>
      <c r="H40" s="190"/>
      <c r="I40" s="135"/>
      <c r="J40" s="135"/>
      <c r="K40" s="135"/>
      <c r="L40" s="136"/>
      <c r="M40" s="137"/>
      <c r="N40" s="138"/>
      <c r="O40" s="630">
        <v>0</v>
      </c>
      <c r="P40" s="630"/>
      <c r="Q40" s="630"/>
      <c r="R40" s="630"/>
      <c r="S40" s="685">
        <f>SUMIFS(S:S,$D:$D,D40,$N:$N,"Exigences"&amp;"*")</f>
        <v>0</v>
      </c>
      <c r="T40" s="685"/>
      <c r="U40" s="685"/>
      <c r="V40" s="686"/>
      <c r="W40" s="365"/>
      <c r="X40" s="356">
        <f>IFERROR(IF(N40=Suppl!$E$65,0,IF(N40=Suppl!$E$66,1/2/(COUNTIFS($N:$N,"Exigences"&amp;"*")+COUNTIFS($N:$N,"Non"&amp;"*")),IF(N40=Suppl!$E$67,1/(COUNTIFS($N:$N,"Exigences"&amp;"*")+COUNTIFS($N:$N,"Non"&amp;"*")),0))),0)</f>
        <v>0</v>
      </c>
      <c r="Y40" s="30"/>
      <c r="Z40" s="30"/>
      <c r="AA40" s="30"/>
      <c r="AB40" s="30"/>
      <c r="AC40" s="30"/>
      <c r="AD40" s="30"/>
      <c r="AE40" s="30"/>
      <c r="AF40" s="30"/>
      <c r="AG40" s="30"/>
      <c r="AH40" s="30"/>
      <c r="AI40" s="112"/>
      <c r="AJ40" s="30"/>
    </row>
    <row r="41" spans="1:36" ht="30" customHeight="1" x14ac:dyDescent="0.3">
      <c r="A41" s="112"/>
      <c r="B41" s="30"/>
      <c r="C41" s="30" t="str">
        <f t="shared" si="0"/>
        <v>13</v>
      </c>
      <c r="D41" s="32">
        <f t="shared" si="4"/>
        <v>3</v>
      </c>
      <c r="E41" s="32" t="str">
        <f t="shared" si="5"/>
        <v>1331</v>
      </c>
      <c r="F41" s="211" t="s">
        <v>550</v>
      </c>
      <c r="G41" s="620" t="str">
        <f>VLOOKUP(E43,BDD!$A$2:$N$567,7,FALSE)</f>
        <v>La DSI communique selon un plan de communication formalisé, structuré et partagé.</v>
      </c>
      <c r="H41" s="621"/>
      <c r="I41" s="621"/>
      <c r="J41" s="621"/>
      <c r="K41" s="621"/>
      <c r="L41" s="621"/>
      <c r="M41" s="621"/>
      <c r="N41" s="622"/>
      <c r="O41" s="631"/>
      <c r="P41" s="631"/>
      <c r="Q41" s="631"/>
      <c r="R41" s="631"/>
      <c r="S41" s="687"/>
      <c r="T41" s="687"/>
      <c r="U41" s="687"/>
      <c r="V41" s="688"/>
      <c r="W41" s="365"/>
      <c r="X41" s="356">
        <f>IFERROR(IF(N41=Suppl!$E$65,0,IF(N41=Suppl!$E$66,1/2/(COUNTIFS($N:$N,"Exigences"&amp;"*")+COUNTIFS($N:$N,"Non"&amp;"*")),IF(N41=Suppl!$E$67,1/(COUNTIFS($N:$N,"Exigences"&amp;"*")+COUNTIFS($N:$N,"Non"&amp;"*")),0))),0)</f>
        <v>0</v>
      </c>
      <c r="Y41" s="30"/>
      <c r="Z41" s="30"/>
      <c r="AA41" s="30"/>
      <c r="AB41" s="30"/>
      <c r="AC41" s="30"/>
      <c r="AD41" s="30"/>
      <c r="AE41" s="30"/>
      <c r="AF41" s="30"/>
      <c r="AG41" s="30"/>
      <c r="AH41" s="30"/>
      <c r="AI41" s="112"/>
      <c r="AJ41" s="30"/>
    </row>
    <row r="42" spans="1:36" ht="43.2" customHeight="1" x14ac:dyDescent="0.3">
      <c r="A42" s="112"/>
      <c r="B42" s="30"/>
      <c r="C42" s="30" t="str">
        <f t="shared" si="0"/>
        <v>13</v>
      </c>
      <c r="D42" s="32">
        <f t="shared" si="4"/>
        <v>3</v>
      </c>
      <c r="E42" s="32" t="str">
        <f t="shared" si="5"/>
        <v>1331</v>
      </c>
      <c r="F42" s="143" t="s">
        <v>27</v>
      </c>
      <c r="G42" s="144" t="str">
        <f>VLOOKUP(E42,BDD!$A$2:$N$567,MATCH(G$24,BDD!$A$1:$P$1,0),FALSE)</f>
        <v>Le plan de communication du numérique est aligné sur les enjeux de marketing de la DSI et des services du numérique, il est formalisé et partagé avec les parties prenantes.</v>
      </c>
      <c r="H42" s="149" t="str">
        <f>IF(VLOOKUP($E42,BDD!$A$2:$N$567,MATCH($H$23,BDD!$A$1:$P$1,0),FALSE)=H$24,'V13_Marketing&amp;Comm.'!H$24,"")</f>
        <v>N1</v>
      </c>
      <c r="I42" s="150" t="str">
        <f>IF(VLOOKUP($E42,BDD!$A$2:$N$567,MATCH($H$23,BDD!$A$1:$P$1,0),FALSE)=I$24,'V13_Marketing&amp;Comm.'!I$24,"")</f>
        <v/>
      </c>
      <c r="J42" s="150" t="str">
        <f>IF(VLOOKUP($E42,BDD!$A$2:$N$567,MATCH($H$23,BDD!$A$1:$P$1,0),FALSE)=J$24,'V13_Marketing&amp;Comm.'!J$24,"")</f>
        <v/>
      </c>
      <c r="K42" s="150" t="str">
        <f>IF(VLOOKUP($E42,BDD!$A$2:$N$567,MATCH($H$23,BDD!$A$1:$P$1,0),FALSE)=K$24,'V13_Marketing&amp;Comm.'!K$24,"")</f>
        <v/>
      </c>
      <c r="L42" s="151" t="str">
        <f>IF(VLOOKUP($E42,BDD!$A$2:$N$567,MATCH($H$23,BDD!$A$1:$P$1,0),FALSE)=L$24,'V13_Marketing&amp;Comm.'!L$24,"")</f>
        <v/>
      </c>
      <c r="M42" s="63">
        <f t="shared" ref="M42:M48" si="7">IF(N42="Exigences partiellement respectées",1,IF(N42="Exigences respectées",2,0))</f>
        <v>0</v>
      </c>
      <c r="N42" s="144" t="str">
        <f>VLOOKUP(VLOOKUP(E42,BDD!$A$2:$P$550,15,FALSE),Suppl!$D$64:$E$68,2,FALSE)</f>
        <v>Non renseigné</v>
      </c>
      <c r="O42" s="626"/>
      <c r="P42" s="626"/>
      <c r="Q42" s="626"/>
      <c r="R42" s="626"/>
      <c r="S42" s="689">
        <f>IF(N42=Suppl!$E$65,0,IF(N42=Suppl!$E$66,1/2/(COUNTIFS($D:$D,D42,$N:$N,"Exigences"&amp;"*",G:G,"&lt;&gt;0")+COUNTIFS($D:$D,D42,$N:$N,"Non"&amp;"*",G:G,"&lt;&gt;0")),IF(N42=Suppl!$E$67,1/(COUNTIFS($D:$D,D42,$N:$N,"Exigences"&amp;"*",G:G,"&lt;&gt;0")+COUNTIFS($D:$D,D42,$N:$N,"Non"&amp;"*",G:G,"&lt;&gt;0")),0)))</f>
        <v>0</v>
      </c>
      <c r="T42" s="653"/>
      <c r="U42" s="653"/>
      <c r="V42" s="690"/>
      <c r="W42" s="363"/>
      <c r="X42" s="356">
        <f>IFERROR(IF(N42=Suppl!$E$65,0,IF(N42=Suppl!$E$66,1/2/(COUNTIFS($N:$N,"Exigences"&amp;"*")+COUNTIFS($N:$N,"Non"&amp;"*")),IF(N42=Suppl!$E$67,1/(COUNTIFS($N:$N,"Exigences"&amp;"*")+COUNTIFS($N:$N,"Non"&amp;"*")),0))),0)</f>
        <v>0</v>
      </c>
      <c r="Y42" s="30"/>
      <c r="Z42" s="30"/>
      <c r="AA42" s="30"/>
      <c r="AB42" s="30"/>
      <c r="AC42" s="30"/>
      <c r="AD42" s="30"/>
      <c r="AE42" s="30"/>
      <c r="AF42" s="30"/>
      <c r="AG42" s="30"/>
      <c r="AH42" s="30"/>
      <c r="AI42" s="112"/>
      <c r="AJ42" s="30"/>
    </row>
    <row r="43" spans="1:36" ht="30" customHeight="1" x14ac:dyDescent="0.3">
      <c r="A43" s="112"/>
      <c r="B43" s="30"/>
      <c r="C43" s="30" t="str">
        <f t="shared" si="0"/>
        <v>13</v>
      </c>
      <c r="D43" s="32">
        <f t="shared" si="4"/>
        <v>3</v>
      </c>
      <c r="E43" s="32" t="str">
        <f t="shared" si="5"/>
        <v>1332</v>
      </c>
      <c r="F43" s="145" t="s">
        <v>28</v>
      </c>
      <c r="G43" s="146" t="str">
        <f>VLOOKUP(E43,BDD!$A$2:$N$567,MATCH(G$24,BDD!$A$1:$P$1,0),FALSE)</f>
        <v>Le plan de communication du numérique est aligné sur le plan de communication de l'organisation.</v>
      </c>
      <c r="H43" s="149" t="str">
        <f>IF(VLOOKUP($E43,BDD!$A$2:$N$567,MATCH($H$23,BDD!$A$1:$P$1,0),FALSE)=H$24,'V13_Marketing&amp;Comm.'!H$24,"")</f>
        <v>N1</v>
      </c>
      <c r="I43" s="150" t="str">
        <f>IF(VLOOKUP($E43,BDD!$A$2:$N$567,MATCH($H$23,BDD!$A$1:$P$1,0),FALSE)=I$24,'V13_Marketing&amp;Comm.'!I$24,"")</f>
        <v/>
      </c>
      <c r="J43" s="150" t="str">
        <f>IF(VLOOKUP($E43,BDD!$A$2:$N$567,MATCH($H$23,BDD!$A$1:$P$1,0),FALSE)=J$24,'V13_Marketing&amp;Comm.'!J$24,"")</f>
        <v/>
      </c>
      <c r="K43" s="150" t="str">
        <f>IF(VLOOKUP($E43,BDD!$A$2:$N$567,MATCH($H$23,BDD!$A$1:$P$1,0),FALSE)=K$24,'V13_Marketing&amp;Comm.'!K$24,"")</f>
        <v/>
      </c>
      <c r="L43" s="151" t="str">
        <f>IF(VLOOKUP($E43,BDD!$A$2:$N$567,MATCH($H$23,BDD!$A$1:$P$1,0),FALSE)=L$24,'V13_Marketing&amp;Comm.'!L$24,"")</f>
        <v/>
      </c>
      <c r="M43" s="63">
        <f t="shared" si="7"/>
        <v>0</v>
      </c>
      <c r="N43" s="146" t="str">
        <f>VLOOKUP(VLOOKUP(E43,BDD!$A$2:$P$550,15,FALSE),Suppl!$D$64:$E$68,2,FALSE)</f>
        <v>Non renseigné</v>
      </c>
      <c r="O43" s="629"/>
      <c r="P43" s="629"/>
      <c r="Q43" s="629"/>
      <c r="R43" s="629"/>
      <c r="S43" s="691">
        <f>IF(N43=Suppl!$E$65,0,IF(N43=Suppl!$E$66,1/2/(COUNTIFS($D:$D,D43,$N:$N,"Exigences"&amp;"*",G:G,"&lt;&gt;0")+COUNTIFS($D:$D,D43,$N:$N,"Non"&amp;"*",G:G,"&lt;&gt;0")),IF(N43=Suppl!$E$67,1/(COUNTIFS($D:$D,D43,$N:$N,"Exigences"&amp;"*",G:G,"&lt;&gt;0")+COUNTIFS($D:$D,D43,$N:$N,"Non"&amp;"*",G:G,"&lt;&gt;0")),0)))</f>
        <v>0</v>
      </c>
      <c r="T43" s="627"/>
      <c r="U43" s="627"/>
      <c r="V43" s="692"/>
      <c r="W43" s="363"/>
      <c r="X43" s="356">
        <f>IFERROR(IF(N43=Suppl!$E$65,0,IF(N43=Suppl!$E$66,1/2/(COUNTIFS($N:$N,"Exigences"&amp;"*")+COUNTIFS($N:$N,"Non"&amp;"*")),IF(N43=Suppl!$E$67,1/(COUNTIFS($N:$N,"Exigences"&amp;"*")+COUNTIFS($N:$N,"Non"&amp;"*")),0))),0)</f>
        <v>0</v>
      </c>
      <c r="Y43" s="30"/>
      <c r="Z43" s="30"/>
      <c r="AA43" s="30"/>
      <c r="AB43" s="30"/>
      <c r="AC43" s="30"/>
      <c r="AD43" s="30"/>
      <c r="AE43" s="30"/>
      <c r="AF43" s="30"/>
      <c r="AG43" s="30"/>
      <c r="AH43" s="30"/>
      <c r="AI43" s="112"/>
      <c r="AJ43" s="30"/>
    </row>
    <row r="44" spans="1:36" ht="41.4" x14ac:dyDescent="0.3">
      <c r="A44" s="112"/>
      <c r="B44" s="30"/>
      <c r="C44" s="30" t="str">
        <f t="shared" si="0"/>
        <v>13</v>
      </c>
      <c r="D44" s="32">
        <f t="shared" si="4"/>
        <v>3</v>
      </c>
      <c r="E44" s="32" t="str">
        <f t="shared" si="5"/>
        <v>1333</v>
      </c>
      <c r="F44" s="143" t="s">
        <v>30</v>
      </c>
      <c r="G44" s="144" t="str">
        <f>VLOOKUP(E44,BDD!$A$2:$N$567,MATCH(G$24,BDD!$A$1:$P$1,0),FALSE)</f>
        <v>Le plan de communication différencie les populations ciblées (collaborateurs de la DSI, utilisateurs, métiers, externes à l'organisation) ainsi que les finalités de la communication.</v>
      </c>
      <c r="H44" s="149" t="str">
        <f>IF(VLOOKUP($E44,BDD!$A$2:$N$567,MATCH($H$23,BDD!$A$1:$P$1,0),FALSE)=H$24,'V13_Marketing&amp;Comm.'!H$24,"")</f>
        <v/>
      </c>
      <c r="I44" s="150" t="str">
        <f>IF(VLOOKUP($E44,BDD!$A$2:$N$567,MATCH($H$23,BDD!$A$1:$P$1,0),FALSE)=I$24,'V13_Marketing&amp;Comm.'!I$24,"")</f>
        <v/>
      </c>
      <c r="J44" s="150" t="str">
        <f>IF(VLOOKUP($E44,BDD!$A$2:$N$567,MATCH($H$23,BDD!$A$1:$P$1,0),FALSE)=J$24,'V13_Marketing&amp;Comm.'!J$24,"")</f>
        <v>N3</v>
      </c>
      <c r="K44" s="150" t="str">
        <f>IF(VLOOKUP($E44,BDD!$A$2:$N$567,MATCH($H$23,BDD!$A$1:$P$1,0),FALSE)=K$24,'V13_Marketing&amp;Comm.'!K$24,"")</f>
        <v/>
      </c>
      <c r="L44" s="151" t="str">
        <f>IF(VLOOKUP($E44,BDD!$A$2:$N$567,MATCH($H$23,BDD!$A$1:$P$1,0),FALSE)=L$24,'V13_Marketing&amp;Comm.'!L$24,"")</f>
        <v/>
      </c>
      <c r="M44" s="63">
        <f t="shared" si="7"/>
        <v>0</v>
      </c>
      <c r="N44" s="144" t="str">
        <f>VLOOKUP(VLOOKUP(E44,BDD!$A$2:$P$550,15,FALSE),Suppl!$D$64:$E$68,2,FALSE)</f>
        <v>Non renseigné</v>
      </c>
      <c r="O44" s="629"/>
      <c r="P44" s="629"/>
      <c r="Q44" s="629"/>
      <c r="R44" s="629"/>
      <c r="S44" s="691">
        <f>IF(N44=Suppl!$E$65,0,IF(N44=Suppl!$E$66,1/2/(COUNTIFS($D:$D,D44,$N:$N,"Exigences"&amp;"*",G:G,"&lt;&gt;0")+COUNTIFS($D:$D,D44,$N:$N,"Non"&amp;"*",G:G,"&lt;&gt;0")),IF(N44=Suppl!$E$67,1/(COUNTIFS($D:$D,D44,$N:$N,"Exigences"&amp;"*",G:G,"&lt;&gt;0")+COUNTIFS($D:$D,D44,$N:$N,"Non"&amp;"*",G:G,"&lt;&gt;0")),0)))</f>
        <v>0</v>
      </c>
      <c r="T44" s="627"/>
      <c r="U44" s="627"/>
      <c r="V44" s="692"/>
      <c r="W44" s="363"/>
      <c r="X44" s="356">
        <f>IFERROR(IF(N44=Suppl!$E$65,0,IF(N44=Suppl!$E$66,1/2/(COUNTIFS($N:$N,"Exigences"&amp;"*")+COUNTIFS($N:$N,"Non"&amp;"*")),IF(N44=Suppl!$E$67,1/(COUNTIFS($N:$N,"Exigences"&amp;"*")+COUNTIFS($N:$N,"Non"&amp;"*")),0))),0)</f>
        <v>0</v>
      </c>
      <c r="Y44" s="30"/>
      <c r="Z44" s="30"/>
      <c r="AA44" s="30"/>
      <c r="AB44" s="30"/>
      <c r="AC44" s="30"/>
      <c r="AD44" s="30"/>
      <c r="AE44" s="30"/>
      <c r="AF44" s="30"/>
      <c r="AG44" s="30"/>
      <c r="AH44" s="30"/>
      <c r="AI44" s="112"/>
      <c r="AJ44" s="30"/>
    </row>
    <row r="45" spans="1:36" ht="30" customHeight="1" x14ac:dyDescent="0.3">
      <c r="A45" s="112"/>
      <c r="B45" s="30"/>
      <c r="C45" s="30" t="str">
        <f t="shared" si="0"/>
        <v>13</v>
      </c>
      <c r="D45" s="32">
        <f t="shared" si="4"/>
        <v>3</v>
      </c>
      <c r="E45" s="32" t="str">
        <f t="shared" si="5"/>
        <v>1334</v>
      </c>
      <c r="F45" s="145" t="s">
        <v>32</v>
      </c>
      <c r="G45" s="146" t="str">
        <f>VLOOKUP(E45,BDD!$A$2:$N$567,MATCH(G$24,BDD!$A$1:$P$1,0),FALSE)</f>
        <v>Le plan de communication prend en compte les dimensions d'innovation, de transformation numérique, de cybersécurité, et de numérique responsable.</v>
      </c>
      <c r="H45" s="149" t="str">
        <f>IF(VLOOKUP($E45,BDD!$A$2:$N$567,MATCH($H$23,BDD!$A$1:$P$1,0),FALSE)=H$24,'V13_Marketing&amp;Comm.'!H$24,"")</f>
        <v/>
      </c>
      <c r="I45" s="150" t="str">
        <f>IF(VLOOKUP($E45,BDD!$A$2:$N$567,MATCH($H$23,BDD!$A$1:$P$1,0),FALSE)=I$24,'V13_Marketing&amp;Comm.'!I$24,"")</f>
        <v/>
      </c>
      <c r="J45" s="150" t="str">
        <f>IF(VLOOKUP($E45,BDD!$A$2:$N$567,MATCH($H$23,BDD!$A$1:$P$1,0),FALSE)=J$24,'V13_Marketing&amp;Comm.'!J$24,"")</f>
        <v/>
      </c>
      <c r="K45" s="150" t="str">
        <f>IF(VLOOKUP($E45,BDD!$A$2:$N$567,MATCH($H$23,BDD!$A$1:$P$1,0),FALSE)=K$24,'V13_Marketing&amp;Comm.'!K$24,"")</f>
        <v>N4</v>
      </c>
      <c r="L45" s="151" t="str">
        <f>IF(VLOOKUP($E45,BDD!$A$2:$N$567,MATCH($H$23,BDD!$A$1:$P$1,0),FALSE)=L$24,'V13_Marketing&amp;Comm.'!L$24,"")</f>
        <v/>
      </c>
      <c r="M45" s="63">
        <f t="shared" si="7"/>
        <v>0</v>
      </c>
      <c r="N45" s="146" t="str">
        <f>VLOOKUP(VLOOKUP(E45,BDD!$A$2:$P$550,15,FALSE),Suppl!$D$64:$E$68,2,FALSE)</f>
        <v>Non renseigné</v>
      </c>
      <c r="O45" s="629"/>
      <c r="P45" s="629"/>
      <c r="Q45" s="629"/>
      <c r="R45" s="629"/>
      <c r="S45" s="691">
        <f>IF(N45=Suppl!$E$65,0,IF(N45=Suppl!$E$66,1/2/(COUNTIFS($D:$D,D45,$N:$N,"Exigences"&amp;"*",G:G,"&lt;&gt;0")+COUNTIFS($D:$D,D45,$N:$N,"Non"&amp;"*",G:G,"&lt;&gt;0")),IF(N45=Suppl!$E$67,1/(COUNTIFS($D:$D,D45,$N:$N,"Exigences"&amp;"*",G:G,"&lt;&gt;0")+COUNTIFS($D:$D,D45,$N:$N,"Non"&amp;"*",G:G,"&lt;&gt;0")),0)))</f>
        <v>0</v>
      </c>
      <c r="T45" s="627"/>
      <c r="U45" s="627"/>
      <c r="V45" s="692"/>
      <c r="W45" s="363"/>
      <c r="X45" s="356">
        <f>IFERROR(IF(N45=Suppl!$E$65,0,IF(N45=Suppl!$E$66,1/2/(COUNTIFS($N:$N,"Exigences"&amp;"*")+COUNTIFS($N:$N,"Non"&amp;"*")),IF(N45=Suppl!$E$67,1/(COUNTIFS($N:$N,"Exigences"&amp;"*")+COUNTIFS($N:$N,"Non"&amp;"*")),0))),0)</f>
        <v>0</v>
      </c>
      <c r="Y45" s="30"/>
      <c r="Z45" s="30"/>
      <c r="AA45" s="30"/>
      <c r="AB45" s="30"/>
      <c r="AC45" s="30"/>
      <c r="AD45" s="30"/>
      <c r="AE45" s="30"/>
      <c r="AF45" s="30"/>
      <c r="AG45" s="30"/>
      <c r="AH45" s="30"/>
      <c r="AI45" s="112"/>
      <c r="AJ45" s="30"/>
    </row>
    <row r="46" spans="1:36" ht="30" customHeight="1" x14ac:dyDescent="0.3">
      <c r="A46" s="112"/>
      <c r="B46" s="30"/>
      <c r="C46" s="30" t="str">
        <f t="shared" si="0"/>
        <v>13</v>
      </c>
      <c r="D46" s="32">
        <f t="shared" si="4"/>
        <v>3</v>
      </c>
      <c r="E46" s="32" t="str">
        <f t="shared" si="5"/>
        <v>1335</v>
      </c>
      <c r="F46" s="143" t="s">
        <v>33</v>
      </c>
      <c r="G46" s="144" t="str">
        <f>VLOOKUP(E46,BDD!$A$2:$N$567,MATCH(G$24,BDD!$A$1:$P$1,0),FALSE)</f>
        <v>Les actions de communication et les moyens utilisés sont adaptés aux populations ciblées et à la finalité.</v>
      </c>
      <c r="H46" s="149" t="str">
        <f>IF(VLOOKUP($E46,BDD!$A$2:$N$567,MATCH($H$23,BDD!$A$1:$P$1,0),FALSE)=H$24,'V13_Marketing&amp;Comm.'!H$24,"")</f>
        <v/>
      </c>
      <c r="I46" s="150" t="str">
        <f>IF(VLOOKUP($E46,BDD!$A$2:$N$567,MATCH($H$23,BDD!$A$1:$P$1,0),FALSE)=I$24,'V13_Marketing&amp;Comm.'!I$24,"")</f>
        <v>N2</v>
      </c>
      <c r="J46" s="150" t="str">
        <f>IF(VLOOKUP($E46,BDD!$A$2:$N$567,MATCH($H$23,BDD!$A$1:$P$1,0),FALSE)=J$24,'V13_Marketing&amp;Comm.'!J$24,"")</f>
        <v/>
      </c>
      <c r="K46" s="150" t="str">
        <f>IF(VLOOKUP($E46,BDD!$A$2:$N$567,MATCH($H$23,BDD!$A$1:$P$1,0),FALSE)=K$24,'V13_Marketing&amp;Comm.'!K$24,"")</f>
        <v/>
      </c>
      <c r="L46" s="151" t="str">
        <f>IF(VLOOKUP($E46,BDD!$A$2:$N$567,MATCH($H$23,BDD!$A$1:$P$1,0),FALSE)=L$24,'V13_Marketing&amp;Comm.'!L$24,"")</f>
        <v/>
      </c>
      <c r="M46" s="63">
        <f t="shared" si="7"/>
        <v>0</v>
      </c>
      <c r="N46" s="144" t="str">
        <f>VLOOKUP(VLOOKUP(E46,BDD!$A$2:$P$550,15,FALSE),Suppl!$D$64:$E$68,2,FALSE)</f>
        <v>Non renseigné</v>
      </c>
      <c r="O46" s="629"/>
      <c r="P46" s="629"/>
      <c r="Q46" s="629"/>
      <c r="R46" s="629"/>
      <c r="S46" s="691">
        <f>IF(N46=Suppl!$E$65,0,IF(N46=Suppl!$E$66,1/2/(COUNTIFS($D:$D,D46,$N:$N,"Exigences"&amp;"*",G:G,"&lt;&gt;0")+COUNTIFS($D:$D,D46,$N:$N,"Non"&amp;"*",G:G,"&lt;&gt;0")),IF(N46=Suppl!$E$67,1/(COUNTIFS($D:$D,D46,$N:$N,"Exigences"&amp;"*",G:G,"&lt;&gt;0")+COUNTIFS($D:$D,D46,$N:$N,"Non"&amp;"*",G:G,"&lt;&gt;0")),0)))</f>
        <v>0</v>
      </c>
      <c r="T46" s="627"/>
      <c r="U46" s="627"/>
      <c r="V46" s="692"/>
      <c r="W46" s="363"/>
      <c r="X46" s="356">
        <f>IFERROR(IF(N46=Suppl!$E$65,0,IF(N46=Suppl!$E$66,1/2/(COUNTIFS($N:$N,"Exigences"&amp;"*")+COUNTIFS($N:$N,"Non"&amp;"*")),IF(N46=Suppl!$E$67,1/(COUNTIFS($N:$N,"Exigences"&amp;"*")+COUNTIFS($N:$N,"Non"&amp;"*")),0))),0)</f>
        <v>0</v>
      </c>
      <c r="Y46" s="30"/>
      <c r="Z46" s="30"/>
      <c r="AA46" s="30"/>
      <c r="AB46" s="30"/>
      <c r="AC46" s="30"/>
      <c r="AD46" s="30"/>
      <c r="AE46" s="30"/>
      <c r="AF46" s="30"/>
      <c r="AG46" s="30"/>
      <c r="AH46" s="30"/>
      <c r="AI46" s="112"/>
      <c r="AJ46" s="30"/>
    </row>
    <row r="47" spans="1:36" ht="30.6" customHeight="1" x14ac:dyDescent="0.3">
      <c r="A47" s="112"/>
      <c r="B47" s="30"/>
      <c r="C47" s="30" t="str">
        <f t="shared" si="0"/>
        <v>13</v>
      </c>
      <c r="D47" s="32">
        <f t="shared" si="4"/>
        <v>3</v>
      </c>
      <c r="E47" s="32" t="str">
        <f t="shared" si="5"/>
        <v>1336</v>
      </c>
      <c r="F47" s="147" t="s">
        <v>34</v>
      </c>
      <c r="G47" s="148" t="str">
        <f>VLOOKUP(E47,BDD!$A$2:$N$567,MATCH(G$24,BDD!$A$1:$P$1,0),FALSE)</f>
        <v>Des actions sont mises en place régulièrement afin de mesurer l’impact et l’efficacité de la communication, et ces mesures sont utilisées dans la mise à jour du plan de communication.</v>
      </c>
      <c r="H47" s="149" t="str">
        <f>IF(VLOOKUP($E47,BDD!$A$2:$N$567,MATCH($H$23,BDD!$A$1:$P$1,0),FALSE)=H$24,'V13_Marketing&amp;Comm.'!H$24,"")</f>
        <v/>
      </c>
      <c r="I47" s="150" t="str">
        <f>IF(VLOOKUP($E47,BDD!$A$2:$N$567,MATCH($H$23,BDD!$A$1:$P$1,0),FALSE)=I$24,'V13_Marketing&amp;Comm.'!I$24,"")</f>
        <v/>
      </c>
      <c r="J47" s="150" t="str">
        <f>IF(VLOOKUP($E47,BDD!$A$2:$N$567,MATCH($H$23,BDD!$A$1:$P$1,0),FALSE)=J$24,'V13_Marketing&amp;Comm.'!J$24,"")</f>
        <v/>
      </c>
      <c r="K47" s="150" t="str">
        <f>IF(VLOOKUP($E47,BDD!$A$2:$N$567,MATCH($H$23,BDD!$A$1:$P$1,0),FALSE)=K$24,'V13_Marketing&amp;Comm.'!K$24,"")</f>
        <v>N4</v>
      </c>
      <c r="L47" s="151" t="str">
        <f>IF(VLOOKUP($E47,BDD!$A$2:$N$567,MATCH($H$23,BDD!$A$1:$P$1,0),FALSE)=L$24,'V13_Marketing&amp;Comm.'!L$24,"")</f>
        <v/>
      </c>
      <c r="M47" s="63">
        <f t="shared" si="7"/>
        <v>0</v>
      </c>
      <c r="N47" s="148" t="str">
        <f>VLOOKUP(VLOOKUP(E47,BDD!$A$2:$P$550,15,FALSE),Suppl!$D$64:$E$68,2,FALSE)</f>
        <v>Non renseigné</v>
      </c>
      <c r="O47" s="629"/>
      <c r="P47" s="629"/>
      <c r="Q47" s="629"/>
      <c r="R47" s="629"/>
      <c r="S47" s="691">
        <f>IF(N47=Suppl!$E$65,0,IF(N47=Suppl!$E$66,1/2/(COUNTIFS($D:$D,D47,$N:$N,"Exigences"&amp;"*",G:G,"&lt;&gt;0")+COUNTIFS($D:$D,D47,$N:$N,"Non"&amp;"*",G:G,"&lt;&gt;0")),IF(N47=Suppl!$E$67,1/(COUNTIFS($D:$D,D47,$N:$N,"Exigences"&amp;"*",G:G,"&lt;&gt;0")+COUNTIFS($D:$D,D47,$N:$N,"Non"&amp;"*",G:G,"&lt;&gt;0")),0)))</f>
        <v>0</v>
      </c>
      <c r="T47" s="627"/>
      <c r="U47" s="627"/>
      <c r="V47" s="692"/>
      <c r="W47" s="363"/>
      <c r="X47" s="356">
        <f>IFERROR(IF(N47=Suppl!$E$65,0,IF(N47=Suppl!$E$66,1/2/(COUNTIFS($N:$N,"Exigences"&amp;"*")+COUNTIFS($N:$N,"Non"&amp;"*")),IF(N47=Suppl!$E$67,1/(COUNTIFS($N:$N,"Exigences"&amp;"*")+COUNTIFS($N:$N,"Non"&amp;"*")),0))),0)</f>
        <v>0</v>
      </c>
      <c r="Y47" s="30"/>
      <c r="Z47" s="30"/>
      <c r="AA47" s="30"/>
      <c r="AB47" s="30"/>
      <c r="AC47" s="30"/>
      <c r="AD47" s="30"/>
      <c r="AE47" s="30"/>
      <c r="AF47" s="30"/>
      <c r="AG47" s="30"/>
      <c r="AH47" s="30"/>
      <c r="AI47" s="112"/>
      <c r="AJ47" s="30"/>
    </row>
    <row r="48" spans="1:36" ht="30" customHeight="1" x14ac:dyDescent="0.3">
      <c r="A48" s="112"/>
      <c r="B48" s="30"/>
      <c r="C48" s="30" t="str">
        <f t="shared" si="0"/>
        <v>13</v>
      </c>
      <c r="D48" s="32">
        <f t="shared" si="4"/>
        <v>3</v>
      </c>
      <c r="E48" s="32" t="str">
        <f t="shared" si="5"/>
        <v>1337</v>
      </c>
      <c r="F48" s="143" t="s">
        <v>36</v>
      </c>
      <c r="G48" s="144" t="str">
        <f>VLOOKUP(E48,BDD!$A$2:$N$567,MATCH(G$24,BDD!$A$1:$P$1,0),FALSE)</f>
        <v>Le plan de communication est évolutif et peut être repensé au fil de l’eau. Des communications opportunistes peuvent être réalisées selon le contexte et les enjeux du moment.</v>
      </c>
      <c r="H48" s="149" t="str">
        <f>IF(VLOOKUP($E48,BDD!$A$2:$N$567,MATCH($H$23,BDD!$A$1:$P$1,0),FALSE)=H$24,'V13_Marketing&amp;Comm.'!H$24,"")</f>
        <v/>
      </c>
      <c r="I48" s="150" t="str">
        <f>IF(VLOOKUP($E48,BDD!$A$2:$N$567,MATCH($H$23,BDD!$A$1:$P$1,0),FALSE)=I$24,'V13_Marketing&amp;Comm.'!I$24,"")</f>
        <v>N2</v>
      </c>
      <c r="J48" s="150" t="str">
        <f>IF(VLOOKUP($E48,BDD!$A$2:$N$567,MATCH($H$23,BDD!$A$1:$P$1,0),FALSE)=J$24,'V13_Marketing&amp;Comm.'!J$24,"")</f>
        <v/>
      </c>
      <c r="K48" s="150" t="str">
        <f>IF(VLOOKUP($E48,BDD!$A$2:$N$567,MATCH($H$23,BDD!$A$1:$P$1,0),FALSE)=K$24,'V13_Marketing&amp;Comm.'!K$24,"")</f>
        <v/>
      </c>
      <c r="L48" s="151" t="str">
        <f>IF(VLOOKUP($E48,BDD!$A$2:$N$567,MATCH($H$23,BDD!$A$1:$P$1,0),FALSE)=L$24,'V13_Marketing&amp;Comm.'!L$24,"")</f>
        <v/>
      </c>
      <c r="M48" s="63">
        <f t="shared" si="7"/>
        <v>0</v>
      </c>
      <c r="N48" s="144" t="str">
        <f>VLOOKUP(VLOOKUP(E48,BDD!$A$2:$P$550,15,FALSE),Suppl!$D$64:$E$68,2,FALSE)</f>
        <v>Non renseigné</v>
      </c>
      <c r="O48" s="629"/>
      <c r="P48" s="629"/>
      <c r="Q48" s="629"/>
      <c r="R48" s="629"/>
      <c r="S48" s="691">
        <f>IF(N48=Suppl!$E$65,0,IF(N48=Suppl!$E$66,1/2/(COUNTIFS($D:$D,D48,$N:$N,"Exigences"&amp;"*",G:G,"&lt;&gt;0")+COUNTIFS($D:$D,D48,$N:$N,"Non"&amp;"*",G:G,"&lt;&gt;0")),IF(N48=Suppl!$E$67,1/(COUNTIFS($D:$D,D48,$N:$N,"Exigences"&amp;"*",G:G,"&lt;&gt;0")+COUNTIFS($D:$D,D48,$N:$N,"Non"&amp;"*",G:G,"&lt;&gt;0")),0)))</f>
        <v>0</v>
      </c>
      <c r="T48" s="627"/>
      <c r="U48" s="627"/>
      <c r="V48" s="692"/>
      <c r="W48" s="363"/>
      <c r="X48" s="356">
        <f>IFERROR(IF(N48=Suppl!$E$65,0,IF(N48=Suppl!$E$66,1/2/(COUNTIFS($N:$N,"Exigences"&amp;"*")+COUNTIFS($N:$N,"Non"&amp;"*")),IF(N48=Suppl!$E$67,1/(COUNTIFS($N:$N,"Exigences"&amp;"*")+COUNTIFS($N:$N,"Non"&amp;"*")),0))),0)</f>
        <v>0</v>
      </c>
      <c r="Y48" s="30"/>
      <c r="Z48" s="30"/>
      <c r="AA48" s="30"/>
      <c r="AB48" s="30"/>
      <c r="AC48" s="30"/>
      <c r="AD48" s="30"/>
      <c r="AE48" s="30"/>
      <c r="AF48" s="30"/>
      <c r="AG48" s="30"/>
      <c r="AH48" s="30"/>
      <c r="AI48" s="112"/>
      <c r="AJ48" s="30"/>
    </row>
    <row r="49" spans="1:36" ht="30" customHeight="1" x14ac:dyDescent="0.3">
      <c r="A49" s="112"/>
      <c r="B49" s="30"/>
      <c r="C49" s="30" t="str">
        <f t="shared" si="0"/>
        <v>13</v>
      </c>
      <c r="D49" s="32">
        <f t="shared" si="4"/>
        <v>3</v>
      </c>
      <c r="E49" s="32" t="str">
        <f t="shared" si="5"/>
        <v>1338</v>
      </c>
      <c r="F49" s="147" t="s">
        <v>641</v>
      </c>
      <c r="G49" s="148" t="str">
        <f>VLOOKUP(E49,BDD!$A$2:$N$567,MATCH(G$24,BDD!$A$1:$P$1,0),FALSE)</f>
        <v>Le plan de communication intègre la stratégie de participation à des événements externes afin d’assurer la visibilité et la mise en valeur du numérique au sein de l’organisation.</v>
      </c>
      <c r="H49" s="149" t="str">
        <f>IF(VLOOKUP($E49,BDD!$A$2:$N$567,MATCH($H$23,BDD!$A$1:$P$1,0),FALSE)=H$24,'V13_Marketing&amp;Comm.'!H$24,"")</f>
        <v/>
      </c>
      <c r="I49" s="150" t="str">
        <f>IF(VLOOKUP($E49,BDD!$A$2:$N$567,MATCH($H$23,BDD!$A$1:$P$1,0),FALSE)=I$24,'V13_Marketing&amp;Comm.'!I$24,"")</f>
        <v/>
      </c>
      <c r="J49" s="150" t="str">
        <f>IF(VLOOKUP($E49,BDD!$A$2:$N$567,MATCH($H$23,BDD!$A$1:$P$1,0),FALSE)=J$24,'V13_Marketing&amp;Comm.'!J$24,"")</f>
        <v/>
      </c>
      <c r="K49" s="150" t="str">
        <f>IF(VLOOKUP($E49,BDD!$A$2:$N$567,MATCH($H$23,BDD!$A$1:$P$1,0),FALSE)=K$24,'V13_Marketing&amp;Comm.'!K$24,"")</f>
        <v>N4</v>
      </c>
      <c r="L49" s="151" t="str">
        <f>IF(VLOOKUP($E49,BDD!$A$2:$N$567,MATCH($H$23,BDD!$A$1:$P$1,0),FALSE)=L$24,'V13_Marketing&amp;Comm.'!L$24,"")</f>
        <v/>
      </c>
      <c r="M49" s="63">
        <f t="shared" ref="M49" si="8">IF(N49="Exigences partiellement respectées",1,IF(N49="Exigences respectées",2,0))</f>
        <v>0</v>
      </c>
      <c r="N49" s="148" t="str">
        <f>VLOOKUP(VLOOKUP(E49,BDD!$A$2:$P$550,15,FALSE),Suppl!$D$64:$E$68,2,FALSE)</f>
        <v>Non renseigné</v>
      </c>
      <c r="O49" s="680"/>
      <c r="P49" s="681"/>
      <c r="Q49" s="681"/>
      <c r="R49" s="681"/>
      <c r="S49" s="682">
        <f>IF(N49=Suppl!$E$65,0,IF(N49=Suppl!$E$66,1/2/(COUNTIFS($D:$D,D49,$N:$N,"Exigences"&amp;"*",G:G,"&lt;&gt;0")+COUNTIFS($D:$D,D49,$N:$N,"Non"&amp;"*",G:G,"&lt;&gt;0")),IF(N49=Suppl!$E$67,1/(COUNTIFS($D:$D,D49,$N:$N,"Exigences"&amp;"*",G:G,"&lt;&gt;0")+COUNTIFS($D:$D,D49,$N:$N,"Non"&amp;"*",G:G,"&lt;&gt;0")),0)))</f>
        <v>0</v>
      </c>
      <c r="T49" s="683"/>
      <c r="U49" s="683"/>
      <c r="V49" s="684"/>
      <c r="W49" s="363"/>
      <c r="X49" s="356">
        <f>IFERROR(IF(N49=Suppl!$E$65,0,IF(N49=Suppl!$E$66,1/2/(COUNTIFS($N:$N,"Exigences"&amp;"*")+COUNTIFS($N:$N,"Non"&amp;"*")),IF(N49=Suppl!$E$67,1/(COUNTIFS($N:$N,"Exigences"&amp;"*")+COUNTIFS($N:$N,"Non"&amp;"*")),0))),0)</f>
        <v>0</v>
      </c>
      <c r="Y49" s="30"/>
      <c r="Z49" s="30"/>
      <c r="AA49" s="30"/>
      <c r="AB49" s="30"/>
      <c r="AC49" s="30"/>
      <c r="AD49" s="30"/>
      <c r="AE49" s="30"/>
      <c r="AF49" s="30"/>
      <c r="AG49" s="30"/>
      <c r="AH49" s="30"/>
      <c r="AI49" s="112"/>
      <c r="AJ49" s="30"/>
    </row>
    <row r="50" spans="1:36" ht="30" customHeight="1" x14ac:dyDescent="0.3">
      <c r="A50" s="112"/>
      <c r="B50" s="30"/>
      <c r="C50" s="30" t="str">
        <f t="shared" si="0"/>
        <v>13</v>
      </c>
      <c r="D50" s="32">
        <f t="shared" si="4"/>
        <v>4</v>
      </c>
      <c r="E50" s="32" t="str">
        <f t="shared" si="5"/>
        <v>1344</v>
      </c>
      <c r="F50" s="191" t="s">
        <v>502</v>
      </c>
      <c r="G50" s="192" t="str">
        <f>VLOOKUP(E52,BDD!$A$2:$N$567,6,FALSE)</f>
        <v>Situation de crise</v>
      </c>
      <c r="H50" s="190"/>
      <c r="I50" s="135"/>
      <c r="J50" s="135"/>
      <c r="K50" s="135"/>
      <c r="L50" s="136"/>
      <c r="M50" s="137"/>
      <c r="N50" s="138"/>
      <c r="O50" s="630">
        <v>0</v>
      </c>
      <c r="P50" s="630"/>
      <c r="Q50" s="630"/>
      <c r="R50" s="630"/>
      <c r="S50" s="685">
        <f>SUMIFS(S:S,$D:$D,D50,$N:$N,"Exigences"&amp;"*")</f>
        <v>0</v>
      </c>
      <c r="T50" s="685"/>
      <c r="U50" s="685"/>
      <c r="V50" s="686"/>
      <c r="W50" s="365"/>
      <c r="X50" s="356">
        <f>IFERROR(IF(N50=Suppl!$E$65,0,IF(N50=Suppl!$E$66,1/2/(COUNTIFS($N:$N,"Exigences"&amp;"*")+COUNTIFS($N:$N,"Non"&amp;"*")),IF(N50=Suppl!$E$67,1/(COUNTIFS($N:$N,"Exigences"&amp;"*")+COUNTIFS($N:$N,"Non"&amp;"*")),0))),0)</f>
        <v>0</v>
      </c>
      <c r="Y50" s="30"/>
      <c r="Z50" s="30"/>
      <c r="AA50" s="30"/>
      <c r="AB50" s="30"/>
      <c r="AC50" s="30"/>
      <c r="AD50" s="30"/>
      <c r="AE50" s="30"/>
      <c r="AF50" s="30"/>
      <c r="AG50" s="30"/>
      <c r="AH50" s="30"/>
      <c r="AI50" s="112"/>
      <c r="AJ50" s="30"/>
    </row>
    <row r="51" spans="1:36" ht="30" customHeight="1" x14ac:dyDescent="0.3">
      <c r="A51" s="112"/>
      <c r="B51" s="30"/>
      <c r="C51" s="30" t="str">
        <f t="shared" si="0"/>
        <v>13</v>
      </c>
      <c r="D51" s="32">
        <f t="shared" si="4"/>
        <v>4</v>
      </c>
      <c r="E51" s="32" t="str">
        <f t="shared" si="5"/>
        <v>1341</v>
      </c>
      <c r="F51" s="211" t="s">
        <v>550</v>
      </c>
      <c r="G51" s="620" t="str">
        <f>VLOOKUP(E53,BDD!$A$2:$N$567,7,FALSE)</f>
        <v>Un plan de communication en cas de crise SI est formalisé et partagé en amont afin d’anticiper.</v>
      </c>
      <c r="H51" s="621"/>
      <c r="I51" s="621"/>
      <c r="J51" s="621"/>
      <c r="K51" s="621"/>
      <c r="L51" s="621"/>
      <c r="M51" s="621"/>
      <c r="N51" s="622"/>
      <c r="O51" s="631"/>
      <c r="P51" s="631"/>
      <c r="Q51" s="631"/>
      <c r="R51" s="631"/>
      <c r="S51" s="687"/>
      <c r="T51" s="687"/>
      <c r="U51" s="687"/>
      <c r="V51" s="688"/>
      <c r="W51" s="365"/>
      <c r="X51" s="356">
        <f>IFERROR(IF(N51=Suppl!$E$65,0,IF(N51=Suppl!$E$66,1/2/(COUNTIFS($N:$N,"Exigences"&amp;"*")+COUNTIFS($N:$N,"Non"&amp;"*")),IF(N51=Suppl!$E$67,1/(COUNTIFS($N:$N,"Exigences"&amp;"*")+COUNTIFS($N:$N,"Non"&amp;"*")),0))),0)</f>
        <v>0</v>
      </c>
      <c r="Y51" s="30"/>
      <c r="Z51" s="30"/>
      <c r="AA51" s="30"/>
      <c r="AB51" s="30"/>
      <c r="AC51" s="30"/>
      <c r="AD51" s="30"/>
      <c r="AE51" s="30"/>
      <c r="AF51" s="30"/>
      <c r="AG51" s="30"/>
      <c r="AH51" s="30"/>
      <c r="AI51" s="112"/>
      <c r="AJ51" s="30"/>
    </row>
    <row r="52" spans="1:36" ht="43.2" customHeight="1" x14ac:dyDescent="0.3">
      <c r="A52" s="112"/>
      <c r="B52" s="30"/>
      <c r="C52" s="30" t="str">
        <f t="shared" si="0"/>
        <v>13</v>
      </c>
      <c r="D52" s="32">
        <f t="shared" si="4"/>
        <v>4</v>
      </c>
      <c r="E52" s="32" t="str">
        <f t="shared" si="5"/>
        <v>1341</v>
      </c>
      <c r="F52" s="143" t="s">
        <v>27</v>
      </c>
      <c r="G52" s="144" t="str">
        <f>VLOOKUP(E52,BDD!$A$2:$N$567,MATCH(G$24,BDD!$A$1:$P$1,0),FALSE)</f>
        <v>Une procédure de communication de crise SI est intégrée dans le dispositif global de gestion de crise de l'organisation. Elle prend en compte l'urgence et l'impact potentiel de la situation de crise.</v>
      </c>
      <c r="H52" s="149" t="str">
        <f>IF(VLOOKUP($E52,BDD!$A$2:$N$567,MATCH($H$23,BDD!$A$1:$P$1,0),FALSE)=H$24,'V13_Marketing&amp;Comm.'!H$24,"")</f>
        <v>N1</v>
      </c>
      <c r="I52" s="150" t="str">
        <f>IF(VLOOKUP($E52,BDD!$A$2:$N$567,MATCH($H$23,BDD!$A$1:$P$1,0),FALSE)=I$24,'V13_Marketing&amp;Comm.'!I$24,"")</f>
        <v/>
      </c>
      <c r="J52" s="150" t="str">
        <f>IF(VLOOKUP($E52,BDD!$A$2:$N$567,MATCH($H$23,BDD!$A$1:$P$1,0),FALSE)=J$24,'V13_Marketing&amp;Comm.'!J$24,"")</f>
        <v/>
      </c>
      <c r="K52" s="150" t="str">
        <f>IF(VLOOKUP($E52,BDD!$A$2:$N$567,MATCH($H$23,BDD!$A$1:$P$1,0),FALSE)=K$24,'V13_Marketing&amp;Comm.'!K$24,"")</f>
        <v/>
      </c>
      <c r="L52" s="151" t="str">
        <f>IF(VLOOKUP($E52,BDD!$A$2:$N$567,MATCH($H$23,BDD!$A$1:$P$1,0),FALSE)=L$24,'V13_Marketing&amp;Comm.'!L$24,"")</f>
        <v/>
      </c>
      <c r="M52" s="63">
        <f t="shared" ref="M52:M56" si="9">IF(N52="Exigences partiellement respectées",1,IF(N52="Exigences respectées",2,0))</f>
        <v>0</v>
      </c>
      <c r="N52" s="144" t="str">
        <f>VLOOKUP(VLOOKUP(E52,BDD!$A$2:$P$550,15,FALSE),Suppl!$D$64:$E$68,2,FALSE)</f>
        <v>Non renseigné</v>
      </c>
      <c r="O52" s="626"/>
      <c r="P52" s="626"/>
      <c r="Q52" s="626"/>
      <c r="R52" s="626"/>
      <c r="S52" s="689">
        <f>IF(N52=Suppl!$E$65,0,IF(N52=Suppl!$E$66,1/2/(COUNTIFS($D:$D,D52,$N:$N,"Exigences"&amp;"*",G:G,"&lt;&gt;0")+COUNTIFS($D:$D,D52,$N:$N,"Non"&amp;"*",G:G,"&lt;&gt;0")),IF(N52=Suppl!$E$67,1/(COUNTIFS($D:$D,D52,$N:$N,"Exigences"&amp;"*",G:G,"&lt;&gt;0")+COUNTIFS($D:$D,D52,$N:$N,"Non"&amp;"*",G:G,"&lt;&gt;0")),0)))</f>
        <v>0</v>
      </c>
      <c r="T52" s="653"/>
      <c r="U52" s="653"/>
      <c r="V52" s="690"/>
      <c r="W52" s="363"/>
      <c r="X52" s="356">
        <f>IFERROR(IF(N52=Suppl!$E$65,0,IF(N52=Suppl!$E$66,1/2/(COUNTIFS($N:$N,"Exigences"&amp;"*")+COUNTIFS($N:$N,"Non"&amp;"*")),IF(N52=Suppl!$E$67,1/(COUNTIFS($N:$N,"Exigences"&amp;"*")+COUNTIFS($N:$N,"Non"&amp;"*")),0))),0)</f>
        <v>0</v>
      </c>
      <c r="Y52" s="30"/>
      <c r="Z52" s="30"/>
      <c r="AA52" s="30"/>
      <c r="AB52" s="30"/>
      <c r="AC52" s="30"/>
      <c r="AD52" s="30"/>
      <c r="AE52" s="30"/>
      <c r="AF52" s="30"/>
      <c r="AG52" s="30"/>
      <c r="AH52" s="30"/>
      <c r="AI52" s="112"/>
      <c r="AJ52" s="30"/>
    </row>
    <row r="53" spans="1:36" ht="55.2" x14ac:dyDescent="0.3">
      <c r="A53" s="112"/>
      <c r="B53" s="30"/>
      <c r="C53" s="30" t="str">
        <f t="shared" si="0"/>
        <v>13</v>
      </c>
      <c r="D53" s="32">
        <f t="shared" si="4"/>
        <v>4</v>
      </c>
      <c r="E53" s="32" t="str">
        <f t="shared" si="5"/>
        <v>1342</v>
      </c>
      <c r="F53" s="145" t="s">
        <v>28</v>
      </c>
      <c r="G53" s="146" t="str">
        <f>VLOOKUP(E53,BDD!$A$2:$N$567,MATCH(G$24,BDD!$A$1:$P$1,0),FALSE)</f>
        <v>Les risques majeurs susceptibles de conduire à une situation de crise font l'objet de scénarios identifiés qui détaillent les éléments de langage, les modalités de coordination et les actions de communication de crise entre les différents acteurs (SI, métiers, direction de la communication et dirigeants).</v>
      </c>
      <c r="H53" s="149" t="str">
        <f>IF(VLOOKUP($E53,BDD!$A$2:$N$567,MATCH($H$23,BDD!$A$1:$P$1,0),FALSE)=H$24,'V13_Marketing&amp;Comm.'!H$24,"")</f>
        <v/>
      </c>
      <c r="I53" s="150" t="str">
        <f>IF(VLOOKUP($E53,BDD!$A$2:$N$567,MATCH($H$23,BDD!$A$1:$P$1,0),FALSE)=I$24,'V13_Marketing&amp;Comm.'!I$24,"")</f>
        <v/>
      </c>
      <c r="J53" s="150" t="str">
        <f>IF(VLOOKUP($E53,BDD!$A$2:$N$567,MATCH($H$23,BDD!$A$1:$P$1,0),FALSE)=J$24,'V13_Marketing&amp;Comm.'!J$24,"")</f>
        <v>N3</v>
      </c>
      <c r="K53" s="150" t="str">
        <f>IF(VLOOKUP($E53,BDD!$A$2:$N$567,MATCH($H$23,BDD!$A$1:$P$1,0),FALSE)=K$24,'V13_Marketing&amp;Comm.'!K$24,"")</f>
        <v/>
      </c>
      <c r="L53" s="151" t="str">
        <f>IF(VLOOKUP($E53,BDD!$A$2:$N$567,MATCH($H$23,BDD!$A$1:$P$1,0),FALSE)=L$24,'V13_Marketing&amp;Comm.'!L$24,"")</f>
        <v/>
      </c>
      <c r="M53" s="63">
        <f t="shared" si="9"/>
        <v>0</v>
      </c>
      <c r="N53" s="146" t="str">
        <f>VLOOKUP(VLOOKUP(E53,BDD!$A$2:$P$550,15,FALSE),Suppl!$D$64:$E$68,2,FALSE)</f>
        <v>Non renseigné</v>
      </c>
      <c r="O53" s="629"/>
      <c r="P53" s="629"/>
      <c r="Q53" s="629"/>
      <c r="R53" s="629"/>
      <c r="S53" s="691">
        <f>IF(N53=Suppl!$E$65,0,IF(N53=Suppl!$E$66,1/2/(COUNTIFS($D:$D,D53,$N:$N,"Exigences"&amp;"*",G:G,"&lt;&gt;0")+COUNTIFS($D:$D,D53,$N:$N,"Non"&amp;"*",G:G,"&lt;&gt;0")),IF(N53=Suppl!$E$67,1/(COUNTIFS($D:$D,D53,$N:$N,"Exigences"&amp;"*",G:G,"&lt;&gt;0")+COUNTIFS($D:$D,D53,$N:$N,"Non"&amp;"*",G:G,"&lt;&gt;0")),0)))</f>
        <v>0</v>
      </c>
      <c r="T53" s="627"/>
      <c r="U53" s="627"/>
      <c r="V53" s="692"/>
      <c r="W53" s="363"/>
      <c r="X53" s="356">
        <f>IFERROR(IF(N53=Suppl!$E$65,0,IF(N53=Suppl!$E$66,1/2/(COUNTIFS($N:$N,"Exigences"&amp;"*")+COUNTIFS($N:$N,"Non"&amp;"*")),IF(N53=Suppl!$E$67,1/(COUNTIFS($N:$N,"Exigences"&amp;"*")+COUNTIFS($N:$N,"Non"&amp;"*")),0))),0)</f>
        <v>0</v>
      </c>
      <c r="Y53" s="30"/>
      <c r="Z53" s="30"/>
      <c r="AA53" s="30"/>
      <c r="AB53" s="30"/>
      <c r="AC53" s="30"/>
      <c r="AD53" s="30"/>
      <c r="AE53" s="30"/>
      <c r="AF53" s="30"/>
      <c r="AG53" s="30"/>
      <c r="AH53" s="30"/>
      <c r="AI53" s="112"/>
      <c r="AJ53" s="30"/>
    </row>
    <row r="54" spans="1:36" ht="30" customHeight="1" x14ac:dyDescent="0.3">
      <c r="A54" s="112"/>
      <c r="B54" s="30"/>
      <c r="C54" s="30" t="str">
        <f t="shared" si="0"/>
        <v>13</v>
      </c>
      <c r="D54" s="32">
        <f t="shared" si="4"/>
        <v>4</v>
      </c>
      <c r="E54" s="32" t="str">
        <f t="shared" si="5"/>
        <v>1343</v>
      </c>
      <c r="F54" s="143" t="s">
        <v>30</v>
      </c>
      <c r="G54" s="144" t="str">
        <f>VLOOKUP(E54,BDD!$A$2:$N$567,MATCH(G$24,BDD!$A$1:$P$1,0),FALSE)</f>
        <v>Les outils et ressources nécessaires sont mis en œuvre pour assurer la communication en temps de crise.</v>
      </c>
      <c r="H54" s="149" t="str">
        <f>IF(VLOOKUP($E54,BDD!$A$2:$N$567,MATCH($H$23,BDD!$A$1:$P$1,0),FALSE)=H$24,'V13_Marketing&amp;Comm.'!H$24,"")</f>
        <v/>
      </c>
      <c r="I54" s="150" t="str">
        <f>IF(VLOOKUP($E54,BDD!$A$2:$N$567,MATCH($H$23,BDD!$A$1:$P$1,0),FALSE)=I$24,'V13_Marketing&amp;Comm.'!I$24,"")</f>
        <v/>
      </c>
      <c r="J54" s="150" t="str">
        <f>IF(VLOOKUP($E54,BDD!$A$2:$N$567,MATCH($H$23,BDD!$A$1:$P$1,0),FALSE)=J$24,'V13_Marketing&amp;Comm.'!J$24,"")</f>
        <v>N3</v>
      </c>
      <c r="K54" s="150" t="str">
        <f>IF(VLOOKUP($E54,BDD!$A$2:$N$567,MATCH($H$23,BDD!$A$1:$P$1,0),FALSE)=K$24,'V13_Marketing&amp;Comm.'!K$24,"")</f>
        <v/>
      </c>
      <c r="L54" s="151" t="str">
        <f>IF(VLOOKUP($E54,BDD!$A$2:$N$567,MATCH($H$23,BDD!$A$1:$P$1,0),FALSE)=L$24,'V13_Marketing&amp;Comm.'!L$24,"")</f>
        <v/>
      </c>
      <c r="M54" s="63">
        <f t="shared" si="9"/>
        <v>0</v>
      </c>
      <c r="N54" s="144" t="str">
        <f>VLOOKUP(VLOOKUP(E54,BDD!$A$2:$P$550,15,FALSE),Suppl!$D$64:$E$68,2,FALSE)</f>
        <v>Non renseigné</v>
      </c>
      <c r="O54" s="629"/>
      <c r="P54" s="629"/>
      <c r="Q54" s="629"/>
      <c r="R54" s="629"/>
      <c r="S54" s="691">
        <f>IF(N54=Suppl!$E$65,0,IF(N54=Suppl!$E$66,1/2/(COUNTIFS($D:$D,D54,$N:$N,"Exigences"&amp;"*",G:G,"&lt;&gt;0")+COUNTIFS($D:$D,D54,$N:$N,"Non"&amp;"*",G:G,"&lt;&gt;0")),IF(N54=Suppl!$E$67,1/(COUNTIFS($D:$D,D54,$N:$N,"Exigences"&amp;"*",G:G,"&lt;&gt;0")+COUNTIFS($D:$D,D54,$N:$N,"Non"&amp;"*",G:G,"&lt;&gt;0")),0)))</f>
        <v>0</v>
      </c>
      <c r="T54" s="627"/>
      <c r="U54" s="627"/>
      <c r="V54" s="692"/>
      <c r="W54" s="363"/>
      <c r="X54" s="356">
        <f>IFERROR(IF(N54=Suppl!$E$65,0,IF(N54=Suppl!$E$66,1/2/(COUNTIFS($N:$N,"Exigences"&amp;"*")+COUNTIFS($N:$N,"Non"&amp;"*")),IF(N54=Suppl!$E$67,1/(COUNTIFS($N:$N,"Exigences"&amp;"*")+COUNTIFS($N:$N,"Non"&amp;"*")),0))),0)</f>
        <v>0</v>
      </c>
      <c r="Y54" s="30"/>
      <c r="Z54" s="30"/>
      <c r="AA54" s="30"/>
      <c r="AB54" s="30"/>
      <c r="AC54" s="30"/>
      <c r="AD54" s="30"/>
      <c r="AE54" s="30"/>
      <c r="AF54" s="30"/>
      <c r="AG54" s="30"/>
      <c r="AH54" s="30"/>
      <c r="AI54" s="112"/>
      <c r="AJ54" s="30"/>
    </row>
    <row r="55" spans="1:36" ht="30" customHeight="1" x14ac:dyDescent="0.3">
      <c r="A55" s="112"/>
      <c r="B55" s="30"/>
      <c r="C55" s="30" t="str">
        <f t="shared" si="0"/>
        <v>13</v>
      </c>
      <c r="D55" s="32">
        <f t="shared" si="4"/>
        <v>4</v>
      </c>
      <c r="E55" s="32" t="str">
        <f t="shared" si="5"/>
        <v>1344</v>
      </c>
      <c r="F55" s="145" t="s">
        <v>32</v>
      </c>
      <c r="G55" s="146" t="str">
        <f>VLOOKUP(E55,BDD!$A$2:$N$567,MATCH(G$24,BDD!$A$1:$P$1,0),FALSE)</f>
        <v>Le plan de communication est testé régulièrement dans le cadre d’exercices de simulation de crise.</v>
      </c>
      <c r="H55" s="149" t="str">
        <f>IF(VLOOKUP($E55,BDD!$A$2:$N$567,MATCH($H$23,BDD!$A$1:$P$1,0),FALSE)=H$24,'V13_Marketing&amp;Comm.'!H$24,"")</f>
        <v/>
      </c>
      <c r="I55" s="150" t="str">
        <f>IF(VLOOKUP($E55,BDD!$A$2:$N$567,MATCH($H$23,BDD!$A$1:$P$1,0),FALSE)=I$24,'V13_Marketing&amp;Comm.'!I$24,"")</f>
        <v/>
      </c>
      <c r="J55" s="150" t="str">
        <f>IF(VLOOKUP($E55,BDD!$A$2:$N$567,MATCH($H$23,BDD!$A$1:$P$1,0),FALSE)=J$24,'V13_Marketing&amp;Comm.'!J$24,"")</f>
        <v/>
      </c>
      <c r="K55" s="150" t="str">
        <f>IF(VLOOKUP($E55,BDD!$A$2:$N$567,MATCH($H$23,BDD!$A$1:$P$1,0),FALSE)=K$24,'V13_Marketing&amp;Comm.'!K$24,"")</f>
        <v>N4</v>
      </c>
      <c r="L55" s="151" t="str">
        <f>IF(VLOOKUP($E55,BDD!$A$2:$N$567,MATCH($H$23,BDD!$A$1:$P$1,0),FALSE)=L$24,'V13_Marketing&amp;Comm.'!L$24,"")</f>
        <v/>
      </c>
      <c r="M55" s="63">
        <f t="shared" si="9"/>
        <v>0</v>
      </c>
      <c r="N55" s="146" t="str">
        <f>VLOOKUP(VLOOKUP(E55,BDD!$A$2:$P$550,15,FALSE),Suppl!$D$64:$E$68,2,FALSE)</f>
        <v>Non renseigné</v>
      </c>
      <c r="O55" s="629"/>
      <c r="P55" s="629"/>
      <c r="Q55" s="629"/>
      <c r="R55" s="629"/>
      <c r="S55" s="691">
        <f>IF(N55=Suppl!$E$65,0,IF(N55=Suppl!$E$66,1/2/(COUNTIFS($D:$D,D55,$N:$N,"Exigences"&amp;"*",G:G,"&lt;&gt;0")+COUNTIFS($D:$D,D55,$N:$N,"Non"&amp;"*",G:G,"&lt;&gt;0")),IF(N55=Suppl!$E$67,1/(COUNTIFS($D:$D,D55,$N:$N,"Exigences"&amp;"*",G:G,"&lt;&gt;0")+COUNTIFS($D:$D,D55,$N:$N,"Non"&amp;"*",G:G,"&lt;&gt;0")),0)))</f>
        <v>0</v>
      </c>
      <c r="T55" s="627"/>
      <c r="U55" s="627"/>
      <c r="V55" s="692"/>
      <c r="W55" s="363"/>
      <c r="X55" s="356">
        <f>IFERROR(IF(N55=Suppl!$E$65,0,IF(N55=Suppl!$E$66,1/2/(COUNTIFS($N:$N,"Exigences"&amp;"*")+COUNTIFS($N:$N,"Non"&amp;"*")),IF(N55=Suppl!$E$67,1/(COUNTIFS($N:$N,"Exigences"&amp;"*")+COUNTIFS($N:$N,"Non"&amp;"*")),0))),0)</f>
        <v>0</v>
      </c>
      <c r="Y55" s="30"/>
      <c r="Z55" s="30"/>
      <c r="AA55" s="30"/>
      <c r="AB55" s="30"/>
      <c r="AC55" s="30"/>
      <c r="AD55" s="30"/>
      <c r="AE55" s="30"/>
      <c r="AF55" s="30"/>
      <c r="AG55" s="30"/>
      <c r="AH55" s="30"/>
      <c r="AI55" s="112"/>
      <c r="AJ55" s="30"/>
    </row>
    <row r="56" spans="1:36" ht="30" customHeight="1" x14ac:dyDescent="0.3">
      <c r="A56" s="112"/>
      <c r="B56" s="30"/>
      <c r="C56" s="30" t="str">
        <f t="shared" si="0"/>
        <v>13</v>
      </c>
      <c r="D56" s="32">
        <f t="shared" si="4"/>
        <v>4</v>
      </c>
      <c r="E56" s="32" t="str">
        <f t="shared" si="5"/>
        <v>1345</v>
      </c>
      <c r="F56" s="143" t="s">
        <v>33</v>
      </c>
      <c r="G56" s="144" t="str">
        <f>VLOOKUP(E56,BDD!$A$2:$N$567,MATCH(G$24,BDD!$A$1:$P$1,0),FALSE)</f>
        <v>Un retour d’expérience est systématiquement réalisé afin d’améliorer le plan et la procédure de communication de crise.</v>
      </c>
      <c r="H56" s="149" t="str">
        <f>IF(VLOOKUP($E56,BDD!$A$2:$N$567,MATCH($H$23,BDD!$A$1:$P$1,0),FALSE)=H$24,'V13_Marketing&amp;Comm.'!H$24,"")</f>
        <v/>
      </c>
      <c r="I56" s="150" t="str">
        <f>IF(VLOOKUP($E56,BDD!$A$2:$N$567,MATCH($H$23,BDD!$A$1:$P$1,0),FALSE)=I$24,'V13_Marketing&amp;Comm.'!I$24,"")</f>
        <v/>
      </c>
      <c r="J56" s="150" t="str">
        <f>IF(VLOOKUP($E56,BDD!$A$2:$N$567,MATCH($H$23,BDD!$A$1:$P$1,0),FALSE)=J$24,'V13_Marketing&amp;Comm.'!J$24,"")</f>
        <v/>
      </c>
      <c r="K56" s="150" t="str">
        <f>IF(VLOOKUP($E56,BDD!$A$2:$N$567,MATCH($H$23,BDD!$A$1:$P$1,0),FALSE)=K$24,'V13_Marketing&amp;Comm.'!K$24,"")</f>
        <v/>
      </c>
      <c r="L56" s="151" t="str">
        <f>IF(VLOOKUP($E56,BDD!$A$2:$N$567,MATCH($H$23,BDD!$A$1:$P$1,0),FALSE)=L$24,'V13_Marketing&amp;Comm.'!L$24,"")</f>
        <v>N5</v>
      </c>
      <c r="M56" s="63">
        <f t="shared" si="9"/>
        <v>0</v>
      </c>
      <c r="N56" s="144" t="str">
        <f>VLOOKUP(VLOOKUP(E56,BDD!$A$2:$P$550,15,FALSE),Suppl!$D$64:$E$68,2,FALSE)</f>
        <v>Non renseigné</v>
      </c>
      <c r="O56" s="647"/>
      <c r="P56" s="636"/>
      <c r="Q56" s="636"/>
      <c r="R56" s="636"/>
      <c r="S56" s="693">
        <f>IF(N56=Suppl!$E$65,0,IF(N56=Suppl!$E$66,1/2/(COUNTIFS($D:$D,D56,$N:$N,"Exigences"&amp;"*",G:G,"&lt;&gt;0")+COUNTIFS($D:$D,D56,$N:$N,"Non"&amp;"*",G:G,"&lt;&gt;0")),IF(N56=Suppl!$E$67,1/(COUNTIFS($D:$D,D56,$N:$N,"Exigences"&amp;"*",G:G,"&lt;&gt;0")+COUNTIFS($D:$D,D56,$N:$N,"Non"&amp;"*",G:G,"&lt;&gt;0")),0)))</f>
        <v>0</v>
      </c>
      <c r="T56" s="624"/>
      <c r="U56" s="624"/>
      <c r="V56" s="694"/>
      <c r="W56" s="363"/>
      <c r="X56" s="356">
        <f>IFERROR(IF(N56=Suppl!$E$65,0,IF(N56=Suppl!$E$66,1/2/(COUNTIFS($N:$N,"Exigences"&amp;"*")+COUNTIFS($N:$N,"Non"&amp;"*")),IF(N56=Suppl!$E$67,1/(COUNTIFS($N:$N,"Exigences"&amp;"*")+COUNTIFS($N:$N,"Non"&amp;"*")),0))),0)</f>
        <v>0</v>
      </c>
      <c r="Y56" s="30"/>
      <c r="Z56" s="30"/>
      <c r="AA56" s="30"/>
      <c r="AB56" s="30"/>
      <c r="AC56" s="30"/>
      <c r="AD56" s="30"/>
      <c r="AE56" s="30"/>
      <c r="AF56" s="30"/>
      <c r="AG56" s="30"/>
      <c r="AH56" s="30"/>
      <c r="AI56" s="112"/>
      <c r="AJ56" s="30"/>
    </row>
    <row r="57" spans="1:36" ht="30" customHeight="1" x14ac:dyDescent="0.3">
      <c r="A57" s="112"/>
      <c r="B57" s="30"/>
      <c r="C57" s="30"/>
      <c r="D57" s="32"/>
      <c r="E57" s="32"/>
      <c r="F57" s="244"/>
      <c r="G57" s="241"/>
      <c r="H57" s="32"/>
      <c r="I57" s="32"/>
      <c r="J57" s="32"/>
      <c r="K57" s="32"/>
      <c r="L57" s="32"/>
      <c r="M57" s="32"/>
      <c r="N57" s="241"/>
      <c r="O57" s="227"/>
      <c r="P57" s="227"/>
      <c r="Q57" s="227"/>
      <c r="R57" s="227"/>
      <c r="S57" s="228"/>
      <c r="T57" s="228"/>
      <c r="U57" s="228"/>
      <c r="V57" s="228"/>
      <c r="W57" s="228"/>
      <c r="X57" s="30"/>
      <c r="Y57" s="30"/>
      <c r="Z57" s="30"/>
      <c r="AA57" s="30"/>
      <c r="AB57" s="30"/>
      <c r="AC57" s="30"/>
      <c r="AD57" s="30"/>
      <c r="AE57" s="30"/>
      <c r="AF57" s="30"/>
      <c r="AG57" s="30"/>
      <c r="AH57" s="30"/>
      <c r="AI57" s="112"/>
      <c r="AJ57" s="30"/>
    </row>
    <row r="58" spans="1:36" ht="30" customHeight="1" x14ac:dyDescent="0.3">
      <c r="A58" s="112" t="s">
        <v>164</v>
      </c>
      <c r="B58" s="112"/>
      <c r="C58" s="112"/>
      <c r="D58" s="112"/>
      <c r="E58" s="112"/>
      <c r="F58" s="112"/>
      <c r="G58" s="118"/>
      <c r="H58" s="118"/>
      <c r="I58" s="118"/>
      <c r="J58" s="118"/>
      <c r="K58" s="118"/>
      <c r="L58" s="118"/>
      <c r="M58" s="118"/>
      <c r="N58" s="112"/>
      <c r="O58" s="112"/>
      <c r="P58" s="112"/>
      <c r="Q58" s="112"/>
      <c r="R58" s="112"/>
      <c r="S58" s="112"/>
      <c r="T58" s="112"/>
      <c r="U58" s="112"/>
      <c r="V58" s="112"/>
      <c r="W58" s="112"/>
      <c r="X58" s="121"/>
      <c r="Y58" s="112"/>
      <c r="Z58" s="112"/>
      <c r="AA58" s="112"/>
      <c r="AB58" s="112"/>
      <c r="AC58" s="112"/>
      <c r="AD58" s="112"/>
      <c r="AE58" s="112"/>
      <c r="AF58" s="112"/>
      <c r="AG58" s="112"/>
      <c r="AH58" s="112"/>
      <c r="AI58" s="112" t="s">
        <v>164</v>
      </c>
      <c r="AJ58" s="30"/>
    </row>
  </sheetData>
  <sheetProtection algorithmName="SHA-512" hashValue="WeawYc/Zyb0rsC0NGCJ6XaF4ou++p5k4z6YLOd4R/bQeGiwbEpWcxkbXwW/ljbRb+ZUjZo5dGKpNkIMrM6snqA==" saltValue="czioQVd8POML9F1ZANMwTg==" spinCount="100000" sheet="1" scenarios="1"/>
  <protectedRanges>
    <protectedRange algorithmName="SHA-512" hashValue="bWuP21uVppJxKgSazPJCm+Ttq+O0a6lChJq2F29w4Iwck+6N2Ts99bPOVThaOZZZ0E7PrFGm4M/BdLgQY4I+3w==" saltValue="xYs6DDIAuGzkGzn5BOIL8g==" spinCount="100000" sqref="Z14:AI14 O14:W14 A14:M14 A12:AI13 Z8:AI11 A8:W11 A1:AI7 A15:AI58" name="Plage3"/>
    <protectedRange algorithmName="SHA-512" hashValue="ovKORbp8VisJou+piSgFzTrSreLgS7IlmVwKbGHTROFHm7MY/Vp4PR9gLc4QgnZhS9DlyLsOu0XuFGM/3H2Vkw==" saltValue="aAIEI6H5DdJy0/e8k9R5gA==" spinCount="100000" sqref="O20:R20" name="Plage1_2"/>
    <protectedRange algorithmName="SHA-512" hashValue="ovKORbp8VisJou+piSgFzTrSreLgS7IlmVwKbGHTROFHm7MY/Vp4PR9gLc4QgnZhS9DlyLsOu0XuFGM/3H2Vkw==" saltValue="aAIEI6H5DdJy0/e8k9R5gA==" spinCount="100000" sqref="AB4:AC4" name="Plage1"/>
  </protectedRanges>
  <mergeCells count="66">
    <mergeCell ref="S56:V56"/>
    <mergeCell ref="S50:V51"/>
    <mergeCell ref="S52:V52"/>
    <mergeCell ref="S53:V53"/>
    <mergeCell ref="S54:V54"/>
    <mergeCell ref="S55:V55"/>
    <mergeCell ref="AE7:AE10"/>
    <mergeCell ref="S29:V29"/>
    <mergeCell ref="S30:V30"/>
    <mergeCell ref="S31:V31"/>
    <mergeCell ref="S32:V32"/>
    <mergeCell ref="S25:V26"/>
    <mergeCell ref="S27:V27"/>
    <mergeCell ref="S28:V28"/>
    <mergeCell ref="O20:R20"/>
    <mergeCell ref="O21:R21"/>
    <mergeCell ref="O22:R22"/>
    <mergeCell ref="O24:R24"/>
    <mergeCell ref="S24:V24"/>
    <mergeCell ref="S38:V38"/>
    <mergeCell ref="S39:V39"/>
    <mergeCell ref="O40:R41"/>
    <mergeCell ref="O42:R42"/>
    <mergeCell ref="O33:R34"/>
    <mergeCell ref="O35:R35"/>
    <mergeCell ref="O36:R36"/>
    <mergeCell ref="O37:R37"/>
    <mergeCell ref="O38:R38"/>
    <mergeCell ref="S33:V34"/>
    <mergeCell ref="S35:V35"/>
    <mergeCell ref="S36:V36"/>
    <mergeCell ref="S37:V37"/>
    <mergeCell ref="S49:V49"/>
    <mergeCell ref="O43:R43"/>
    <mergeCell ref="S40:V41"/>
    <mergeCell ref="S42:V42"/>
    <mergeCell ref="S43:V43"/>
    <mergeCell ref="O48:R48"/>
    <mergeCell ref="S44:V44"/>
    <mergeCell ref="S45:V45"/>
    <mergeCell ref="S46:V46"/>
    <mergeCell ref="S47:V47"/>
    <mergeCell ref="S48:V48"/>
    <mergeCell ref="O55:R55"/>
    <mergeCell ref="O56:R56"/>
    <mergeCell ref="O49:R49"/>
    <mergeCell ref="O52:R52"/>
    <mergeCell ref="O53:R53"/>
    <mergeCell ref="O54:R54"/>
    <mergeCell ref="O50:R51"/>
    <mergeCell ref="G26:N26"/>
    <mergeCell ref="G34:N34"/>
    <mergeCell ref="G41:N41"/>
    <mergeCell ref="G51:N51"/>
    <mergeCell ref="O47:R47"/>
    <mergeCell ref="O44:R44"/>
    <mergeCell ref="O45:R45"/>
    <mergeCell ref="O46:R46"/>
    <mergeCell ref="O39:R39"/>
    <mergeCell ref="O32:R32"/>
    <mergeCell ref="O29:R29"/>
    <mergeCell ref="O30:R30"/>
    <mergeCell ref="O31:R31"/>
    <mergeCell ref="O25:R26"/>
    <mergeCell ref="O27:R27"/>
    <mergeCell ref="O28:R28"/>
  </mergeCells>
  <phoneticPr fontId="57" type="noConversion"/>
  <conditionalFormatting sqref="G5:G11 G22 G13:G18">
    <cfRule type="expression" dxfId="15" priority="12">
      <formula>$G5&lt;&gt;""</formula>
    </cfRule>
  </conditionalFormatting>
  <conditionalFormatting sqref="H35:L40 H42:L50 H52:L57 H27:L33">
    <cfRule type="expression" dxfId="14" priority="13">
      <formula>AND($N27="Non évalué",H27&lt;&gt;"")</formula>
    </cfRule>
    <cfRule type="expression" dxfId="13" priority="14">
      <formula>AND($N27="Exigences non respectées",H27&lt;&gt;"")</formula>
    </cfRule>
    <cfRule type="expression" dxfId="12" priority="15">
      <formula>AND($N27="Exigences partiellement respectées",H27&lt;&gt;"")</formula>
    </cfRule>
    <cfRule type="expression" dxfId="11" priority="16">
      <formula>AND($N27="Exigences respectées",H27&lt;&gt;"")</formula>
    </cfRule>
  </conditionalFormatting>
  <conditionalFormatting sqref="O12:T13 O8:U11">
    <cfRule type="cellIs" dxfId="10" priority="9" operator="equal">
      <formula>3</formula>
    </cfRule>
    <cfRule type="cellIs" dxfId="9" priority="10" operator="equal">
      <formula>2</formula>
    </cfRule>
    <cfRule type="cellIs" dxfId="8" priority="11" operator="equal">
      <formula>1</formula>
    </cfRule>
  </conditionalFormatting>
  <conditionalFormatting sqref="G20:G21">
    <cfRule type="expression" dxfId="7" priority="8">
      <formula>$G20&lt;&gt;""</formula>
    </cfRule>
  </conditionalFormatting>
  <conditionalFormatting sqref="V8:V11">
    <cfRule type="cellIs" dxfId="6" priority="5" operator="equal">
      <formula>3</formula>
    </cfRule>
    <cfRule type="cellIs" dxfId="5" priority="6" operator="equal">
      <formula>2</formula>
    </cfRule>
    <cfRule type="cellIs" dxfId="4" priority="7" operator="equal">
      <formula>1</formula>
    </cfRule>
  </conditionalFormatting>
  <conditionalFormatting sqref="O14:V14">
    <cfRule type="cellIs" dxfId="3" priority="2" operator="equal">
      <formula>3</formula>
    </cfRule>
    <cfRule type="cellIs" dxfId="2" priority="3" operator="equal">
      <formula>2</formula>
    </cfRule>
    <cfRule type="cellIs" dxfId="1" priority="4" operator="equal">
      <formula>1</formula>
    </cfRule>
  </conditionalFormatting>
  <conditionalFormatting sqref="O20:R20">
    <cfRule type="cellIs" dxfId="0" priority="1" operator="notEqual">
      <formula>0</formula>
    </cfRule>
  </conditionalFormatting>
  <pageMargins left="0.7" right="0.7" top="0.75" bottom="0.75" header="0.3" footer="0.3"/>
  <ignoredErrors>
    <ignoredError sqref="E18:E19" numberStoredAsText="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27944D1-5608-4AF3-938D-119037CBEB2B}">
          <x14:formula1>
            <xm:f>Suppl!$E$65:$E$69</xm:f>
          </x14:formula1>
          <xm:sqref>X14 X8:X11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05FD6-C208-40F7-AFB0-325C2837A103}">
  <sheetPr codeName="Feuil36">
    <tabColor rgb="FF69625F"/>
  </sheetPr>
  <dimension ref="A1:P118"/>
  <sheetViews>
    <sheetView showGridLines="0" showRowColHeaders="0" topLeftCell="F1" zoomScale="66" zoomScaleNormal="111" workbookViewId="0">
      <selection activeCell="T47" sqref="T47"/>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109"/>
      <c r="B1" s="231" t="s">
        <v>569</v>
      </c>
      <c r="C1" s="110"/>
      <c r="D1" s="110"/>
      <c r="E1" s="110"/>
      <c r="F1" s="110"/>
      <c r="G1" s="109"/>
      <c r="H1" s="111"/>
      <c r="I1" s="111"/>
      <c r="J1" s="232" t="str">
        <f>VLOOKUP($E$12,BDD!$A$2:$N$567,3,FALSE)</f>
        <v>Budget &amp; performance</v>
      </c>
      <c r="K1" s="111"/>
      <c r="L1" s="109"/>
      <c r="M1" s="109"/>
      <c r="N1" s="109"/>
      <c r="O1" s="109"/>
      <c r="P1" s="109"/>
    </row>
    <row r="2" spans="1:16" ht="45" customHeight="1" x14ac:dyDescent="0.3">
      <c r="A2" s="109"/>
      <c r="B2" s="109"/>
      <c r="C2" s="109"/>
      <c r="D2" s="109"/>
      <c r="E2" s="109"/>
      <c r="F2" s="109"/>
      <c r="G2" s="109"/>
      <c r="H2" s="109"/>
      <c r="I2" s="109"/>
      <c r="J2" s="114" t="str">
        <f>VLOOKUP($E$12,BDD!$A$2:$N$567,4,FALSE)</f>
        <v>Piloter la performance économique, opérationnelle et écologique du SI.</v>
      </c>
      <c r="K2" s="109"/>
      <c r="L2" s="109"/>
      <c r="M2" s="109"/>
      <c r="N2" s="109"/>
      <c r="O2" s="109"/>
      <c r="P2" s="109"/>
    </row>
    <row r="3" spans="1:16" ht="18" x14ac:dyDescent="0.35">
      <c r="A3" s="109"/>
      <c r="B3" s="68"/>
      <c r="C3" s="68"/>
      <c r="D3" s="68"/>
      <c r="E3" s="68"/>
      <c r="F3" s="68"/>
      <c r="G3" s="69" t="str">
        <f>IF(Suppl!B64=2,"Le vecteur n'est pas utilisé","")</f>
        <v/>
      </c>
      <c r="H3" s="69"/>
      <c r="I3" s="69"/>
      <c r="J3" s="69"/>
      <c r="K3" s="69"/>
      <c r="L3" s="70"/>
      <c r="M3" s="68"/>
      <c r="N3" s="68"/>
      <c r="O3" s="68"/>
      <c r="P3" s="109"/>
    </row>
    <row r="4" spans="1:16" x14ac:dyDescent="0.3">
      <c r="A4" s="109"/>
      <c r="B4" s="68"/>
      <c r="C4" s="68"/>
      <c r="D4" s="68"/>
      <c r="E4" s="68"/>
      <c r="F4" s="68"/>
      <c r="G4" s="68"/>
      <c r="H4" s="68"/>
      <c r="I4" s="68"/>
      <c r="J4" s="68"/>
      <c r="K4" s="68"/>
      <c r="L4" s="68"/>
      <c r="M4" s="68"/>
      <c r="N4" s="68"/>
      <c r="O4" s="68"/>
      <c r="P4" s="109"/>
    </row>
    <row r="5" spans="1:16" ht="25.8" x14ac:dyDescent="0.5">
      <c r="A5" s="229"/>
      <c r="B5" s="74"/>
      <c r="C5" s="68" t="str">
        <f>IF(LEFT(RIGHT($B$1,2),1)=" ",RIGHT($B$1,1),RIGHT($B$1,2))</f>
        <v>12</v>
      </c>
      <c r="D5" s="68">
        <f>IF(LEFT(F5,14)="Bonne pratique",D4+1,D4)</f>
        <v>1</v>
      </c>
      <c r="E5" s="71"/>
      <c r="F5" s="208" t="s">
        <v>499</v>
      </c>
      <c r="G5" s="75"/>
      <c r="H5" s="205"/>
      <c r="I5" s="73"/>
      <c r="J5" s="73" t="str">
        <f>VLOOKUP(E12,BDD!$A$2:$N$567,6,FALSE)</f>
        <v>Objectifs de performance</v>
      </c>
      <c r="K5" s="72"/>
      <c r="L5" s="75"/>
      <c r="M5" s="75"/>
      <c r="N5" s="75"/>
      <c r="O5" s="74"/>
      <c r="P5" s="229"/>
    </row>
    <row r="6" spans="1:16" x14ac:dyDescent="0.3">
      <c r="A6" s="109"/>
      <c r="B6" s="68"/>
      <c r="C6" s="68" t="str">
        <f t="shared" ref="C6:C69" si="0">IF(LEFT(RIGHT($B$1,2),1)=" ",RIGHT($B$1,1),RIGHT($B$1,2))</f>
        <v>12</v>
      </c>
      <c r="D6" s="68">
        <f>IF(LEFT(F6,14)="Bonne pratique",D5+1,D5)</f>
        <v>1</v>
      </c>
      <c r="E6" s="68"/>
      <c r="F6" s="68"/>
      <c r="G6" s="68"/>
      <c r="H6" s="68"/>
      <c r="I6" s="68"/>
      <c r="J6" s="68"/>
      <c r="K6" s="68"/>
      <c r="L6" s="68"/>
      <c r="M6" s="68"/>
      <c r="N6" s="68"/>
      <c r="O6" s="68"/>
      <c r="P6" s="109"/>
    </row>
    <row r="7" spans="1:16" ht="23.4" customHeight="1" x14ac:dyDescent="0.35">
      <c r="A7" s="230"/>
      <c r="B7" s="76"/>
      <c r="C7" s="68" t="str">
        <f t="shared" si="0"/>
        <v>12</v>
      </c>
      <c r="D7" s="68">
        <f t="shared" ref="D7:D67" si="1">IF(LEFT(F7,14)="Bonne pratique",D6+1,D6)</f>
        <v>1</v>
      </c>
      <c r="E7" s="76"/>
      <c r="F7" s="76"/>
      <c r="G7" s="76"/>
      <c r="H7" s="76"/>
      <c r="I7" s="77"/>
      <c r="J7" s="207" t="str">
        <f>IFERROR(_xlfn.TEXTBEFORE(VLOOKUP(E12,BDD!$A$2:$N$567,7,FALSE)," ",26),VLOOKUP(E12,BDD!$A$2:$N$567,7,FALSE))</f>
        <v>La DSI a défini ses objectifs prioritaires en mettant en évidence leur contribution à ceux de l'entreprise et en les structurant, par exemple selon les volets</v>
      </c>
      <c r="K7" s="77"/>
      <c r="L7" s="76"/>
      <c r="M7" s="76"/>
      <c r="N7" s="76"/>
      <c r="O7" s="76"/>
      <c r="P7" s="230"/>
    </row>
    <row r="8" spans="1:16" ht="18" x14ac:dyDescent="0.35">
      <c r="A8" s="109"/>
      <c r="B8" s="68"/>
      <c r="C8" s="68" t="str">
        <f t="shared" si="0"/>
        <v>12</v>
      </c>
      <c r="D8" s="68">
        <f t="shared" si="1"/>
        <v>1</v>
      </c>
      <c r="E8" s="68"/>
      <c r="F8" s="68"/>
      <c r="G8" s="68"/>
      <c r="H8" s="68"/>
      <c r="I8" s="68"/>
      <c r="J8" s="207" t="str">
        <f>IFERROR(_xlfn.TEXTAFTER(VLOOKUP(E12,BDD!$A$2:$N$567,7,FALSE)," ",26),"")</f>
        <v>de l'IT SCORECARD définis par l'ISACA France.</v>
      </c>
      <c r="K8" s="68"/>
      <c r="L8" s="68"/>
      <c r="M8" s="68"/>
      <c r="N8" s="68"/>
      <c r="O8" s="68"/>
      <c r="P8" s="109"/>
    </row>
    <row r="9" spans="1:16" x14ac:dyDescent="0.3">
      <c r="A9" s="109"/>
      <c r="B9" s="68"/>
      <c r="C9" s="68" t="str">
        <f t="shared" si="0"/>
        <v>12</v>
      </c>
      <c r="D9" s="68">
        <f t="shared" si="1"/>
        <v>1</v>
      </c>
      <c r="E9" s="68"/>
      <c r="F9" s="68"/>
      <c r="G9" s="78"/>
      <c r="H9" s="78"/>
      <c r="I9" s="78"/>
      <c r="J9" s="78"/>
      <c r="K9" s="78"/>
      <c r="L9" s="78"/>
      <c r="M9" s="618" t="s">
        <v>92</v>
      </c>
      <c r="N9" s="618"/>
      <c r="O9" s="68"/>
      <c r="P9" s="109"/>
    </row>
    <row r="10" spans="1:16" ht="33" x14ac:dyDescent="0.3">
      <c r="A10" s="109"/>
      <c r="B10" s="68"/>
      <c r="C10" s="68" t="str">
        <f t="shared" si="0"/>
        <v>12</v>
      </c>
      <c r="D10" s="68">
        <f t="shared" si="1"/>
        <v>1</v>
      </c>
      <c r="E10" s="68"/>
      <c r="F10" s="79"/>
      <c r="G10" s="80" t="s">
        <v>561</v>
      </c>
      <c r="H10" s="80" t="s">
        <v>82</v>
      </c>
      <c r="I10" s="126" t="s">
        <v>21</v>
      </c>
      <c r="J10" s="80" t="s">
        <v>84</v>
      </c>
      <c r="K10" s="80" t="s">
        <v>549</v>
      </c>
      <c r="L10" s="78"/>
      <c r="M10" s="81" t="s">
        <v>86</v>
      </c>
      <c r="N10" s="82" t="s">
        <v>87</v>
      </c>
      <c r="O10" s="68"/>
      <c r="P10" s="109"/>
    </row>
    <row r="11" spans="1:16" x14ac:dyDescent="0.3">
      <c r="A11" s="109"/>
      <c r="B11" s="68"/>
      <c r="C11" s="68" t="str">
        <f t="shared" si="0"/>
        <v>12</v>
      </c>
      <c r="D11" s="68">
        <f t="shared" si="1"/>
        <v>1</v>
      </c>
      <c r="E11" s="68"/>
      <c r="F11" s="68"/>
      <c r="G11" s="83"/>
      <c r="H11" s="83"/>
      <c r="I11" s="83"/>
      <c r="J11" s="68"/>
      <c r="K11" s="83"/>
      <c r="L11" s="68"/>
      <c r="M11" s="68"/>
      <c r="N11" s="68"/>
      <c r="O11" s="68"/>
      <c r="P11" s="109"/>
    </row>
    <row r="12" spans="1:16" ht="130.05000000000001" customHeight="1" x14ac:dyDescent="0.3">
      <c r="A12" s="109"/>
      <c r="B12" s="68"/>
      <c r="C12" s="68" t="str">
        <f t="shared" si="0"/>
        <v>12</v>
      </c>
      <c r="D12" s="68">
        <f t="shared" si="1"/>
        <v>1</v>
      </c>
      <c r="E12" s="84" t="str">
        <f>C12&amp;D12&amp;RIGHT(F12,1)</f>
        <v>1211</v>
      </c>
      <c r="F12" s="66" t="s">
        <v>27</v>
      </c>
      <c r="G12" s="67" t="str">
        <f>IFERROR(IF(VLOOKUP($E12,BDD!$A$1:$S$567,MATCH(G$10,BDD!$A$1:$P$1,0),FALSE)=0,"",VLOOKUP($E12,BDD!$A$1:$S$567,MATCH(G$10,BDD!$A$1:$P$1,0),FALSE)),"")</f>
        <v>Les objectifs de la DSI sont définis conjointement avec les métiers, notamment en ce qui concerne la performance des processus informatiques (build, run, évolutions).</v>
      </c>
      <c r="H12" s="85" t="str">
        <f>IF(VLOOKUP(E12,BDD!$A$1:$S$567,15,FALSE)=0,"Critère non évalué","")</f>
        <v>Critère non évalué</v>
      </c>
      <c r="I12" s="66" t="str">
        <f>IFERROR(IF(VLOOKUP($E12,BDD!$A$1:$S$567,MATCH(I$10,BDD!$A$1:$P$1,0),FALSE)=0,"",VLOOKUP($E12,BDD!$A$1:$S$567,MATCH(I$10,BDD!$A$1:$P$1,0),FALSE)),"")</f>
        <v>N1</v>
      </c>
      <c r="J12" s="86"/>
      <c r="K12" s="67" t="str">
        <f>IFERROR(IF(VLOOKUP($E12,BDD!$A$1:$S$567,MATCH(K$10,BDD!$A$1:$P$1,0),FALSE)=0,"",VLOOKUP($E12,BDD!$A$1:$S$567,MATCH(K$10,BDD!$A$1:$P$1,0),FALSE)),"")</f>
        <v/>
      </c>
      <c r="L12" s="68"/>
      <c r="M12" s="87"/>
      <c r="N12" s="87"/>
      <c r="O12" s="68"/>
      <c r="P12" s="109"/>
    </row>
    <row r="13" spans="1:16" ht="130.05000000000001" customHeight="1" x14ac:dyDescent="0.3">
      <c r="A13" s="109"/>
      <c r="B13" s="68"/>
      <c r="C13" s="68" t="str">
        <f t="shared" si="0"/>
        <v>12</v>
      </c>
      <c r="D13" s="68">
        <f t="shared" si="1"/>
        <v>1</v>
      </c>
      <c r="E13" s="84" t="str">
        <f t="shared" ref="E13:E82" si="2">C13&amp;D13&amp;RIGHT(F13,1)</f>
        <v>1212</v>
      </c>
      <c r="F13" s="94" t="s">
        <v>28</v>
      </c>
      <c r="G13" s="65" t="str">
        <f>IFERROR(IF(VLOOKUP($E13,BDD!$A$1:$S$567,MATCH(G$10,BDD!$A$1:$P$1,0),FALSE)=0,"",VLOOKUP($E13,BDD!$A$1:$S$567,MATCH(G$10,BDD!$A$1:$P$1,0),FALSE)),"")</f>
        <v>Les objectifs de la DSI sont définis conjointement avec les clients, notamment en ce qui concerne la maîtrise des coûts des services informatiques fournis.</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c>
      <c r="L13" s="68"/>
      <c r="M13" s="90"/>
      <c r="N13" s="90"/>
      <c r="O13" s="68"/>
      <c r="P13" s="109"/>
    </row>
    <row r="14" spans="1:16" ht="130.05000000000001" customHeight="1" x14ac:dyDescent="0.3">
      <c r="A14" s="109"/>
      <c r="B14" s="68"/>
      <c r="C14" s="68" t="str">
        <f t="shared" si="0"/>
        <v>12</v>
      </c>
      <c r="D14" s="68">
        <f t="shared" si="1"/>
        <v>1</v>
      </c>
      <c r="E14" s="84" t="str">
        <f t="shared" si="2"/>
        <v>1213</v>
      </c>
      <c r="F14" s="66" t="s">
        <v>30</v>
      </c>
      <c r="G14" s="67" t="str">
        <f>IFERROR(IF(VLOOKUP($E14,BDD!$A$1:$S$567,MATCH(G$10,BDD!$A$1:$P$1,0),FALSE)=0,"",VLOOKUP($E14,BDD!$A$1:$S$567,MATCH(G$10,BDD!$A$1:$P$1,0),FALSE)),"")</f>
        <v>Les objectifs de la DSI sont définis conjointement avec les clients, notamment en ce qui concerne la gestion des compétences informatiques et la préparation du futur.</v>
      </c>
      <c r="H14" s="85" t="str">
        <f>IF(VLOOKUP(E14,BDD!$A$1:$S$567,15,FALSE)=0,"Critère non évalué","")</f>
        <v>Critère non évalué</v>
      </c>
      <c r="I14" s="66" t="str">
        <f>IFERROR(IF(VLOOKUP($E14,BDD!$A$1:$S$567,MATCH(I$10,BDD!$A$1:$P$1,0),FALSE)=0,"",VLOOKUP($E14,BDD!$A$1:$S$567,MATCH(I$10,BDD!$A$1:$P$1,0),FALSE)),"")</f>
        <v>N3</v>
      </c>
      <c r="J14" s="86"/>
      <c r="K14" s="67" t="str">
        <f>IFERROR(IF(VLOOKUP($E14,BDD!$A$1:$S$567,MATCH(K$10,BDD!$A$1:$P$1,0),FALSE)=0,"",VLOOKUP($E14,BDD!$A$1:$S$567,MATCH(K$10,BDD!$A$1:$P$1,0),FALSE)),"")</f>
        <v/>
      </c>
      <c r="L14" s="68"/>
      <c r="M14" s="87"/>
      <c r="N14" s="87"/>
      <c r="O14" s="68"/>
      <c r="P14" s="109"/>
    </row>
    <row r="15" spans="1:16" ht="130.05000000000001" customHeight="1" x14ac:dyDescent="0.3">
      <c r="A15" s="109"/>
      <c r="B15" s="68"/>
      <c r="C15" s="68" t="str">
        <f t="shared" si="0"/>
        <v>12</v>
      </c>
      <c r="D15" s="68">
        <f t="shared" si="1"/>
        <v>1</v>
      </c>
      <c r="E15" s="84" t="str">
        <f t="shared" si="2"/>
        <v>1214</v>
      </c>
      <c r="F15" s="64" t="s">
        <v>32</v>
      </c>
      <c r="G15" s="65" t="str">
        <f>IFERROR(IF(VLOOKUP($E15,BDD!$A$1:$S$567,MATCH(G$10,BDD!$A$1:$P$1,0),FALSE)=0,"",VLOOKUP($E15,BDD!$A$1:$S$567,MATCH(G$10,BDD!$A$1:$P$1,0),FALSE)),"")</f>
        <v>Les objectifs de la DSI sont définis conjointement avec les clients, notamment en ce qui concerne l’identification et la gestion des risques liés aux systèmes d’information.</v>
      </c>
      <c r="H15" s="88" t="str">
        <f>IF(VLOOKUP(E15,BDD!$A$1:$S$567,15,FALSE)=0,"Critère non évalué","")</f>
        <v>Critère non évalué</v>
      </c>
      <c r="I15" s="64" t="str">
        <f>IFERROR(IF(VLOOKUP($E15,BDD!$A$1:$S$567,MATCH(I$10,BDD!$A$1:$P$1,0),FALSE)=0,"",VLOOKUP($E15,BDD!$A$1:$S$567,MATCH(I$10,BDD!$A$1:$P$1,0),FALSE)),"")</f>
        <v>N3</v>
      </c>
      <c r="J15" s="91"/>
      <c r="K15" s="65" t="str">
        <f>IFERROR(IF(VLOOKUP($E15,BDD!$A$1:$S$567,MATCH(K$10,BDD!$A$1:$P$1,0),FALSE)=0,"",VLOOKUP($E15,BDD!$A$1:$S$567,MATCH(K$10,BDD!$A$1:$P$1,0),FALSE)),"")</f>
        <v/>
      </c>
      <c r="L15" s="68"/>
      <c r="M15" s="90"/>
      <c r="N15" s="90"/>
      <c r="O15" s="68"/>
      <c r="P15" s="109"/>
    </row>
    <row r="16" spans="1:16" ht="130.05000000000001" customHeight="1" x14ac:dyDescent="0.3">
      <c r="A16" s="109"/>
      <c r="B16" s="68"/>
      <c r="C16" s="68" t="str">
        <f t="shared" si="0"/>
        <v>12</v>
      </c>
      <c r="D16" s="68">
        <f t="shared" si="1"/>
        <v>1</v>
      </c>
      <c r="E16" s="84" t="str">
        <f t="shared" si="2"/>
        <v>1215</v>
      </c>
      <c r="F16" s="66" t="s">
        <v>33</v>
      </c>
      <c r="G16" s="67" t="str">
        <f>IFERROR(IF(VLOOKUP($E16,BDD!$A$1:$S$567,MATCH(G$10,BDD!$A$1:$P$1,0),FALSE)=0,"",VLOOKUP($E16,BDD!$A$1:$S$567,MATCH(G$10,BDD!$A$1:$P$1,0),FALSE)),"")</f>
        <v>Les objectifs de la DSI sont définis conjointement avec les clients, notamment en ce qui concerne les enjeux de conformité et de responsabilité sociétale et environnementale (RSE).</v>
      </c>
      <c r="H16" s="85" t="str">
        <f>IF(VLOOKUP(E16,BDD!$A$1:$S$567,15,FALSE)=0,"Critère non évalué","")</f>
        <v>Critère non évalué</v>
      </c>
      <c r="I16" s="66" t="str">
        <f>IFERROR(IF(VLOOKUP($E16,BDD!$A$1:$S$567,MATCH(I$10,BDD!$A$1:$P$1,0),FALSE)=0,"",VLOOKUP($E16,BDD!$A$1:$S$567,MATCH(I$10,BDD!$A$1:$P$1,0),FALSE)),"")</f>
        <v>N4</v>
      </c>
      <c r="J16" s="86"/>
      <c r="K16" s="67" t="str">
        <f>IFERROR(IF(VLOOKUP($E16,BDD!$A$1:$S$567,MATCH(K$10,BDD!$A$1:$P$1,0),FALSE)=0,"",VLOOKUP($E16,BDD!$A$1:$S$567,MATCH(K$10,BDD!$A$1:$P$1,0),FALSE)),"")</f>
        <v/>
      </c>
      <c r="L16" s="68"/>
      <c r="M16" s="82"/>
      <c r="N16" s="82"/>
      <c r="O16" s="68"/>
      <c r="P16" s="109"/>
    </row>
    <row r="17" spans="1:16" ht="130.05000000000001" customHeight="1" x14ac:dyDescent="0.3">
      <c r="A17" s="109"/>
      <c r="B17" s="68"/>
      <c r="C17" s="68" t="str">
        <f t="shared" si="0"/>
        <v>12</v>
      </c>
      <c r="D17" s="68">
        <f t="shared" si="1"/>
        <v>1</v>
      </c>
      <c r="E17" s="84" t="str">
        <f t="shared" si="2"/>
        <v>1216</v>
      </c>
      <c r="F17" s="64" t="s">
        <v>34</v>
      </c>
      <c r="G17" s="65" t="str">
        <f>IFERROR(IF(VLOOKUP($E17,BDD!$A$1:$S$567,MATCH(G$10,BDD!$A$1:$P$1,0),FALSE)=0,"",VLOOKUP($E17,BDD!$A$1:$S$567,MATCH(G$10,BDD!$A$1:$P$1,0),FALSE)),"")</f>
        <v>Les objectifs de la DSI sont définis conjointement avec les clients, notamment en ce qui concerne sa contribution à la génération de valeur pour l’entreprise.</v>
      </c>
      <c r="H17" s="92" t="str">
        <f>IF(VLOOKUP(E17,BDD!$A$1:$S$567,15,FALSE)=0,"Critère non évalué","")</f>
        <v>Critère non évalué</v>
      </c>
      <c r="I17" s="64" t="str">
        <f>IFERROR(IF(VLOOKUP($E17,BDD!$A$1:$S$567,MATCH(I$10,BDD!$A$1:$P$1,0),FALSE)=0,"",VLOOKUP($E17,BDD!$A$1:$S$567,MATCH(I$10,BDD!$A$1:$P$1,0),FALSE)),"")</f>
        <v>N5</v>
      </c>
      <c r="J17" s="89"/>
      <c r="K17" s="65" t="str">
        <f>IFERROR(IF(VLOOKUP($E17,BDD!$A$1:$S$567,MATCH(K$10,BDD!$A$1:$P$1,0),FALSE)=0,"",VLOOKUP($E17,BDD!$A$1:$S$567,MATCH(K$10,BDD!$A$1:$P$1,0),FALSE)),"")</f>
        <v/>
      </c>
      <c r="L17" s="68"/>
      <c r="M17" s="90"/>
      <c r="N17" s="90"/>
      <c r="O17" s="68"/>
      <c r="P17" s="109"/>
    </row>
    <row r="18" spans="1:16" ht="130.05000000000001" customHeight="1" x14ac:dyDescent="0.3">
      <c r="A18" s="109"/>
      <c r="B18" s="68"/>
      <c r="C18" s="68" t="str">
        <f t="shared" si="0"/>
        <v>12</v>
      </c>
      <c r="D18" s="68">
        <f t="shared" si="1"/>
        <v>1</v>
      </c>
      <c r="E18" s="84" t="str">
        <f t="shared" si="2"/>
        <v>1217</v>
      </c>
      <c r="F18" s="66" t="s">
        <v>36</v>
      </c>
      <c r="G18" s="67" t="str">
        <f>IFERROR(IF(VLOOKUP($E18,BDD!$A$1:$S$567,MATCH(G$10,BDD!$A$1:$P$1,0),FALSE)=0,"",VLOOKUP($E18,BDD!$A$1:$S$567,MATCH(G$10,BDD!$A$1:$P$1,0),FALSE)),"")</f>
        <v>Les objectifs de la DSI sont communiqués à toutes les parties prenantes (collaborateurs de la DSI, clients internes ou externes, comités de direction des autres directions, direction générale, partenaires, etc.).</v>
      </c>
      <c r="H18" s="85" t="str">
        <f>IF(VLOOKUP(E18,BDD!$A$1:$S$567,15,FALSE)=0,"Critère non évalué","")</f>
        <v>Critère non évalué</v>
      </c>
      <c r="I18" s="66" t="str">
        <f>IFERROR(IF(VLOOKUP($E18,BDD!$A$1:$S$567,MATCH(I$10,BDD!$A$1:$P$1,0),FALSE)=0,"",VLOOKUP($E18,BDD!$A$1:$S$567,MATCH(I$10,BDD!$A$1:$P$1,0),FALSE)),"")</f>
        <v>N1</v>
      </c>
      <c r="J18" s="86"/>
      <c r="K18" s="67" t="str">
        <f>IFERROR(IF(VLOOKUP($E18,BDD!$A$1:$S$567,MATCH(K$10,BDD!$A$1:$P$1,0),FALSE)=0,"",VLOOKUP($E18,BDD!$A$1:$S$567,MATCH(K$10,BDD!$A$1:$P$1,0),FALSE)),"")</f>
        <v/>
      </c>
      <c r="L18" s="68"/>
      <c r="M18" s="82"/>
      <c r="N18" s="82"/>
      <c r="O18" s="68"/>
      <c r="P18" s="109"/>
    </row>
    <row r="19" spans="1:16" ht="18" x14ac:dyDescent="0.35">
      <c r="A19" s="109"/>
      <c r="B19" s="68"/>
      <c r="C19" s="68" t="str">
        <f t="shared" si="0"/>
        <v>12</v>
      </c>
      <c r="D19" s="68">
        <f t="shared" si="1"/>
        <v>1</v>
      </c>
      <c r="E19" s="84" t="str">
        <f t="shared" si="2"/>
        <v>121</v>
      </c>
      <c r="F19" s="68"/>
      <c r="G19" s="69" t="str">
        <f>IF(Suppl!B80=2,"Le vecteur n'est pas utilisé","")</f>
        <v/>
      </c>
      <c r="H19" s="69"/>
      <c r="I19" s="69"/>
      <c r="J19" s="69"/>
      <c r="K19" s="69"/>
      <c r="L19" s="70"/>
      <c r="M19" s="68"/>
      <c r="N19" s="68"/>
      <c r="O19" s="68"/>
      <c r="P19" s="109"/>
    </row>
    <row r="20" spans="1:16" x14ac:dyDescent="0.3">
      <c r="A20" s="109"/>
      <c r="B20" s="68"/>
      <c r="C20" s="68" t="str">
        <f t="shared" si="0"/>
        <v>12</v>
      </c>
      <c r="D20" s="68">
        <f>IF(LEFT(F20,14)="Bonne pratique",D19+1,D19)</f>
        <v>1</v>
      </c>
      <c r="E20" s="84" t="str">
        <f t="shared" si="2"/>
        <v>121</v>
      </c>
      <c r="F20" s="68"/>
      <c r="G20" s="68"/>
      <c r="H20" s="68"/>
      <c r="I20" s="68"/>
      <c r="J20" s="68"/>
      <c r="K20" s="68"/>
      <c r="L20" s="68"/>
      <c r="M20" s="68"/>
      <c r="N20" s="68"/>
      <c r="O20" s="68"/>
      <c r="P20" s="109"/>
    </row>
    <row r="21" spans="1:16" ht="30" x14ac:dyDescent="0.5">
      <c r="A21" s="229"/>
      <c r="B21" s="74"/>
      <c r="C21" s="68" t="str">
        <f t="shared" si="0"/>
        <v>12</v>
      </c>
      <c r="D21" s="68">
        <f t="shared" si="1"/>
        <v>2</v>
      </c>
      <c r="E21" s="84" t="str">
        <f t="shared" si="2"/>
        <v>1222</v>
      </c>
      <c r="F21" s="208" t="s">
        <v>500</v>
      </c>
      <c r="G21" s="75"/>
      <c r="H21" s="205"/>
      <c r="I21" s="73"/>
      <c r="J21" s="73" t="str">
        <f>VLOOKUP(E28,BDD!$A$2:$N$567,6,FALSE)</f>
        <v>Indicateurs</v>
      </c>
      <c r="K21" s="72"/>
      <c r="L21" s="75"/>
      <c r="M21" s="75"/>
      <c r="N21" s="75"/>
      <c r="O21" s="74"/>
      <c r="P21" s="229"/>
    </row>
    <row r="22" spans="1:16" x14ac:dyDescent="0.3">
      <c r="A22" s="109"/>
      <c r="B22" s="68"/>
      <c r="C22" s="68" t="str">
        <f t="shared" si="0"/>
        <v>12</v>
      </c>
      <c r="D22" s="68">
        <f t="shared" si="1"/>
        <v>2</v>
      </c>
      <c r="E22" s="84" t="str">
        <f t="shared" si="2"/>
        <v>122</v>
      </c>
      <c r="F22" s="68"/>
      <c r="G22" s="68"/>
      <c r="H22" s="68"/>
      <c r="I22" s="68"/>
      <c r="J22" s="68"/>
      <c r="K22" s="68"/>
      <c r="L22" s="68"/>
      <c r="M22" s="68"/>
      <c r="N22" s="68"/>
      <c r="O22" s="68"/>
      <c r="P22" s="109"/>
    </row>
    <row r="23" spans="1:16" ht="18" x14ac:dyDescent="0.35">
      <c r="A23" s="230"/>
      <c r="B23" s="76"/>
      <c r="C23" s="68" t="str">
        <f t="shared" si="0"/>
        <v>12</v>
      </c>
      <c r="D23" s="68">
        <f t="shared" si="1"/>
        <v>2</v>
      </c>
      <c r="E23" s="84" t="str">
        <f t="shared" si="2"/>
        <v>122</v>
      </c>
      <c r="F23" s="76"/>
      <c r="G23" s="76"/>
      <c r="H23" s="76"/>
      <c r="I23" s="77"/>
      <c r="J23" s="207" t="str">
        <f>IFERROR(_xlfn.TEXTBEFORE(VLOOKUP(E28,BDD!$A$2:$N$567,7,FALSE)," ",30),VLOOKUP(E28,BDD!$A$2:$N$567,7,FALSE))</f>
        <v>Des indicateurs de mesure de la performance du SI sont définis et le niveau d'atteinte des objectifs de la DSI est suivi et partagé régulièrement avec les parties prenantes.</v>
      </c>
      <c r="K23" s="77"/>
      <c r="L23" s="76"/>
      <c r="M23" s="76"/>
      <c r="N23" s="76"/>
      <c r="O23" s="76"/>
      <c r="P23" s="230"/>
    </row>
    <row r="24" spans="1:16" ht="18" x14ac:dyDescent="0.35">
      <c r="A24" s="109"/>
      <c r="B24" s="68"/>
      <c r="C24" s="68" t="str">
        <f t="shared" si="0"/>
        <v>12</v>
      </c>
      <c r="D24" s="68">
        <f t="shared" si="1"/>
        <v>2</v>
      </c>
      <c r="E24" s="84" t="str">
        <f t="shared" si="2"/>
        <v>122</v>
      </c>
      <c r="F24" s="68"/>
      <c r="G24" s="68"/>
      <c r="H24" s="68"/>
      <c r="I24" s="68"/>
      <c r="J24" s="207" t="str">
        <f>IFERROR(_xlfn.TEXTAFTER(VLOOKUP(E28,BDD!$A$2:$N$567,7,FALSE)," ",30),"")</f>
        <v/>
      </c>
      <c r="K24" s="68"/>
      <c r="L24" s="68"/>
      <c r="M24" s="68"/>
      <c r="N24" s="68"/>
      <c r="O24" s="68"/>
      <c r="P24" s="109"/>
    </row>
    <row r="25" spans="1:16" x14ac:dyDescent="0.3">
      <c r="A25" s="109"/>
      <c r="B25" s="68"/>
      <c r="C25" s="68" t="str">
        <f t="shared" si="0"/>
        <v>12</v>
      </c>
      <c r="D25" s="68">
        <f t="shared" si="1"/>
        <v>2</v>
      </c>
      <c r="E25" s="84" t="str">
        <f t="shared" si="2"/>
        <v>122</v>
      </c>
      <c r="F25" s="68"/>
      <c r="G25" s="68"/>
      <c r="H25" s="68"/>
      <c r="I25" s="68"/>
      <c r="J25" s="78"/>
      <c r="K25" s="68"/>
      <c r="L25" s="68"/>
      <c r="M25" s="619" t="s">
        <v>92</v>
      </c>
      <c r="N25" s="619"/>
      <c r="O25" s="68"/>
      <c r="P25" s="109"/>
    </row>
    <row r="26" spans="1:16" ht="33" x14ac:dyDescent="0.3">
      <c r="A26" s="109"/>
      <c r="B26" s="68"/>
      <c r="C26" s="68" t="str">
        <f t="shared" si="0"/>
        <v>12</v>
      </c>
      <c r="D26" s="68">
        <f t="shared" si="1"/>
        <v>2</v>
      </c>
      <c r="E26" s="84" t="str">
        <f t="shared" si="2"/>
        <v>122</v>
      </c>
      <c r="F26" s="93"/>
      <c r="G26" s="80" t="s">
        <v>561</v>
      </c>
      <c r="H26" s="80" t="s">
        <v>82</v>
      </c>
      <c r="I26" s="80" t="s">
        <v>83</v>
      </c>
      <c r="J26" s="80" t="s">
        <v>84</v>
      </c>
      <c r="K26" s="80" t="s">
        <v>85</v>
      </c>
      <c r="L26" s="78"/>
      <c r="M26" s="81" t="s">
        <v>86</v>
      </c>
      <c r="N26" s="82" t="s">
        <v>87</v>
      </c>
      <c r="O26" s="68"/>
      <c r="P26" s="109"/>
    </row>
    <row r="27" spans="1:16" x14ac:dyDescent="0.3">
      <c r="A27" s="109"/>
      <c r="B27" s="68"/>
      <c r="C27" s="68" t="str">
        <f t="shared" si="0"/>
        <v>12</v>
      </c>
      <c r="D27" s="68">
        <f t="shared" si="1"/>
        <v>2</v>
      </c>
      <c r="E27" s="84" t="str">
        <f t="shared" si="2"/>
        <v>122</v>
      </c>
      <c r="F27" s="68"/>
      <c r="G27" s="83"/>
      <c r="H27" s="83"/>
      <c r="I27" s="83"/>
      <c r="J27" s="68"/>
      <c r="K27" s="83"/>
      <c r="L27" s="68"/>
      <c r="M27" s="68"/>
      <c r="N27" s="68"/>
      <c r="O27" s="68"/>
      <c r="P27" s="109"/>
    </row>
    <row r="28" spans="1:16" ht="130.05000000000001" customHeight="1" x14ac:dyDescent="0.3">
      <c r="A28" s="109"/>
      <c r="B28" s="68"/>
      <c r="C28" s="68" t="str">
        <f t="shared" si="0"/>
        <v>12</v>
      </c>
      <c r="D28" s="68">
        <f t="shared" si="1"/>
        <v>2</v>
      </c>
      <c r="E28" s="84" t="str">
        <f t="shared" si="2"/>
        <v>1221</v>
      </c>
      <c r="F28" s="66" t="s">
        <v>27</v>
      </c>
      <c r="G28" s="67" t="str">
        <f>IFERROR(IF(VLOOKUP($E28,BDD!$A$1:$S$567,MATCH(G$10,BDD!$A$1:$P$1,0),FALSE)=0,"",VLOOKUP($E28,BDD!$A$1:$S$567,MATCH(G$10,BDD!$A$1:$P$1,0),FALSE)),"")</f>
        <v>Des indicateurs de mesure de la performance (quantitatifs et qualitatifs) sont formalisés dans des tableaux de bord. Ils permettent de mesurer le niveau d'atteinte des objectifs du numérique.</v>
      </c>
      <c r="H28" s="85" t="str">
        <f>IF(VLOOKUP(E28,BDD!$A$1:$S$567,15,FALSE)=0,"Critère non évalué","")</f>
        <v>Critère non évalué</v>
      </c>
      <c r="I28" s="66" t="str">
        <f>IFERROR(IF(VLOOKUP($E28,BDD!$A$1:$S$567,MATCH(I$10,BDD!$A$1:$P$1,0),FALSE)=0,"",VLOOKUP($E28,BDD!$A$1:$S$567,MATCH(I$10,BDD!$A$1:$P$1,0),FALSE)),"")</f>
        <v>N1</v>
      </c>
      <c r="J28" s="86"/>
      <c r="K28" s="67" t="str">
        <f>IFERROR(IF(VLOOKUP($E28,BDD!$A$1:$S$567,MATCH(K$10,BDD!$A$1:$P$1,0),FALSE)=0,"",VLOOKUP($E28,BDD!$A$1:$S$567,MATCH(K$10,BDD!$A$1:$P$1,0),FALSE)),"")</f>
        <v xml:space="preserve">• L’IT SCORECARD publié par ISACA France peut être utilisé pour trouver des exemples d’indicateurs.
• Ces indicateurs sont formellement définis. Pour les aspects quantitatifs, les données servant à la mesure de l'indicateur doivent être extraites, si possible de façon automatisée, du ou des SI existants. </v>
      </c>
      <c r="L28" s="68"/>
      <c r="M28" s="87"/>
      <c r="N28" s="87"/>
      <c r="O28" s="68"/>
      <c r="P28" s="109"/>
    </row>
    <row r="29" spans="1:16" ht="130.05000000000001" customHeight="1" x14ac:dyDescent="0.3">
      <c r="A29" s="109"/>
      <c r="B29" s="68"/>
      <c r="C29" s="68" t="str">
        <f t="shared" si="0"/>
        <v>12</v>
      </c>
      <c r="D29" s="68">
        <f t="shared" si="1"/>
        <v>2</v>
      </c>
      <c r="E29" s="84" t="str">
        <f t="shared" si="2"/>
        <v>1222</v>
      </c>
      <c r="F29" s="94" t="s">
        <v>28</v>
      </c>
      <c r="G29" s="65" t="str">
        <f>IFERROR(IF(VLOOKUP($E29,BDD!$A$1:$S$567,MATCH(G$10,BDD!$A$1:$P$1,0),FALSE)=0,"",VLOOKUP($E29,BDD!$A$1:$S$567,MATCH(G$10,BDD!$A$1:$P$1,0),FALSE)),"")</f>
        <v>Des valeurs cibles d'amélioration ou des seuils d'alerte sont associés aux indicateurs de mesure de la performance.</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Les indicateurs doivent permettre de mesurer : 
- les engagements de service négociés avec les métiers (performance) ; 
- la satisfaction des utilisateurs (perception) ; 
- la performance environnementale du numérique ; 
- le niveau de conformité par rapport aux exigences réglementaires, aux engagements contractuels et aux politiques internes (sécurité, RSE, architecture, etc.).</v>
      </c>
      <c r="L29" s="68"/>
      <c r="M29" s="90"/>
      <c r="N29" s="90"/>
      <c r="O29" s="68"/>
      <c r="P29" s="109"/>
    </row>
    <row r="30" spans="1:16" ht="130.05000000000001" customHeight="1" x14ac:dyDescent="0.3">
      <c r="A30" s="109"/>
      <c r="B30" s="68"/>
      <c r="C30" s="68" t="str">
        <f t="shared" si="0"/>
        <v>12</v>
      </c>
      <c r="D30" s="68">
        <f t="shared" si="1"/>
        <v>2</v>
      </c>
      <c r="E30" s="84" t="str">
        <f t="shared" si="2"/>
        <v>1223</v>
      </c>
      <c r="F30" s="66" t="s">
        <v>30</v>
      </c>
      <c r="G30" s="67" t="str">
        <f>IFERROR(IF(VLOOKUP($E30,BDD!$A$1:$S$567,MATCH(G$10,BDD!$A$1:$P$1,0),FALSE)=0,"",VLOOKUP($E30,BDD!$A$1:$S$567,MATCH(G$10,BDD!$A$1:$P$1,0),FALSE)),"")</f>
        <v>Des moyens de mesure et de contrôle de l’atteinte des objectifs (définition d’indicateurs, mesures régulières) sont en place au niveau de la DSI avec les parties prenantes concernées.</v>
      </c>
      <c r="H30" s="85" t="str">
        <f>IF(VLOOKUP(E30,BDD!$A$1:$S$567,15,FALSE)=0,"Critère non évalué","")</f>
        <v>Critère non évalué</v>
      </c>
      <c r="I30" s="66" t="str">
        <f>IFERROR(IF(VLOOKUP($E30,BDD!$A$1:$S$567,MATCH(I$10,BDD!$A$1:$P$1,0),FALSE)=0,"",VLOOKUP($E30,BDD!$A$1:$S$567,MATCH(I$10,BDD!$A$1:$P$1,0),FALSE)),"")</f>
        <v>N2</v>
      </c>
      <c r="J30" s="86"/>
      <c r="K30" s="67" t="str">
        <f>IFERROR(IF(VLOOKUP($E30,BDD!$A$1:$S$567,MATCH(K$10,BDD!$A$1:$P$1,0),FALSE)=0,"",VLOOKUP($E30,BDD!$A$1:$S$567,MATCH(K$10,BDD!$A$1:$P$1,0),FALSE)),"")</f>
        <v>• La DSI analyse les résultats de ces indicateurs et leur écart par rapport aux objectifs afin de mettre en œuvre les actions correctives éventuelles.</v>
      </c>
      <c r="L30" s="68"/>
      <c r="M30" s="87"/>
      <c r="N30" s="87"/>
      <c r="O30" s="68"/>
      <c r="P30" s="109"/>
    </row>
    <row r="31" spans="1:16" ht="130.05000000000001" customHeight="1" x14ac:dyDescent="0.3">
      <c r="A31" s="109"/>
      <c r="B31" s="68"/>
      <c r="C31" s="68" t="str">
        <f t="shared" si="0"/>
        <v>12</v>
      </c>
      <c r="D31" s="68">
        <f t="shared" si="1"/>
        <v>2</v>
      </c>
      <c r="E31" s="84" t="str">
        <f t="shared" si="2"/>
        <v>1224</v>
      </c>
      <c r="F31" s="64" t="s">
        <v>32</v>
      </c>
      <c r="G31" s="65" t="str">
        <f>IFERROR(IF(VLOOKUP($E31,BDD!$A$1:$S$567,MATCH(G$10,BDD!$A$1:$P$1,0),FALSE)=0,"",VLOOKUP($E31,BDD!$A$1:$S$567,MATCH(G$10,BDD!$A$1:$P$1,0),FALSE)),"")</f>
        <v>Les indicateurs de mesure de la performance sont revus et mis à jour régulièrement (changements de stratégie ou d’objectifs de l'entreprise ou de la DSI) afin de permettre des améliorations de cette mesure.</v>
      </c>
      <c r="H31" s="88" t="str">
        <f>IF(VLOOKUP(E31,BDD!$A$1:$S$567,15,FALSE)=0,"Critère non évalué","")</f>
        <v>Critère non évalué</v>
      </c>
      <c r="I31" s="64" t="str">
        <f>IFERROR(IF(VLOOKUP($E31,BDD!$A$1:$S$567,MATCH(I$10,BDD!$A$1:$P$1,0),FALSE)=0,"",VLOOKUP($E31,BDD!$A$1:$S$567,MATCH(I$10,BDD!$A$1:$P$1,0),FALSE)),"")</f>
        <v>N4</v>
      </c>
      <c r="J31" s="91"/>
      <c r="K31" s="65" t="str">
        <f>IFERROR(IF(VLOOKUP($E31,BDD!$A$1:$S$567,MATCH(K$10,BDD!$A$1:$P$1,0),FALSE)=0,"",VLOOKUP($E31,BDD!$A$1:$S$567,MATCH(K$10,BDD!$A$1:$P$1,0),FALSE)),"")</f>
        <v>• Les règles de gestion des indicateurs doivent résulter de règles de gestion communes et partagées pour constituer une base de décision et alimenter les décisions.</v>
      </c>
      <c r="L31" s="68"/>
      <c r="M31" s="90"/>
      <c r="N31" s="90"/>
      <c r="O31" s="68"/>
      <c r="P31" s="109"/>
    </row>
    <row r="32" spans="1:16" ht="130.05000000000001" customHeight="1" x14ac:dyDescent="0.3">
      <c r="A32" s="109"/>
      <c r="B32" s="68"/>
      <c r="C32" s="68" t="str">
        <f t="shared" si="0"/>
        <v>12</v>
      </c>
      <c r="D32" s="68">
        <f t="shared" si="1"/>
        <v>2</v>
      </c>
      <c r="E32" s="84" t="str">
        <f t="shared" si="2"/>
        <v>1225</v>
      </c>
      <c r="F32" s="66" t="s">
        <v>33</v>
      </c>
      <c r="G32" s="67" t="str">
        <f>IFERROR(IF(VLOOKUP($E32,BDD!$A$1:$S$567,MATCH(G$10,BDD!$A$1:$P$1,0),FALSE)=0,"",VLOOKUP($E32,BDD!$A$1:$S$567,MATCH(G$10,BDD!$A$1:$P$1,0),FALSE)),"")</f>
        <v>Les indicateurs de performance sont consolidés dans des tableaux de bord qui sont partagés régulièrement avec les parties prenantes et la direction générale dans un format adapté en faisant apparaître la contribution de chacun.</v>
      </c>
      <c r="H32" s="85" t="str">
        <f>IF(VLOOKUP(E32,BDD!$A$1:$S$567,15,FALSE)=0,"Critère non évalué","")</f>
        <v>Critère non évalué</v>
      </c>
      <c r="I32" s="66" t="str">
        <f>IFERROR(IF(VLOOKUP($E32,BDD!$A$1:$S$567,MATCH(I$10,BDD!$A$1:$P$1,0),FALSE)=0,"",VLOOKUP($E32,BDD!$A$1:$S$567,MATCH(I$10,BDD!$A$1:$P$1,0),FALSE)),"")</f>
        <v>N5</v>
      </c>
      <c r="J32" s="86"/>
      <c r="K32" s="67" t="str">
        <f>IFERROR(IF(VLOOKUP($E32,BDD!$A$1:$S$567,MATCH(K$10,BDD!$A$1:$P$1,0),FALSE)=0,"",VLOOKUP($E32,BDD!$A$1:$S$567,MATCH(K$10,BDD!$A$1:$P$1,0),FALSE)),"")</f>
        <v>• Dans un but de transparence et d'amélioration de la communication, la DSI publie et partage périodiquement, avec les parties prenantes et la direction générale, des tableaux de bord restituant de façon synthétique les niveaux et les tendances de ces indicateurs.
• La publication doit être faite « au fil de l'eau » pour donner une vision la plus à jour possible de la performance.
• Ces tableaux de bord peuvent être également partagés avec les collaborateurs de la DSI à des fins de management.</v>
      </c>
      <c r="L32" s="68"/>
      <c r="M32" s="82"/>
      <c r="N32" s="82"/>
      <c r="O32" s="68"/>
      <c r="P32" s="109"/>
    </row>
    <row r="33" spans="1:16" ht="130.05000000000001" customHeight="1" x14ac:dyDescent="0.3">
      <c r="A33" s="109"/>
      <c r="B33" s="68"/>
      <c r="C33" s="68" t="str">
        <f t="shared" si="0"/>
        <v>12</v>
      </c>
      <c r="D33" s="68">
        <f t="shared" si="1"/>
        <v>2</v>
      </c>
      <c r="E33" s="84" t="str">
        <f t="shared" si="2"/>
        <v>1226</v>
      </c>
      <c r="F33" s="64" t="s">
        <v>34</v>
      </c>
      <c r="G33" s="65" t="str">
        <f>IFERROR(IF(VLOOKUP($E33,BDD!$A$1:$S$567,MATCH(G$10,BDD!$A$1:$P$1,0),FALSE)=0,"",VLOOKUP($E33,BDD!$A$1:$S$567,MATCH(G$10,BDD!$A$1:$P$1,0),FALSE)),"")</f>
        <v/>
      </c>
      <c r="H33" s="92" t="str">
        <f>IF(VLOOKUP(E33,BDD!$A$1:$S$567,15,FALSE)=0,"Critère non évalué","")</f>
        <v/>
      </c>
      <c r="I33" s="64" t="str">
        <f>IFERROR(IF(VLOOKUP($E33,BDD!$A$1:$S$567,MATCH(I$10,BDD!$A$1:$P$1,0),FALSE)=0,"",VLOOKUP($E33,BDD!$A$1:$S$567,MATCH(I$10,BDD!$A$1:$P$1,0),FALSE)),"")</f>
        <v/>
      </c>
      <c r="J33" s="89"/>
      <c r="K33" s="65" t="str">
        <f>IFERROR(IF(VLOOKUP($E33,BDD!$A$1:$S$567,MATCH(K$10,BDD!$A$1:$P$1,0),FALSE)=0,"",VLOOKUP($E33,BDD!$A$1:$S$567,MATCH(K$10,BDD!$A$1:$P$1,0),FALSE)),"")</f>
        <v/>
      </c>
      <c r="L33" s="68"/>
      <c r="M33" s="90"/>
      <c r="N33" s="90"/>
      <c r="O33" s="68"/>
      <c r="P33" s="109"/>
    </row>
    <row r="34" spans="1:16" ht="130.05000000000001" customHeight="1" x14ac:dyDescent="0.3">
      <c r="A34" s="109"/>
      <c r="B34" s="68"/>
      <c r="C34" s="68" t="str">
        <f t="shared" si="0"/>
        <v>12</v>
      </c>
      <c r="D34" s="68">
        <f t="shared" si="1"/>
        <v>2</v>
      </c>
      <c r="E34" s="84" t="str">
        <f t="shared" si="2"/>
        <v>1227</v>
      </c>
      <c r="F34" s="66" t="s">
        <v>36</v>
      </c>
      <c r="G34" s="67" t="str">
        <f>IFERROR(IF(VLOOKUP($E34,BDD!$A$1:$S$567,MATCH(G$10,BDD!$A$1:$P$1,0),FALSE)=0,"",VLOOKUP($E34,BDD!$A$1:$S$567,MATCH(G$10,BDD!$A$1:$P$1,0),FALSE)),"")</f>
        <v/>
      </c>
      <c r="H34" s="85" t="str">
        <f>IF(VLOOKUP(E34,BDD!$A$1:$S$567,15,FALSE)=0,"Critère non évalué","")</f>
        <v/>
      </c>
      <c r="I34" s="66" t="str">
        <f>IFERROR(IF(VLOOKUP($E34,BDD!$A$1:$S$567,MATCH(I$10,BDD!$A$1:$P$1,0),FALSE)=0,"",VLOOKUP($E34,BDD!$A$1:$S$567,MATCH(I$10,BDD!$A$1:$P$1,0),FALSE)),"")</f>
        <v/>
      </c>
      <c r="J34" s="86"/>
      <c r="K34" s="67" t="str">
        <f>IFERROR(IF(VLOOKUP($E34,BDD!$A$1:$S$567,MATCH(K$10,BDD!$A$1:$P$1,0),FALSE)=0,"",VLOOKUP($E34,BDD!$A$1:$S$567,MATCH(K$10,BDD!$A$1:$P$1,0),FALSE)),"")</f>
        <v/>
      </c>
      <c r="L34" s="68"/>
      <c r="M34" s="82"/>
      <c r="N34" s="82"/>
      <c r="O34" s="68"/>
      <c r="P34" s="109"/>
    </row>
    <row r="35" spans="1:16" ht="18" x14ac:dyDescent="0.35">
      <c r="A35" s="109"/>
      <c r="B35" s="68"/>
      <c r="C35" s="68" t="str">
        <f t="shared" si="0"/>
        <v>12</v>
      </c>
      <c r="D35" s="68">
        <f t="shared" si="1"/>
        <v>2</v>
      </c>
      <c r="E35" s="84" t="str">
        <f t="shared" si="2"/>
        <v>122</v>
      </c>
      <c r="F35" s="68"/>
      <c r="G35" s="69" t="str">
        <f>IF(Suppl!B96=2,"Le vecteur n'est pas utilisé","")</f>
        <v/>
      </c>
      <c r="H35" s="69"/>
      <c r="I35" s="68"/>
      <c r="J35" s="69"/>
      <c r="K35" s="69"/>
      <c r="L35" s="70"/>
      <c r="M35" s="68"/>
      <c r="N35" s="68"/>
      <c r="O35" s="68"/>
      <c r="P35" s="109"/>
    </row>
    <row r="36" spans="1:16" x14ac:dyDescent="0.3">
      <c r="A36" s="109"/>
      <c r="B36" s="68"/>
      <c r="C36" s="68" t="str">
        <f t="shared" si="0"/>
        <v>12</v>
      </c>
      <c r="D36" s="68">
        <f>IF(LEFT(F36,14)="Bonne pratique",D35+1,D35)</f>
        <v>2</v>
      </c>
      <c r="E36" s="84" t="str">
        <f t="shared" si="2"/>
        <v>122</v>
      </c>
      <c r="F36" s="68"/>
      <c r="G36" s="68"/>
      <c r="H36" s="68"/>
      <c r="I36" s="68"/>
      <c r="J36" s="68"/>
      <c r="K36" s="68"/>
      <c r="L36" s="68"/>
      <c r="M36" s="68"/>
      <c r="N36" s="68"/>
      <c r="O36" s="68"/>
      <c r="P36" s="109"/>
    </row>
    <row r="37" spans="1:16" ht="30" x14ac:dyDescent="0.5">
      <c r="A37" s="229"/>
      <c r="B37" s="74"/>
      <c r="C37" s="68" t="str">
        <f t="shared" si="0"/>
        <v>12</v>
      </c>
      <c r="D37" s="68">
        <f t="shared" si="1"/>
        <v>3</v>
      </c>
      <c r="E37" s="84" t="str">
        <f t="shared" si="2"/>
        <v>1233</v>
      </c>
      <c r="F37" s="208" t="s">
        <v>501</v>
      </c>
      <c r="G37" s="75"/>
      <c r="H37" s="205"/>
      <c r="I37" s="73"/>
      <c r="J37" s="73" t="str">
        <f>VLOOKUP(E44,BDD!$A$2:$N$567,6,FALSE)</f>
        <v>Budget</v>
      </c>
      <c r="K37" s="72"/>
      <c r="L37" s="75"/>
      <c r="M37" s="75"/>
      <c r="N37" s="75"/>
      <c r="O37" s="74"/>
      <c r="P37" s="229"/>
    </row>
    <row r="38" spans="1:16" x14ac:dyDescent="0.3">
      <c r="A38" s="109"/>
      <c r="B38" s="68"/>
      <c r="C38" s="68" t="str">
        <f t="shared" si="0"/>
        <v>12</v>
      </c>
      <c r="D38" s="68">
        <f t="shared" si="1"/>
        <v>3</v>
      </c>
      <c r="E38" s="84" t="str">
        <f t="shared" si="2"/>
        <v>123</v>
      </c>
      <c r="F38" s="68"/>
      <c r="G38" s="68"/>
      <c r="H38" s="68"/>
      <c r="I38" s="68"/>
      <c r="J38" s="68"/>
      <c r="K38" s="68"/>
      <c r="L38" s="68"/>
      <c r="M38" s="68"/>
      <c r="N38" s="68"/>
      <c r="O38" s="68"/>
      <c r="P38" s="109"/>
    </row>
    <row r="39" spans="1:16" ht="18" x14ac:dyDescent="0.35">
      <c r="A39" s="230"/>
      <c r="B39" s="76"/>
      <c r="C39" s="68" t="str">
        <f t="shared" si="0"/>
        <v>12</v>
      </c>
      <c r="D39" s="68">
        <f t="shared" si="1"/>
        <v>3</v>
      </c>
      <c r="E39" s="84" t="str">
        <f t="shared" si="2"/>
        <v>123</v>
      </c>
      <c r="F39" s="76"/>
      <c r="G39" s="76"/>
      <c r="H39" s="76"/>
      <c r="I39" s="77"/>
      <c r="J39" s="207" t="str">
        <f>IFERROR(_xlfn.TEXTBEFORE(VLOOKUP(E44,BDD!$A$2:$N$567,7,FALSE)," ",30),VLOOKUP(E44,BDD!$A$2:$N$567,7,FALSE))</f>
        <v>La DSI met en œuvre un processus de gestion budgétaire permettant de gérer les arbitrages avec la direction générale et les directions métiers et parties prenantes, relatif aux projets, aux</v>
      </c>
      <c r="K39" s="77"/>
      <c r="L39" s="76"/>
      <c r="M39" s="76"/>
      <c r="N39" s="76"/>
      <c r="O39" s="76"/>
      <c r="P39" s="230"/>
    </row>
    <row r="40" spans="1:16" ht="18" x14ac:dyDescent="0.35">
      <c r="A40" s="109"/>
      <c r="B40" s="68"/>
      <c r="C40" s="68" t="str">
        <f t="shared" si="0"/>
        <v>12</v>
      </c>
      <c r="D40" s="68">
        <f t="shared" si="1"/>
        <v>3</v>
      </c>
      <c r="E40" s="84" t="str">
        <f t="shared" si="2"/>
        <v>123</v>
      </c>
      <c r="F40" s="68"/>
      <c r="G40" s="68"/>
      <c r="H40" s="68"/>
      <c r="I40" s="68"/>
      <c r="J40" s="207" t="str">
        <f>IFERROR(_xlfn.TEXTAFTER(VLOOKUP(E44,BDD!$A$2:$N$567,7,FALSE)," ",30),"")</f>
        <v>évolutions et au fonctionnement récurrent.</v>
      </c>
      <c r="K40" s="68"/>
      <c r="L40" s="68"/>
      <c r="M40" s="68"/>
      <c r="N40" s="68"/>
      <c r="O40" s="68"/>
      <c r="P40" s="109"/>
    </row>
    <row r="41" spans="1:16" x14ac:dyDescent="0.3">
      <c r="A41" s="109"/>
      <c r="B41" s="68"/>
      <c r="C41" s="68" t="str">
        <f t="shared" si="0"/>
        <v>12</v>
      </c>
      <c r="D41" s="68">
        <f t="shared" si="1"/>
        <v>3</v>
      </c>
      <c r="E41" s="84" t="str">
        <f t="shared" si="2"/>
        <v>123</v>
      </c>
      <c r="F41" s="68"/>
      <c r="G41" s="68"/>
      <c r="H41" s="68"/>
      <c r="I41" s="68"/>
      <c r="J41" s="78"/>
      <c r="K41" s="68"/>
      <c r="L41" s="68"/>
      <c r="M41" s="619" t="s">
        <v>92</v>
      </c>
      <c r="N41" s="619"/>
      <c r="O41" s="68"/>
      <c r="P41" s="109"/>
    </row>
    <row r="42" spans="1:16" ht="33" x14ac:dyDescent="0.3">
      <c r="A42" s="109"/>
      <c r="B42" s="68"/>
      <c r="C42" s="68" t="str">
        <f t="shared" si="0"/>
        <v>12</v>
      </c>
      <c r="D42" s="68">
        <f t="shared" si="1"/>
        <v>3</v>
      </c>
      <c r="E42" s="84" t="str">
        <f t="shared" si="2"/>
        <v>123</v>
      </c>
      <c r="F42" s="79"/>
      <c r="G42" s="80" t="s">
        <v>561</v>
      </c>
      <c r="H42" s="80" t="s">
        <v>82</v>
      </c>
      <c r="I42" s="80" t="s">
        <v>83</v>
      </c>
      <c r="J42" s="80" t="s">
        <v>84</v>
      </c>
      <c r="K42" s="80" t="s">
        <v>85</v>
      </c>
      <c r="L42" s="78"/>
      <c r="M42" s="81" t="s">
        <v>86</v>
      </c>
      <c r="N42" s="82" t="s">
        <v>87</v>
      </c>
      <c r="O42" s="68"/>
      <c r="P42" s="109"/>
    </row>
    <row r="43" spans="1:16" x14ac:dyDescent="0.3">
      <c r="A43" s="109"/>
      <c r="B43" s="68"/>
      <c r="C43" s="68" t="str">
        <f t="shared" si="0"/>
        <v>12</v>
      </c>
      <c r="D43" s="68">
        <f t="shared" si="1"/>
        <v>3</v>
      </c>
      <c r="E43" s="84" t="str">
        <f t="shared" si="2"/>
        <v>123</v>
      </c>
      <c r="F43" s="68"/>
      <c r="G43" s="83"/>
      <c r="H43" s="83"/>
      <c r="I43" s="83"/>
      <c r="J43" s="68"/>
      <c r="K43" s="83"/>
      <c r="L43" s="68"/>
      <c r="M43" s="68"/>
      <c r="N43" s="68"/>
      <c r="O43" s="68"/>
      <c r="P43" s="109"/>
    </row>
    <row r="44" spans="1:16" ht="130.05000000000001" customHeight="1" x14ac:dyDescent="0.3">
      <c r="A44" s="109"/>
      <c r="B44" s="68"/>
      <c r="C44" s="68" t="str">
        <f t="shared" si="0"/>
        <v>12</v>
      </c>
      <c r="D44" s="68">
        <f t="shared" si="1"/>
        <v>3</v>
      </c>
      <c r="E44" s="84" t="str">
        <f t="shared" si="2"/>
        <v>1231</v>
      </c>
      <c r="F44" s="66" t="s">
        <v>27</v>
      </c>
      <c r="G44" s="67" t="str">
        <f>IFERROR(IF(VLOOKUP($E44,BDD!$A$1:$S$567,MATCH(G$10,BDD!$A$1:$P$1,0),FALSE)=0,"",VLOOKUP($E44,BDD!$A$1:$S$567,MATCH(G$10,BDD!$A$1:$P$1,0),FALSE)),"")</f>
        <v>Un budget consolidant l'ensemble des coûts de la DSI est établi.</v>
      </c>
      <c r="H44" s="85" t="str">
        <f>IF(VLOOKUP(E44,BDD!$A$1:$S$567,15,FALSE)=0,"Critère non évalué","")</f>
        <v>Critère non évalué</v>
      </c>
      <c r="I44" s="66" t="str">
        <f>IFERROR(IF(VLOOKUP($E44,BDD!$A$1:$S$567,MATCH(I$10,BDD!$A$1:$P$1,0),FALSE)=0,"",VLOOKUP($E44,BDD!$A$1:$S$567,MATCH(I$10,BDD!$A$1:$P$1,0),FALSE)),"")</f>
        <v>N1</v>
      </c>
      <c r="J44" s="86"/>
      <c r="K44" s="67" t="str">
        <f>IFERROR(IF(VLOOKUP($E44,BDD!$A$1:$S$567,MATCH(K$10,BDD!$A$1:$P$1,0),FALSE)=0,"",VLOOKUP($E44,BDD!$A$1:$S$567,MATCH(K$10,BDD!$A$1:$P$1,0),FALSE)),"")</f>
        <v/>
      </c>
      <c r="L44" s="68"/>
      <c r="M44" s="87"/>
      <c r="N44" s="87"/>
      <c r="O44" s="68"/>
      <c r="P44" s="109"/>
    </row>
    <row r="45" spans="1:16" ht="150" customHeight="1" x14ac:dyDescent="0.3">
      <c r="A45" s="109"/>
      <c r="B45" s="68"/>
      <c r="C45" s="68" t="str">
        <f t="shared" si="0"/>
        <v>12</v>
      </c>
      <c r="D45" s="68">
        <f t="shared" si="1"/>
        <v>3</v>
      </c>
      <c r="E45" s="84" t="str">
        <f t="shared" si="2"/>
        <v>1232</v>
      </c>
      <c r="F45" s="94" t="s">
        <v>28</v>
      </c>
      <c r="G45" s="65" t="str">
        <f>IFERROR(IF(VLOOKUP($E45,BDD!$A$1:$S$567,MATCH(G$10,BDD!$A$1:$P$1,0),FALSE)=0,"",VLOOKUP($E45,BDD!$A$1:$S$567,MATCH(G$10,BDD!$A$1:$P$1,0),FALSE)),"")</f>
        <v>Les coûts sont consolidés par périmètre de responsabilité.</v>
      </c>
      <c r="H45" s="88" t="str">
        <f>IF(VLOOKUP(E45,BDD!$A$1:$S$567,15,FALSE)=0,"Critère non évalué","")</f>
        <v>Critère non évalué</v>
      </c>
      <c r="I45" s="64" t="str">
        <f>IFERROR(IF(VLOOKUP($E45,BDD!$A$1:$S$567,MATCH(I$10,BDD!$A$1:$P$1,0),FALSE)=0,"",VLOOKUP($E45,BDD!$A$1:$S$567,MATCH(I$10,BDD!$A$1:$P$1,0),FALSE)),"")</f>
        <v>N1</v>
      </c>
      <c r="J45" s="89"/>
      <c r="K45" s="65" t="str">
        <f>IFERROR(IF(VLOOKUP($E45,BDD!$A$1:$S$567,MATCH(K$10,BDD!$A$1:$P$1,0),FALSE)=0,"",VLOOKUP($E45,BDD!$A$1:$S$567,MATCH(K$10,BDD!$A$1:$P$1,0),FALSE)),"")</f>
        <v/>
      </c>
      <c r="L45" s="68"/>
      <c r="M45" s="90"/>
      <c r="N45" s="90"/>
      <c r="O45" s="68"/>
      <c r="P45" s="109"/>
    </row>
    <row r="46" spans="1:16" ht="130.05000000000001" customHeight="1" x14ac:dyDescent="0.3">
      <c r="A46" s="109"/>
      <c r="B46" s="68"/>
      <c r="C46" s="68" t="str">
        <f t="shared" si="0"/>
        <v>12</v>
      </c>
      <c r="D46" s="68">
        <f t="shared" si="1"/>
        <v>3</v>
      </c>
      <c r="E46" s="84" t="str">
        <f t="shared" si="2"/>
        <v>1233</v>
      </c>
      <c r="F46" s="66" t="s">
        <v>30</v>
      </c>
      <c r="G46" s="67" t="str">
        <f>IFERROR(IF(VLOOKUP($E46,BDD!$A$1:$S$567,MATCH(G$10,BDD!$A$1:$P$1,0),FALSE)=0,"",VLOOKUP($E46,BDD!$A$1:$S$567,MATCH(G$10,BDD!$A$1:$P$1,0),FALSE)),"")</f>
        <v>Un budget consolidant l’ensemble des coûts de la filière numérique existe.</v>
      </c>
      <c r="H46" s="85" t="str">
        <f>IF(VLOOKUP(E46,BDD!$A$1:$S$567,15,FALSE)=0,"Critère non évalué","")</f>
        <v>Critère non évalué</v>
      </c>
      <c r="I46" s="66" t="s">
        <v>22</v>
      </c>
      <c r="J46" s="86"/>
      <c r="K46" s="67" t="str">
        <f>IFERROR(IF(VLOOKUP($E46,BDD!$A$1:$S$567,MATCH(K$10,BDD!$A$1:$P$1,0),FALSE)=0,"",VLOOKUP($E46,BDD!$A$1:$S$567,MATCH(K$10,BDD!$A$1:$P$1,0),FALSE)),"")</f>
        <v>• Ce budget consolidé recouvre non seulement les coûts placés sous la responsabilité de la DSI, mais aussi ceux d’entités ou de correspondants informatiques rattachés à des directions opérationnelles ou fonctionnelles.</v>
      </c>
      <c r="L46" s="68"/>
      <c r="M46" s="87"/>
      <c r="N46" s="87"/>
      <c r="O46" s="68"/>
      <c r="P46" s="109"/>
    </row>
    <row r="47" spans="1:16" ht="120" customHeight="1" x14ac:dyDescent="0.3">
      <c r="A47" s="109"/>
      <c r="B47" s="68"/>
      <c r="C47" s="68" t="str">
        <f t="shared" si="0"/>
        <v>12</v>
      </c>
      <c r="D47" s="68">
        <f t="shared" si="1"/>
        <v>3</v>
      </c>
      <c r="E47" s="84" t="str">
        <f t="shared" si="2"/>
        <v>1234</v>
      </c>
      <c r="F47" s="64" t="s">
        <v>32</v>
      </c>
      <c r="G47" s="96" t="str">
        <f>IFERROR(IF(VLOOKUP($E47,BDD!$A$1:$S$567,MATCH(G$10,BDD!$A$1:$P$1,0),FALSE)=0,"",VLOOKUP($E47,BDD!$A$1:$S$567,MATCH(G$10,BDD!$A$1:$P$1,0),FALSE)),"")</f>
        <v>Le budget du numérique est construit sur la base de natures de dépenses qui lui sont propres, il est ventilé par centre de responsabilité pour faciliter le pilotage.</v>
      </c>
      <c r="H47" s="210" t="str">
        <f>IF(VLOOKUP(E47,BDD!$A$1:$S$567,15,FALSE)=0,"Critère non évalué","")</f>
        <v>Critère non évalué</v>
      </c>
      <c r="I47" s="64" t="s">
        <v>26</v>
      </c>
      <c r="J47" s="95"/>
      <c r="K47" s="96" t="str">
        <f>IFERROR(IF(VLOOKUP($E47,BDD!$A$1:$S$567,MATCH(K$10,BDD!$A$1:$P$1,0),FALSE)=0,"",VLOOKUP($E47,BDD!$A$1:$S$567,MATCH(K$10,BDD!$A$1:$P$1,0),FALSE)),"")</f>
        <v/>
      </c>
      <c r="L47" s="68"/>
      <c r="M47" s="90"/>
      <c r="N47" s="90"/>
      <c r="O47" s="68"/>
      <c r="P47" s="109"/>
    </row>
    <row r="48" spans="1:16" ht="130.05000000000001" customHeight="1" x14ac:dyDescent="0.3">
      <c r="A48" s="109"/>
      <c r="B48" s="68"/>
      <c r="C48" s="68" t="str">
        <f t="shared" si="0"/>
        <v>12</v>
      </c>
      <c r="D48" s="68">
        <f t="shared" si="1"/>
        <v>3</v>
      </c>
      <c r="E48" s="84" t="str">
        <f t="shared" si="2"/>
        <v>1235</v>
      </c>
      <c r="F48" s="66" t="s">
        <v>33</v>
      </c>
      <c r="G48" s="67" t="str">
        <f>IFERROR(IF(VLOOKUP($E48,BDD!$A$1:$S$567,MATCH(G$10,BDD!$A$1:$P$1,0),FALSE)=0,"",VLOOKUP($E48,BDD!$A$1:$S$567,MATCH(G$10,BDD!$A$1:$P$1,0),FALSE)),"")</f>
        <v>Le budget du numérique permet d'identifier les ressources allouées aux projets (transformation), à la maintenance évolutive, et aux autres coûts récurrents, en particulier la production informatique.</v>
      </c>
      <c r="H48" s="85" t="str">
        <f>IF(VLOOKUP(E48,BDD!$A$1:$S$567,15,FALSE)=0,"Critère non évalué","")</f>
        <v>Critère non évalué</v>
      </c>
      <c r="I48" s="66" t="s">
        <v>22</v>
      </c>
      <c r="J48" s="86"/>
      <c r="K48" s="67" t="str">
        <f>IFERROR(IF(VLOOKUP($E48,BDD!$A$1:$S$567,MATCH(K$10,BDD!$A$1:$P$1,0),FALSE)=0,"",VLOOKUP($E48,BDD!$A$1:$S$567,MATCH(K$10,BDD!$A$1:$P$1,0),FALSE)),"")</f>
        <v>• Cette distinction en 3 parties est essentielle car chacune se pilote selon un mode différent : run, change et build.
• Pour les projets ou build, il s’agit d’un investissement qui doit être « rentable » pour l'entreprise.
• Pour le récurrent ou run, on est plus proche d'une « usine » de production de services (placée sous la responsabilité hiérarchique ou fonctionnelle de la DSI) dont les coûts doivent être optimisés.
• Pour la gestion des changements ou change, il s’agit de la maintenance évolutive arbitrée dans le cadre d'une enveloppe capacitaire entre la DSI et les métiers. Les évolutions doivent être encadrées par un budget négocié par domaine applicatif.
• L'approche agile amène à regrouper les 3 familles et à se concentrer sur la valeur pour prioriser.</v>
      </c>
      <c r="L48" s="68"/>
      <c r="M48" s="87"/>
      <c r="N48" s="87"/>
      <c r="O48" s="68"/>
      <c r="P48" s="109"/>
    </row>
    <row r="49" spans="1:16" ht="120" customHeight="1" x14ac:dyDescent="0.3">
      <c r="A49" s="109"/>
      <c r="B49" s="68"/>
      <c r="C49" s="68" t="str">
        <f t="shared" si="0"/>
        <v>12</v>
      </c>
      <c r="D49" s="68">
        <f t="shared" si="1"/>
        <v>3</v>
      </c>
      <c r="E49" s="84" t="str">
        <f t="shared" si="2"/>
        <v>1236</v>
      </c>
      <c r="F49" s="64" t="s">
        <v>34</v>
      </c>
      <c r="G49" s="96" t="str">
        <f>IFERROR(IF(VLOOKUP($E49,BDD!$A$1:$S$567,MATCH(G$10,BDD!$A$1:$P$1,0),FALSE)=0,"",VLOOKUP($E49,BDD!$A$1:$S$567,MATCH(G$10,BDD!$A$1:$P$1,0),FALSE)),"")</f>
        <v>L'organisation a mis en place un processus budgétaire. Il est formalisé et clarifie les rôles et les responsabilités.</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109"/>
    </row>
    <row r="50" spans="1:16" ht="130.05000000000001" customHeight="1" x14ac:dyDescent="0.3">
      <c r="A50" s="109"/>
      <c r="B50" s="68"/>
      <c r="C50" s="68" t="str">
        <f t="shared" si="0"/>
        <v>12</v>
      </c>
      <c r="D50" s="68">
        <f t="shared" si="1"/>
        <v>3</v>
      </c>
      <c r="E50" s="84" t="str">
        <f t="shared" si="2"/>
        <v>1237</v>
      </c>
      <c r="F50" s="66" t="s">
        <v>36</v>
      </c>
      <c r="G50" s="67" t="str">
        <f>IFERROR(IF(VLOOKUP($E50,BDD!$A$1:$S$567,MATCH(G$10,BDD!$A$1:$P$1,0),FALSE)=0,"",VLOOKUP($E50,BDD!$A$1:$S$567,MATCH(G$10,BDD!$A$1:$P$1,0),FALSE)),"")</f>
        <v>Le numérique fait l'objet d'un processus budgétaire dédié. Les rôles et responsabilités du processus budgétaire sont formellement attribués (cadrage, élaboration, suivi des écarts, mises à jour, …). Il existe un processus d'arbitrage clairement défini.</v>
      </c>
      <c r="H50" s="85" t="str">
        <f>IF(VLOOKUP(E50,BDD!$A$1:$S$567,15,FALSE)=0,"Critère non évalué","")</f>
        <v>Critère non évalué</v>
      </c>
      <c r="I50" s="66" t="s">
        <v>22</v>
      </c>
      <c r="J50" s="86"/>
      <c r="K50" s="67" t="str">
        <f>IFERROR(IF(VLOOKUP($E50,BDD!$A$1:$S$567,MATCH(K$10,BDD!$A$1:$P$1,0),FALSE)=0,"",VLOOKUP($E50,BDD!$A$1:$S$567,MATCH(K$10,BDD!$A$1:$P$1,0),FALSE)),"")</f>
        <v>• Pour faire fonctionner ce processus, la mise en place d'un contrôle de gestion du numérique est recommandée.
• Ce contrôle de gestion contribuera à l'élaboration du budget et à ses révisions, suivra les réalisations par nature et périmètre et par destination en les comparant à la fois au budget et aux réalisations des années précédentes.
• Le processus budgétaire doit inclure la définition des règles d'immobilisation en relation avec la direction financière (Capex/Opex, projets, durée d'amortissement, etc...).
• Les critères de priorisation des projets numériques sont revus de façon régulière.
• Le processus de décision et de priorisation est adapté au mode agile.
• L'allocation des ressources tient compte des différents types d'approvisionnements qu’ils soient internes ou externes (par exemple les services cloud).</v>
      </c>
      <c r="L50" s="68"/>
      <c r="M50" s="87"/>
      <c r="N50" s="87"/>
      <c r="O50" s="68"/>
      <c r="P50" s="109"/>
    </row>
    <row r="51" spans="1:16" ht="18" x14ac:dyDescent="0.35">
      <c r="A51" s="109"/>
      <c r="B51" s="68"/>
      <c r="C51" s="68" t="str">
        <f t="shared" si="0"/>
        <v>12</v>
      </c>
      <c r="D51" s="68"/>
      <c r="E51" s="84"/>
      <c r="F51" s="68"/>
      <c r="G51" s="69"/>
      <c r="H51" s="69"/>
      <c r="I51" s="69"/>
      <c r="J51" s="69"/>
      <c r="K51" s="69"/>
      <c r="L51" s="70"/>
      <c r="M51" s="68"/>
      <c r="N51" s="68"/>
      <c r="O51" s="68"/>
      <c r="P51" s="109"/>
    </row>
    <row r="52" spans="1:16" x14ac:dyDescent="0.3">
      <c r="A52" s="109"/>
      <c r="B52" s="68"/>
      <c r="C52" s="68" t="str">
        <f t="shared" si="0"/>
        <v>12</v>
      </c>
      <c r="D52" s="68">
        <f>IF(LEFT(F52,14)="Bonne pratique",D48+1,D48)</f>
        <v>3</v>
      </c>
      <c r="E52" s="84" t="str">
        <f t="shared" si="2"/>
        <v>123</v>
      </c>
      <c r="F52" s="68"/>
      <c r="G52" s="68"/>
      <c r="H52" s="68"/>
      <c r="I52" s="68"/>
      <c r="J52" s="68"/>
      <c r="K52" s="68"/>
      <c r="L52" s="68"/>
      <c r="M52" s="68"/>
      <c r="N52" s="68"/>
      <c r="O52" s="68"/>
      <c r="P52" s="109"/>
    </row>
    <row r="53" spans="1:16" ht="30" x14ac:dyDescent="0.5">
      <c r="A53" s="229"/>
      <c r="B53" s="74"/>
      <c r="C53" s="68" t="str">
        <f t="shared" si="0"/>
        <v>12</v>
      </c>
      <c r="D53" s="68">
        <f t="shared" si="1"/>
        <v>4</v>
      </c>
      <c r="E53" s="84" t="str">
        <f t="shared" si="2"/>
        <v>1244</v>
      </c>
      <c r="F53" s="208" t="s">
        <v>502</v>
      </c>
      <c r="G53" s="75"/>
      <c r="H53" s="205"/>
      <c r="I53" s="73"/>
      <c r="J53" s="73" t="str">
        <f>VLOOKUP(E60,BDD!$A$2:$N$567,6,FALSE)</f>
        <v>Coûts complets des services</v>
      </c>
      <c r="K53" s="72"/>
      <c r="L53" s="75"/>
      <c r="M53" s="75"/>
      <c r="N53" s="75"/>
      <c r="O53" s="74"/>
      <c r="P53" s="229"/>
    </row>
    <row r="54" spans="1:16" x14ac:dyDescent="0.3">
      <c r="A54" s="109"/>
      <c r="B54" s="68"/>
      <c r="C54" s="68" t="str">
        <f t="shared" si="0"/>
        <v>12</v>
      </c>
      <c r="D54" s="68">
        <f t="shared" si="1"/>
        <v>4</v>
      </c>
      <c r="E54" s="84" t="str">
        <f t="shared" si="2"/>
        <v>124</v>
      </c>
      <c r="F54" s="68"/>
      <c r="G54" s="68"/>
      <c r="H54" s="68"/>
      <c r="I54" s="68"/>
      <c r="J54" s="68"/>
      <c r="K54" s="68"/>
      <c r="L54" s="68"/>
      <c r="M54" s="68"/>
      <c r="N54" s="68"/>
      <c r="O54" s="68"/>
      <c r="P54" s="109"/>
    </row>
    <row r="55" spans="1:16" ht="18" x14ac:dyDescent="0.35">
      <c r="A55" s="230"/>
      <c r="B55" s="76"/>
      <c r="C55" s="68" t="str">
        <f t="shared" si="0"/>
        <v>12</v>
      </c>
      <c r="D55" s="68">
        <f t="shared" si="1"/>
        <v>4</v>
      </c>
      <c r="E55" s="84" t="str">
        <f t="shared" si="2"/>
        <v>124</v>
      </c>
      <c r="F55" s="76"/>
      <c r="G55" s="76"/>
      <c r="H55" s="76"/>
      <c r="I55" s="77"/>
      <c r="J55" s="207" t="str">
        <f>IFERROR(_xlfn.TEXTBEFORE(VLOOKUP(E60,BDD!$A$2:$N$567,7,FALSE)," ",30),VLOOKUP(E60,BDD!$A$2:$N$567,7,FALSE))</f>
        <v>La DSI calcule le coût complet des prestations du catalogue de services fournis à ses clients, en le décomposant en coûts unitaires et en volumes, afin de co-responsabiliser les métiers</v>
      </c>
      <c r="K55" s="77"/>
      <c r="L55" s="76"/>
      <c r="M55" s="76"/>
      <c r="N55" s="76"/>
      <c r="O55" s="76"/>
      <c r="P55" s="230"/>
    </row>
    <row r="56" spans="1:16" ht="18" x14ac:dyDescent="0.35">
      <c r="A56" s="109"/>
      <c r="B56" s="68"/>
      <c r="C56" s="68" t="str">
        <f t="shared" si="0"/>
        <v>12</v>
      </c>
      <c r="D56" s="68">
        <f t="shared" si="1"/>
        <v>4</v>
      </c>
      <c r="E56" s="84" t="str">
        <f t="shared" si="2"/>
        <v>124</v>
      </c>
      <c r="F56" s="68"/>
      <c r="G56" s="68"/>
      <c r="H56" s="68"/>
      <c r="I56" s="68"/>
      <c r="J56" s="207" t="str">
        <f>IFERROR(_xlfn.TEXTAFTER(VLOOKUP(E60,BDD!$A$2:$N$567,7,FALSE)," ",30),"")</f>
        <v>sur les coûts du numérique.</v>
      </c>
      <c r="K56" s="68"/>
      <c r="L56" s="68"/>
      <c r="M56" s="68"/>
      <c r="N56" s="68"/>
      <c r="O56" s="68"/>
      <c r="P56" s="109"/>
    </row>
    <row r="57" spans="1:16" x14ac:dyDescent="0.3">
      <c r="A57" s="109"/>
      <c r="B57" s="68"/>
      <c r="C57" s="68" t="str">
        <f t="shared" si="0"/>
        <v>12</v>
      </c>
      <c r="D57" s="68">
        <f t="shared" si="1"/>
        <v>4</v>
      </c>
      <c r="E57" s="84" t="str">
        <f t="shared" si="2"/>
        <v>124</v>
      </c>
      <c r="F57" s="68"/>
      <c r="G57" s="68"/>
      <c r="H57" s="68"/>
      <c r="I57" s="68"/>
      <c r="J57" s="78"/>
      <c r="K57" s="68"/>
      <c r="L57" s="68"/>
      <c r="M57" s="619" t="s">
        <v>92</v>
      </c>
      <c r="N57" s="619"/>
      <c r="O57" s="68"/>
      <c r="P57" s="109"/>
    </row>
    <row r="58" spans="1:16" ht="33" x14ac:dyDescent="0.3">
      <c r="A58" s="109"/>
      <c r="B58" s="68"/>
      <c r="C58" s="68" t="str">
        <f t="shared" si="0"/>
        <v>12</v>
      </c>
      <c r="D58" s="68">
        <f t="shared" si="1"/>
        <v>4</v>
      </c>
      <c r="E58" s="84" t="str">
        <f t="shared" si="2"/>
        <v>124</v>
      </c>
      <c r="F58" s="79"/>
      <c r="G58" s="80" t="s">
        <v>561</v>
      </c>
      <c r="H58" s="80" t="s">
        <v>82</v>
      </c>
      <c r="I58" s="80" t="s">
        <v>83</v>
      </c>
      <c r="J58" s="80" t="s">
        <v>84</v>
      </c>
      <c r="K58" s="80" t="s">
        <v>85</v>
      </c>
      <c r="L58" s="78"/>
      <c r="M58" s="81" t="s">
        <v>86</v>
      </c>
      <c r="N58" s="82" t="s">
        <v>87</v>
      </c>
      <c r="O58" s="68"/>
      <c r="P58" s="109"/>
    </row>
    <row r="59" spans="1:16" x14ac:dyDescent="0.3">
      <c r="A59" s="109"/>
      <c r="B59" s="68"/>
      <c r="C59" s="68" t="str">
        <f t="shared" si="0"/>
        <v>12</v>
      </c>
      <c r="D59" s="68">
        <f t="shared" si="1"/>
        <v>4</v>
      </c>
      <c r="E59" s="84" t="str">
        <f t="shared" si="2"/>
        <v>124</v>
      </c>
      <c r="F59" s="68"/>
      <c r="G59" s="83"/>
      <c r="H59" s="83"/>
      <c r="I59" s="83"/>
      <c r="J59" s="68"/>
      <c r="K59" s="83"/>
      <c r="L59" s="68"/>
      <c r="M59" s="68"/>
      <c r="N59" s="68"/>
      <c r="O59" s="68"/>
      <c r="P59" s="109"/>
    </row>
    <row r="60" spans="1:16" ht="130.05000000000001" customHeight="1" x14ac:dyDescent="0.3">
      <c r="A60" s="109"/>
      <c r="B60" s="68"/>
      <c r="C60" s="68" t="str">
        <f t="shared" si="0"/>
        <v>12</v>
      </c>
      <c r="D60" s="68">
        <f t="shared" si="1"/>
        <v>4</v>
      </c>
      <c r="E60" s="84" t="str">
        <f t="shared" si="2"/>
        <v>1241</v>
      </c>
      <c r="F60" s="66" t="s">
        <v>27</v>
      </c>
      <c r="G60" s="67" t="str">
        <f>IFERROR(IF(VLOOKUP($E60,BDD!$A$1:$S$567,MATCH(G$10,BDD!$A$1:$P$1,0),FALSE)=0,"",VLOOKUP($E60,BDD!$A$1:$S$567,MATCH(G$10,BDD!$A$1:$P$1,0),FALSE)),"")</f>
        <v>Un catalogue de services a été défini en relation avec les clients de la DSI et couvre la totalité des prestations fournies.</v>
      </c>
      <c r="H60" s="85" t="str">
        <f>IF(VLOOKUP(E60,BDD!$A$1:$S$567,15,FALSE)=0,"Critère non évalué","")</f>
        <v>Critère non évalué</v>
      </c>
      <c r="I60" s="66" t="str">
        <f>IFERROR(IF(VLOOKUP($E60,BDD!$A$1:$S$567,MATCH(I$10,BDD!$A$1:$P$1,0),FALSE)=0,"",VLOOKUP($E60,BDD!$A$1:$S$567,MATCH(I$10,BDD!$A$1:$P$1,0),FALSE)),"")</f>
        <v>N2</v>
      </c>
      <c r="J60" s="86"/>
      <c r="K60" s="67" t="str">
        <f>IFERROR(IF(VLOOKUP($E60,BDD!$A$1:$S$567,MATCH(K$10,BDD!$A$1:$P$1,0),FALSE)=0,"",VLOOKUP($E60,BDD!$A$1:$S$567,MATCH(K$10,BDD!$A$1:$P$1,0),FALSE)),"")</f>
        <v>• Ce catalogue est « orienté client » (lisible et compréhensible par le métier).
• Il comprend la mise à disposition des postes de travail, des applications, ainsi que la réalisation des évolutions et des projets.
• Il peut comprendre également des prestations : conseil, expertise, etc.
• Il se situe à un niveau auquel il est possible de prendre des engagements de type SLA (Service Level Agreements).</v>
      </c>
      <c r="L60" s="68"/>
      <c r="M60" s="87"/>
      <c r="N60" s="87"/>
      <c r="O60" s="68"/>
      <c r="P60" s="109"/>
    </row>
    <row r="61" spans="1:16" ht="130.05000000000001" customHeight="1" x14ac:dyDescent="0.3">
      <c r="A61" s="109"/>
      <c r="B61" s="68"/>
      <c r="C61" s="68" t="str">
        <f t="shared" si="0"/>
        <v>12</v>
      </c>
      <c r="D61" s="68">
        <f t="shared" si="1"/>
        <v>4</v>
      </c>
      <c r="E61" s="84" t="str">
        <f t="shared" si="2"/>
        <v>1242</v>
      </c>
      <c r="F61" s="94" t="s">
        <v>28</v>
      </c>
      <c r="G61" s="65" t="str">
        <f>IFERROR(IF(VLOOKUP($E61,BDD!$A$1:$S$567,MATCH(G$10,BDD!$A$1:$P$1,0),FALSE)=0,"",VLOOKUP($E61,BDD!$A$1:$S$567,MATCH(G$10,BDD!$A$1:$P$1,0),FALSE)),"")</f>
        <v>La DSI a identifié l'ensemble de ses activités et en maîtrise les coûts, les managers de la DSI comprennent leur contribution au coût complet des services fournis afin de pouvoir les piloter en agissant sur les leviers d'action dont ils ont la responsabilité.</v>
      </c>
      <c r="H61" s="88" t="str">
        <f>IF(VLOOKUP(E61,BDD!$A$1:$S$567,15,FALSE)=0,"Critère non évalué","")</f>
        <v>Critère non évalué</v>
      </c>
      <c r="I61" s="64" t="str">
        <f>IFERROR(IF(VLOOKUP($E61,BDD!$A$1:$S$567,MATCH(I$10,BDD!$A$1:$P$1,0),FALSE)=0,"",VLOOKUP($E61,BDD!$A$1:$S$567,MATCH(I$10,BDD!$A$1:$P$1,0),FALSE)),"")</f>
        <v>N3</v>
      </c>
      <c r="J61" s="89"/>
      <c r="K61" s="65" t="str">
        <f>IFERROR(IF(VLOOKUP($E61,BDD!$A$1:$S$567,MATCH(K$10,BDD!$A$1:$P$1,0),FALSE)=0,"",VLOOKUP($E61,BDD!$A$1:$S$567,MATCH(K$10,BDD!$A$1:$P$1,0),FALSE)),"")</f>
        <v>• Le Modèle de pilotage économique et écologique de l'IT du Cigref peut fournir une liste type d'activités qu'on retrouve dans toutes les DSI.
• Les dépenses sont affectées par centre de responsabilité et réparties par nature d'activité.</v>
      </c>
      <c r="L61" s="68"/>
      <c r="M61" s="90"/>
      <c r="N61" s="90"/>
      <c r="O61" s="68"/>
      <c r="P61" s="109"/>
    </row>
    <row r="62" spans="1:16" ht="130.05000000000001" customHeight="1" x14ac:dyDescent="0.3">
      <c r="A62" s="109"/>
      <c r="B62" s="68"/>
      <c r="C62" s="68" t="str">
        <f t="shared" si="0"/>
        <v>12</v>
      </c>
      <c r="D62" s="68">
        <f>IF(LEFT(F62,14)="Bonne pratique",D61+1,D61)</f>
        <v>4</v>
      </c>
      <c r="E62" s="84" t="str">
        <f t="shared" si="2"/>
        <v>1243</v>
      </c>
      <c r="F62" s="66" t="s">
        <v>30</v>
      </c>
      <c r="G62" s="67" t="str">
        <f>IFERROR(IF(VLOOKUP($E62,BDD!$A$1:$S$567,MATCH(G$10,BDD!$A$1:$P$1,0),FALSE)=0,"",VLOOKUP($E62,BDD!$A$1:$S$567,MATCH(G$10,BDD!$A$1:$P$1,0),FALSE)),"")</f>
        <v>Le coût unitaire des services numériques fournis est calculé avec une méthode documentée et transparente, permettant d’en expliquer les composantes et d’en garantir la traçabilité.</v>
      </c>
      <c r="H62" s="85" t="str">
        <f>IF(VLOOKUP(E62,BDD!$A$1:$S$567,15,FALSE)=0,"Critère non évalué","")</f>
        <v>Critère non évalué</v>
      </c>
      <c r="I62" s="66" t="str">
        <f>IFERROR(IF(VLOOKUP($E62,BDD!$A$1:$S$567,MATCH(I$10,BDD!$A$1:$P$1,0),FALSE)=0,"",VLOOKUP($E62,BDD!$A$1:$S$567,MATCH(I$10,BDD!$A$1:$P$1,0),FALSE)),"")</f>
        <v>N4</v>
      </c>
      <c r="J62" s="86"/>
      <c r="K62" s="67" t="str">
        <f>IFERROR(IF(VLOOKUP($E62,BDD!$A$1:$S$567,MATCH(K$10,BDD!$A$1:$P$1,0),FALSE)=0,"",VLOOKUP($E62,BDD!$A$1:$S$567,MATCH(K$10,BDD!$A$1:$P$1,0),FALSE)),"")</f>
        <v>• On peut utiliser une méthode reconnue de type Activity Based Costing (ABC), qui doit permettre d'expliquer clairement ses évolutions et de les piloter.
• Le calcul de coûts unitaires justifiables, par exemple en application de la méthode ABC, doit permettre de : 
- Réfléchir avec les clients de la DSI sur le coût des exigences en matière de SLA, le décommissionnement éventuel de certaines applications sur la base d'un coût par utilisateur ou par unité d'oeuvre, etc.,
- Facturer aux clients de la DSI le coût des services,
- Faciliter la réalisation de benchmarking,
- Mettre en évidence la productivité de la DSI (évolution du coût unitaire par inducteur des services fournis).
• Les managers de la DSI disposent d’une vision claire du coût complet des services fournis, leur permettant d’en assurer le pilotage à travers les leviers relevant de leur responsabilité.</v>
      </c>
      <c r="L62" s="68"/>
      <c r="M62" s="87"/>
      <c r="N62" s="87"/>
      <c r="O62" s="68"/>
      <c r="P62" s="109"/>
    </row>
    <row r="63" spans="1:16" ht="130.05000000000001" customHeight="1" x14ac:dyDescent="0.3">
      <c r="A63" s="109"/>
      <c r="B63" s="68"/>
      <c r="C63" s="68" t="str">
        <f t="shared" si="0"/>
        <v>12</v>
      </c>
      <c r="D63" s="68">
        <f t="shared" si="1"/>
        <v>4</v>
      </c>
      <c r="E63" s="84" t="str">
        <f t="shared" si="2"/>
        <v>1244</v>
      </c>
      <c r="F63" s="64" t="s">
        <v>32</v>
      </c>
      <c r="G63" s="65" t="str">
        <f>IFERROR(IF(VLOOKUP($E63,BDD!$A$1:$S$567,MATCH(G$10,BDD!$A$1:$P$1,0),FALSE)=0,"",VLOOKUP($E63,BDD!$A$1:$S$567,MATCH(G$10,BDD!$A$1:$P$1,0),FALSE)),"")</f>
        <v>Une revue et une optimisation régulière des coûts unitaires est mise en œuvre.</v>
      </c>
      <c r="H63" s="88" t="str">
        <f>IF(VLOOKUP(E63,BDD!$A$1:$S$567,15,FALSE)=0,"Critère non évalué","")</f>
        <v>Critère non évalué</v>
      </c>
      <c r="I63" s="64" t="str">
        <f>IFERROR(IF(VLOOKUP($E63,BDD!$A$1:$S$567,MATCH(I$10,BDD!$A$1:$P$1,0),FALSE)=0,"",VLOOKUP($E63,BDD!$A$1:$S$567,MATCH(I$10,BDD!$A$1:$P$1,0),FALSE)),"")</f>
        <v>N4</v>
      </c>
      <c r="J63" s="91"/>
      <c r="K63" s="65" t="str">
        <f>IFERROR(IF(VLOOKUP($E63,BDD!$A$1:$S$567,MATCH(K$10,BDD!$A$1:$P$1,0),FALSE)=0,"",VLOOKUP($E63,BDD!$A$1:$S$567,MATCH(K$10,BDD!$A$1:$P$1,0),FALSE)),"")</f>
        <v>• Celle-ci peut s'appuyer sur du benchmark.</v>
      </c>
      <c r="L63" s="68"/>
      <c r="M63" s="90"/>
      <c r="N63" s="90"/>
      <c r="O63" s="68"/>
      <c r="P63" s="109"/>
    </row>
    <row r="64" spans="1:16" ht="130.05000000000001" customHeight="1" x14ac:dyDescent="0.3">
      <c r="A64" s="109"/>
      <c r="B64" s="68"/>
      <c r="C64" s="68" t="str">
        <f t="shared" si="0"/>
        <v>12</v>
      </c>
      <c r="D64" s="68">
        <f t="shared" si="1"/>
        <v>4</v>
      </c>
      <c r="E64" s="84" t="str">
        <f t="shared" si="2"/>
        <v>1245</v>
      </c>
      <c r="F64" s="66" t="s">
        <v>33</v>
      </c>
      <c r="G64" s="67" t="str">
        <f>IFERROR(IF(VLOOKUP($E64,BDD!$A$1:$S$567,MATCH(G$10,BDD!$A$1:$P$1,0),FALSE)=0,"",VLOOKUP($E64,BDD!$A$1:$S$567,MATCH(G$10,BDD!$A$1:$P$1,0),FALSE)),"")</f>
        <v>Une démarche FinOps est mise en œuvre au sein de la DSI.</v>
      </c>
      <c r="H64" s="85" t="str">
        <f>IF(VLOOKUP(E64,BDD!$A$1:$S$567,15,FALSE)=0,"Critère non évalué","")</f>
        <v>Critère non évalué</v>
      </c>
      <c r="I64" s="66" t="str">
        <f>IFERROR(IF(VLOOKUP($E64,BDD!$A$1:$S$567,MATCH(I$10,BDD!$A$1:$P$1,0),FALSE)=0,"",VLOOKUP($E64,BDD!$A$1:$S$567,MATCH(I$10,BDD!$A$1:$P$1,0),FALSE)),"")</f>
        <v>N5</v>
      </c>
      <c r="J64" s="86"/>
      <c r="K64" s="67" t="str">
        <f>IFERROR(IF(VLOOKUP($E64,BDD!$A$1:$S$567,MATCH(K$10,BDD!$A$1:$P$1,0),FALSE)=0,"",VLOOKUP($E64,BDD!$A$1:$S$567,MATCH(K$10,BDD!$A$1:$P$1,0),FALSE)),"")</f>
        <v/>
      </c>
      <c r="L64" s="68"/>
      <c r="M64" s="82"/>
      <c r="N64" s="82"/>
      <c r="O64" s="68"/>
      <c r="P64" s="109"/>
    </row>
    <row r="65" spans="1:16" ht="130.05000000000001" customHeight="1" x14ac:dyDescent="0.3">
      <c r="A65" s="109"/>
      <c r="B65" s="68"/>
      <c r="C65" s="68" t="str">
        <f t="shared" si="0"/>
        <v>12</v>
      </c>
      <c r="D65" s="68">
        <f t="shared" si="1"/>
        <v>4</v>
      </c>
      <c r="E65" s="84" t="str">
        <f t="shared" si="2"/>
        <v>1246</v>
      </c>
      <c r="F65" s="64" t="s">
        <v>34</v>
      </c>
      <c r="G65" s="96" t="str">
        <f>IFERROR(IF(VLOOKUP($E65,BDD!$A$1:$S$567,MATCH(G$10,BDD!$A$1:$P$1,0),FALSE)=0,"",VLOOKUP($E65,BDD!$A$1:$S$567,MATCH(G$10,BDD!$A$1:$P$1,0),FALSE)),"")</f>
        <v/>
      </c>
      <c r="H65" s="92" t="str">
        <f>IF(VLOOKUP(E65,BDD!$A$1:$S$567,15,FALSE)=0,"Critère non évalué","")</f>
        <v>Critère non évalué</v>
      </c>
      <c r="I65" s="64" t="str">
        <f>IFERROR(IF(VLOOKUP($E65,BDD!$A$1:$S$567,MATCH(I$10,BDD!$A$1:$P$1,0),FALSE)=0,"",VLOOKUP($E65,BDD!$A$1:$S$567,MATCH(I$10,BDD!$A$1:$P$1,0),FALSE)),"")</f>
        <v/>
      </c>
      <c r="J65" s="206"/>
      <c r="K65" s="96" t="str">
        <f>IFERROR(IF(VLOOKUP($E65,BDD!$A$1:$S$567,MATCH(K$10,BDD!$A$1:$P$1,0),FALSE)=0,"",VLOOKUP($E65,BDD!$A$1:$S$567,MATCH(K$10,BDD!$A$1:$P$1,0),FALSE)),"")</f>
        <v/>
      </c>
      <c r="L65" s="68"/>
      <c r="M65" s="90"/>
      <c r="N65" s="90"/>
      <c r="O65" s="68"/>
      <c r="P65" s="109"/>
    </row>
    <row r="66" spans="1:16" ht="130.05000000000001" customHeight="1" x14ac:dyDescent="0.3">
      <c r="A66" s="109"/>
      <c r="B66" s="68"/>
      <c r="C66" s="68" t="str">
        <f t="shared" si="0"/>
        <v>12</v>
      </c>
      <c r="D66" s="68">
        <f t="shared" si="1"/>
        <v>4</v>
      </c>
      <c r="E66" s="84" t="str">
        <f t="shared" si="2"/>
        <v>1247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c>
      <c r="J66" s="86"/>
      <c r="K66" s="67" t="str">
        <f>IFERROR(IF(VLOOKUP($E66,BDD!$A$1:$S$567,MATCH(K$10,BDD!$A$1:$P$1,0),FALSE)=0,"",VLOOKUP($E66,BDD!$A$1:$S$567,MATCH(K$10,BDD!$A$1:$P$1,0),FALSE)),"")</f>
        <v/>
      </c>
      <c r="L66" s="68"/>
      <c r="M66" s="82"/>
      <c r="N66" s="82"/>
      <c r="O66" s="68"/>
      <c r="P66" s="109"/>
    </row>
    <row r="67" spans="1:16" x14ac:dyDescent="0.3">
      <c r="A67" s="109"/>
      <c r="B67" s="68"/>
      <c r="C67" s="68" t="str">
        <f t="shared" si="0"/>
        <v>12</v>
      </c>
      <c r="D67" s="68">
        <f t="shared" si="1"/>
        <v>4</v>
      </c>
      <c r="E67" s="84" t="str">
        <f t="shared" si="2"/>
        <v>124</v>
      </c>
      <c r="F67" s="68"/>
      <c r="G67" s="68"/>
      <c r="H67" s="68"/>
      <c r="I67" s="68"/>
      <c r="J67" s="68"/>
      <c r="K67" s="68"/>
      <c r="L67" s="68"/>
      <c r="M67" s="68"/>
      <c r="N67" s="68"/>
      <c r="O67" s="68"/>
      <c r="P67" s="109"/>
    </row>
    <row r="68" spans="1:16" x14ac:dyDescent="0.3">
      <c r="A68" s="109"/>
      <c r="B68" s="68"/>
      <c r="C68" s="68" t="str">
        <f t="shared" si="0"/>
        <v>12</v>
      </c>
      <c r="D68" s="68"/>
      <c r="E68" s="84"/>
      <c r="F68" s="68"/>
      <c r="G68" s="68"/>
      <c r="H68" s="68"/>
      <c r="I68" s="68"/>
      <c r="J68" s="68"/>
      <c r="K68" s="68"/>
      <c r="L68" s="68"/>
      <c r="M68" s="68"/>
      <c r="N68" s="68"/>
      <c r="O68" s="68"/>
      <c r="P68" s="109"/>
    </row>
    <row r="69" spans="1:16" x14ac:dyDescent="0.3">
      <c r="A69" s="109"/>
      <c r="B69" s="68"/>
      <c r="C69" s="68" t="str">
        <f t="shared" si="0"/>
        <v>12</v>
      </c>
      <c r="D69" s="68"/>
      <c r="E69" s="84"/>
      <c r="F69" s="68"/>
      <c r="G69" s="68"/>
      <c r="H69" s="68"/>
      <c r="I69" s="68"/>
      <c r="J69" s="68"/>
      <c r="K69" s="68"/>
      <c r="L69" s="68"/>
      <c r="M69" s="68"/>
      <c r="N69" s="68"/>
      <c r="O69" s="68"/>
      <c r="P69" s="109"/>
    </row>
    <row r="70" spans="1:16" x14ac:dyDescent="0.3">
      <c r="A70" s="109"/>
      <c r="B70" s="68"/>
      <c r="C70" s="68" t="str">
        <f t="shared" ref="C70:C115" si="3">IF(LEFT(RIGHT($B$1,2),1)=" ",RIGHT($B$1,1),RIGHT($B$1,2))</f>
        <v>12</v>
      </c>
      <c r="D70" s="68"/>
      <c r="E70" s="84"/>
      <c r="F70" s="68"/>
      <c r="G70" s="68"/>
      <c r="H70" s="68"/>
      <c r="I70" s="68"/>
      <c r="J70" s="68"/>
      <c r="K70" s="68"/>
      <c r="L70" s="68"/>
      <c r="M70" s="68"/>
      <c r="N70" s="68"/>
      <c r="O70" s="68"/>
      <c r="P70" s="109"/>
    </row>
    <row r="71" spans="1:16" ht="30" x14ac:dyDescent="0.5">
      <c r="A71" s="229"/>
      <c r="B71" s="74"/>
      <c r="C71" s="68" t="str">
        <f t="shared" si="3"/>
        <v>12</v>
      </c>
      <c r="D71" s="68">
        <f>IF(LEFT(F71,14)="Bonne pratique",D67+1,D67)</f>
        <v>5</v>
      </c>
      <c r="E71" s="84" t="str">
        <f t="shared" si="2"/>
        <v>1255</v>
      </c>
      <c r="F71" s="208" t="s">
        <v>503</v>
      </c>
      <c r="G71" s="75"/>
      <c r="H71" s="205"/>
      <c r="I71" s="73"/>
      <c r="J71" s="73" t="str">
        <f>VLOOKUP(E78,BDD!$A$2:$N$567,6,FALSE)</f>
        <v>Pilotage du portefeuille de projets</v>
      </c>
      <c r="K71" s="72"/>
      <c r="L71" s="75"/>
      <c r="M71" s="75"/>
      <c r="N71" s="75"/>
      <c r="O71" s="74"/>
      <c r="P71" s="229"/>
    </row>
    <row r="72" spans="1:16" x14ac:dyDescent="0.3">
      <c r="A72" s="109"/>
      <c r="B72" s="68"/>
      <c r="C72" s="68" t="str">
        <f t="shared" si="3"/>
        <v>12</v>
      </c>
      <c r="D72" s="68">
        <f t="shared" ref="D72:D84" si="4">IF(LEFT(F72,14)="Bonne pratique",D71+1,D71)</f>
        <v>5</v>
      </c>
      <c r="E72" s="84" t="str">
        <f t="shared" si="2"/>
        <v>125</v>
      </c>
      <c r="F72" s="68"/>
      <c r="G72" s="68"/>
      <c r="H72" s="68"/>
      <c r="I72" s="68"/>
      <c r="J72" s="68"/>
      <c r="K72" s="68"/>
      <c r="L72" s="68"/>
      <c r="M72" s="68"/>
      <c r="N72" s="68"/>
      <c r="O72" s="68"/>
      <c r="P72" s="109"/>
    </row>
    <row r="73" spans="1:16" ht="18" x14ac:dyDescent="0.35">
      <c r="A73" s="230"/>
      <c r="B73" s="76"/>
      <c r="C73" s="68" t="str">
        <f t="shared" si="3"/>
        <v>12</v>
      </c>
      <c r="D73" s="68">
        <f t="shared" si="4"/>
        <v>5</v>
      </c>
      <c r="E73" s="84" t="str">
        <f t="shared" si="2"/>
        <v>125</v>
      </c>
      <c r="F73" s="76"/>
      <c r="G73" s="76"/>
      <c r="H73" s="76"/>
      <c r="I73" s="77"/>
      <c r="J73" s="207" t="str">
        <f>IFERROR(_xlfn.TEXTBEFORE(VLOOKUP(E78,BDD!$A$2:$N$567,7,FALSE)," ",30),VLOOKUP(E78,BDD!$A$2:$N$567,7,FALSE))</f>
        <v>L'organisation a mis en place un processus de pilotage du portefeuille de projets fondé sur le suivi de la réalisation des business cases.</v>
      </c>
      <c r="K73" s="77"/>
      <c r="L73" s="76"/>
      <c r="M73" s="76"/>
      <c r="N73" s="76"/>
      <c r="O73" s="76"/>
      <c r="P73" s="230"/>
    </row>
    <row r="74" spans="1:16" ht="18" x14ac:dyDescent="0.35">
      <c r="A74" s="109"/>
      <c r="B74" s="68"/>
      <c r="C74" s="68" t="str">
        <f t="shared" si="3"/>
        <v>12</v>
      </c>
      <c r="D74" s="68">
        <f t="shared" si="4"/>
        <v>5</v>
      </c>
      <c r="E74" s="84" t="str">
        <f t="shared" si="2"/>
        <v>125</v>
      </c>
      <c r="F74" s="68"/>
      <c r="G74" s="68"/>
      <c r="H74" s="68"/>
      <c r="I74" s="68"/>
      <c r="J74" s="207" t="str">
        <f>IFERROR(_xlfn.TEXTAFTER(VLOOKUP(E78,BDD!$A$2:$N$567,7,FALSE)," ",30),"")</f>
        <v/>
      </c>
      <c r="K74" s="68"/>
      <c r="L74" s="68"/>
      <c r="M74" s="68"/>
      <c r="N74" s="68"/>
      <c r="O74" s="68"/>
      <c r="P74" s="109"/>
    </row>
    <row r="75" spans="1:16" x14ac:dyDescent="0.3">
      <c r="A75" s="109"/>
      <c r="B75" s="68"/>
      <c r="C75" s="68" t="str">
        <f t="shared" si="3"/>
        <v>12</v>
      </c>
      <c r="D75" s="68">
        <f t="shared" si="4"/>
        <v>5</v>
      </c>
      <c r="E75" s="84" t="str">
        <f t="shared" si="2"/>
        <v>125</v>
      </c>
      <c r="F75" s="68"/>
      <c r="G75" s="68"/>
      <c r="H75" s="68"/>
      <c r="I75" s="68"/>
      <c r="J75" s="78"/>
      <c r="K75" s="68"/>
      <c r="L75" s="68"/>
      <c r="M75" s="619" t="s">
        <v>92</v>
      </c>
      <c r="N75" s="619"/>
      <c r="O75" s="68"/>
      <c r="P75" s="109"/>
    </row>
    <row r="76" spans="1:16" ht="33" x14ac:dyDescent="0.3">
      <c r="A76" s="109"/>
      <c r="B76" s="68"/>
      <c r="C76" s="68" t="str">
        <f t="shared" si="3"/>
        <v>12</v>
      </c>
      <c r="D76" s="68">
        <f t="shared" si="4"/>
        <v>5</v>
      </c>
      <c r="E76" s="84" t="str">
        <f t="shared" si="2"/>
        <v>125</v>
      </c>
      <c r="F76" s="93"/>
      <c r="G76" s="80" t="s">
        <v>561</v>
      </c>
      <c r="H76" s="80" t="s">
        <v>82</v>
      </c>
      <c r="I76" s="80" t="s">
        <v>83</v>
      </c>
      <c r="J76" s="80" t="s">
        <v>84</v>
      </c>
      <c r="K76" s="80" t="s">
        <v>85</v>
      </c>
      <c r="L76" s="78"/>
      <c r="M76" s="81" t="s">
        <v>86</v>
      </c>
      <c r="N76" s="82" t="s">
        <v>87</v>
      </c>
      <c r="O76" s="68"/>
      <c r="P76" s="109"/>
    </row>
    <row r="77" spans="1:16" x14ac:dyDescent="0.3">
      <c r="A77" s="109"/>
      <c r="B77" s="68"/>
      <c r="C77" s="68" t="str">
        <f t="shared" si="3"/>
        <v>12</v>
      </c>
      <c r="D77" s="68">
        <f t="shared" si="4"/>
        <v>5</v>
      </c>
      <c r="E77" s="84" t="str">
        <f t="shared" si="2"/>
        <v>125</v>
      </c>
      <c r="F77" s="68"/>
      <c r="G77" s="83"/>
      <c r="H77" s="83"/>
      <c r="I77" s="83"/>
      <c r="J77" s="68"/>
      <c r="K77" s="83"/>
      <c r="L77" s="68"/>
      <c r="M77" s="68"/>
      <c r="N77" s="68"/>
      <c r="O77" s="68"/>
      <c r="P77" s="109"/>
    </row>
    <row r="78" spans="1:16" ht="130.05000000000001" customHeight="1" x14ac:dyDescent="0.3">
      <c r="A78" s="109"/>
      <c r="B78" s="68"/>
      <c r="C78" s="68" t="str">
        <f t="shared" si="3"/>
        <v>12</v>
      </c>
      <c r="D78" s="68">
        <f t="shared" si="4"/>
        <v>5</v>
      </c>
      <c r="E78" s="84" t="str">
        <f t="shared" si="2"/>
        <v>1251</v>
      </c>
      <c r="F78" s="66" t="s">
        <v>27</v>
      </c>
      <c r="G78" s="67" t="str">
        <f>IFERROR(IF(VLOOKUP($E78,BDD!$A$1:$S$567,MATCH(G$10,BDD!$A$1:$P$1,0),FALSE)=0,"",VLOOKUP($E78,BDD!$A$1:$S$567,MATCH(G$10,BDD!$A$1:$P$1,0),FALSE)),"")</f>
        <v>L'entreprise ou la DSI a défini des critères de mesure de la performance des projets et du portefeuille, critères qui comprennent l’alignement aux priorités de l'entreprise et la possibilité de benchmarker la nature des investissements réalisés.</v>
      </c>
      <c r="H78" s="85" t="str">
        <f>IF(VLOOKUP(E78,BDD!$A$1:$S$567,15,FALSE)=0,"Critère non évalué","")</f>
        <v>Critère non évalué</v>
      </c>
      <c r="I78" s="66" t="str">
        <f>IFERROR(IF(VLOOKUP($E78,BDD!$A$1:$S$567,MATCH(I$10,BDD!$A$1:$P$1,0),FALSE)=0,"",VLOOKUP($E78,BDD!$A$1:$S$567,MATCH(I$10,BDD!$A$1:$P$1,0),FALSE)),"")</f>
        <v>N4</v>
      </c>
      <c r="J78" s="86"/>
      <c r="K78" s="67" t="str">
        <f>IFERROR(IF(VLOOKUP($E78,BDD!$A$1:$S$567,MATCH(K$10,BDD!$A$1:$P$1,0),FALSE)=0,"",VLOOKUP($E78,BDD!$A$1:$S$567,MATCH(K$10,BDD!$A$1:$P$1,0),FALSE)),"")</f>
        <v>• Les critères de mesure de la performance constituent un référentiel partagé au sein de l'organisation.</v>
      </c>
      <c r="L78" s="68"/>
      <c r="M78" s="87"/>
      <c r="N78" s="87"/>
      <c r="O78" s="68"/>
      <c r="P78" s="109"/>
    </row>
    <row r="79" spans="1:16" ht="130.05000000000001" customHeight="1" x14ac:dyDescent="0.3">
      <c r="A79" s="109"/>
      <c r="B79" s="68"/>
      <c r="C79" s="68" t="str">
        <f t="shared" si="3"/>
        <v>12</v>
      </c>
      <c r="D79" s="68">
        <f t="shared" si="4"/>
        <v>5</v>
      </c>
      <c r="E79" s="84" t="str">
        <f t="shared" si="2"/>
        <v>1252</v>
      </c>
      <c r="F79" s="94" t="s">
        <v>28</v>
      </c>
      <c r="G79" s="65" t="str">
        <f>IFERROR(IF(VLOOKUP($E79,BDD!$A$1:$S$567,MATCH(G$10,BDD!$A$1:$P$1,0),FALSE)=0,"",VLOOKUP($E79,BDD!$A$1:$S$567,MATCH(G$10,BDD!$A$1:$P$1,0),FALSE)),"")</f>
        <v>Le suivi des projets est articulé avec la gestion opérationnelle du portefeuille de projets. Ce suivi inclut les coûts, les délais, les risques, et les fonctionnalités délivrées. Il est adapté aux différentes méthodes projets, notamment la méthode agile, le cycle en V., etc.</v>
      </c>
      <c r="H79" s="88" t="str">
        <f>IF(VLOOKUP(E79,BDD!$A$1:$S$567,15,FALSE)=0,"Critère non évalué","")</f>
        <v>Critère non évalué</v>
      </c>
      <c r="I79" s="64" t="str">
        <f>IFERROR(IF(VLOOKUP($E79,BDD!$A$1:$S$567,MATCH(I$10,BDD!$A$1:$P$1,0),FALSE)=0,"",VLOOKUP($E79,BDD!$A$1:$S$567,MATCH(I$10,BDD!$A$1:$P$1,0),FALSE)),"")</f>
        <v>N1</v>
      </c>
      <c r="J79" s="89"/>
      <c r="K79" s="65" t="str">
        <f>IFERROR(IF(VLOOKUP($E79,BDD!$A$1:$S$567,MATCH(K$10,BDD!$A$1:$P$1,0),FALSE)=0,"",VLOOKUP($E79,BDD!$A$1:$S$567,MATCH(K$10,BDD!$A$1:$P$1,0),FALSE)),"")</f>
        <v/>
      </c>
      <c r="L79" s="68"/>
      <c r="M79" s="90"/>
      <c r="N79" s="90"/>
      <c r="O79" s="68"/>
      <c r="P79" s="109"/>
    </row>
    <row r="80" spans="1:16" ht="130.05000000000001" customHeight="1" x14ac:dyDescent="0.3">
      <c r="A80" s="109"/>
      <c r="B80" s="68"/>
      <c r="C80" s="68" t="str">
        <f t="shared" si="3"/>
        <v>12</v>
      </c>
      <c r="D80" s="68">
        <f t="shared" si="4"/>
        <v>5</v>
      </c>
      <c r="E80" s="84" t="str">
        <f t="shared" si="2"/>
        <v>1253</v>
      </c>
      <c r="F80" s="66" t="s">
        <v>30</v>
      </c>
      <c r="G80" s="67" t="str">
        <f>IFERROR(IF(VLOOKUP($E80,BDD!$A$1:$S$567,MATCH(G$10,BDD!$A$1:$P$1,0),FALSE)=0,"",VLOOKUP($E80,BDD!$A$1:$S$567,MATCH(G$10,BDD!$A$1:$P$1,0),FALSE)),"")</f>
        <v>L'appréciation de la performance du projet tient compte de la valeur générée.</v>
      </c>
      <c r="H80" s="85" t="str">
        <f>IF(VLOOKUP(E80,BDD!$A$1:$S$567,15,FALSE)=0,"Critère non évalué","")</f>
        <v>Critère non évalué</v>
      </c>
      <c r="I80" s="66" t="str">
        <f>IFERROR(IF(VLOOKUP($E80,BDD!$A$1:$S$567,MATCH(I$10,BDD!$A$1:$P$1,0),FALSE)=0,"",VLOOKUP($E80,BDD!$A$1:$S$567,MATCH(I$10,BDD!$A$1:$P$1,0),FALSE)),"")</f>
        <v>N3</v>
      </c>
      <c r="J80" s="86"/>
      <c r="K80" s="67" t="str">
        <f>IFERROR(IF(VLOOKUP($E80,BDD!$A$1:$S$567,MATCH(K$10,BDD!$A$1:$P$1,0),FALSE)=0,"",VLOOKUP($E80,BDD!$A$1:$S$567,MATCH(K$10,BDD!$A$1:$P$1,0),FALSE)),"")</f>
        <v/>
      </c>
      <c r="L80" s="68"/>
      <c r="M80" s="87"/>
      <c r="N80" s="87"/>
      <c r="O80" s="68"/>
      <c r="P80" s="109"/>
    </row>
    <row r="81" spans="1:16" ht="130.05000000000001" customHeight="1" x14ac:dyDescent="0.3">
      <c r="A81" s="109"/>
      <c r="B81" s="68"/>
      <c r="C81" s="68" t="str">
        <f t="shared" si="3"/>
        <v>12</v>
      </c>
      <c r="D81" s="68">
        <f t="shared" si="4"/>
        <v>5</v>
      </c>
      <c r="E81" s="84" t="str">
        <f t="shared" si="2"/>
        <v>1254</v>
      </c>
      <c r="F81" s="64" t="s">
        <v>32</v>
      </c>
      <c r="G81" s="65" t="str">
        <f>IFERROR(IF(VLOOKUP($E81,BDD!$A$1:$S$567,MATCH(G$10,BDD!$A$1:$P$1,0),FALSE)=0,"",VLOOKUP($E81,BDD!$A$1:$S$567,MATCH(G$10,BDD!$A$1:$P$1,0),FALSE)),"")</f>
        <v>Un tableau de bord de suivi des projets existe et est partagé avec les directions métiers ainsi que toutes les parties prenantes concernées.</v>
      </c>
      <c r="H81" s="88" t="str">
        <f>IF(VLOOKUP(E81,BDD!$A$1:$S$567,15,FALSE)=0,"Critère non évalué","")</f>
        <v>Critère non évalué</v>
      </c>
      <c r="I81" s="64" t="str">
        <f>IFERROR(IF(VLOOKUP($E81,BDD!$A$1:$S$567,MATCH(I$10,BDD!$A$1:$P$1,0),FALSE)=0,"",VLOOKUP($E81,BDD!$A$1:$S$567,MATCH(I$10,BDD!$A$1:$P$1,0),FALSE)),"")</f>
        <v>N3</v>
      </c>
      <c r="J81" s="91"/>
      <c r="K81" s="65" t="str">
        <f>IFERROR(IF(VLOOKUP($E81,BDD!$A$1:$S$567,MATCH(K$10,BDD!$A$1:$P$1,0),FALSE)=0,"",VLOOKUP($E81,BDD!$A$1:$S$567,MATCH(K$10,BDD!$A$1:$P$1,0),FALSE)),"")</f>
        <v>• Idéalement, le suivi opérationnel et le suivi économique s’appuient sur un outil de suivi partagé, ou a minima sur un référentiel partagé.</v>
      </c>
      <c r="L81" s="68"/>
      <c r="M81" s="90"/>
      <c r="N81" s="90"/>
      <c r="O81" s="68"/>
      <c r="P81" s="109"/>
    </row>
    <row r="82" spans="1:16" ht="130.05000000000001" customHeight="1" x14ac:dyDescent="0.3">
      <c r="A82" s="109"/>
      <c r="B82" s="68"/>
      <c r="C82" s="68" t="str">
        <f t="shared" si="3"/>
        <v>12</v>
      </c>
      <c r="D82" s="68">
        <f t="shared" si="4"/>
        <v>5</v>
      </c>
      <c r="E82" s="84" t="str">
        <f t="shared" si="2"/>
        <v>1255</v>
      </c>
      <c r="F82" s="66" t="s">
        <v>33</v>
      </c>
      <c r="G82" s="67" t="str">
        <f>IFERROR(IF(VLOOKUP($E82,BDD!$A$1:$S$567,MATCH(G$10,BDD!$A$1:$P$1,0),FALSE)=0,"",VLOOKUP($E82,BDD!$A$1:$S$567,MATCH(G$10,BDD!$A$1:$P$1,0),FALSE)),"")</f>
        <v>Les écarts entre réalisation et prévision sont remontés aux instances de pilotage adéquates, afin de mesurer la réalisation de la valeur attendue.</v>
      </c>
      <c r="H82" s="85" t="str">
        <f>IF(VLOOKUP(E82,BDD!$A$1:$S$567,15,FALSE)=0,"Critère non évalué","")</f>
        <v>Critère non évalué</v>
      </c>
      <c r="I82" s="66" t="str">
        <f>IFERROR(IF(VLOOKUP($E82,BDD!$A$1:$S$567,MATCH(I$10,BDD!$A$1:$P$1,0),FALSE)=0,"",VLOOKUP($E82,BDD!$A$1:$S$567,MATCH(I$10,BDD!$A$1:$P$1,0),FALSE)),"")</f>
        <v>N3</v>
      </c>
      <c r="J82" s="86"/>
      <c r="K82" s="67" t="str">
        <f>IFERROR(IF(VLOOKUP($E82,BDD!$A$1:$S$567,MATCH(K$10,BDD!$A$1:$P$1,0),FALSE)=0,"",VLOOKUP($E82,BDD!$A$1:$S$567,MATCH(K$10,BDD!$A$1:$P$1,0),FALSE)),"")</f>
        <v/>
      </c>
      <c r="L82" s="68"/>
      <c r="M82" s="82"/>
      <c r="N82" s="82"/>
      <c r="O82" s="68"/>
      <c r="P82" s="109"/>
    </row>
    <row r="83" spans="1:16" ht="130.05000000000001" customHeight="1" x14ac:dyDescent="0.3">
      <c r="A83" s="109"/>
      <c r="B83" s="68"/>
      <c r="C83" s="68" t="str">
        <f t="shared" si="3"/>
        <v>12</v>
      </c>
      <c r="D83" s="68">
        <f t="shared" si="4"/>
        <v>5</v>
      </c>
      <c r="E83" s="84" t="str">
        <f>C83&amp;D83&amp;RIGHT(F83,1)</f>
        <v>1256</v>
      </c>
      <c r="F83" s="64" t="s">
        <v>34</v>
      </c>
      <c r="G83" s="65" t="str">
        <f>IFERROR(IF(VLOOKUP($E83,BDD!$A$1:$S$567,MATCH(G$10,BDD!$A$1:$P$1,0),FALSE)=0,"",VLOOKUP($E83,BDD!$A$1:$S$567,MATCH(G$10,BDD!$A$1:$P$1,0),FALSE)),"")</f>
        <v>Le business case fait l’objet d’une mise à jour si les écarts constatés le justifient.</v>
      </c>
      <c r="H83" s="88" t="str">
        <f>IF(VLOOKUP(E83,BDD!$A$1:$S$567,15,FALSE)=0,"Critère non évalué","")</f>
        <v>Critère non évalué</v>
      </c>
      <c r="I83" s="64" t="str">
        <f>IFERROR(IF(VLOOKUP($E83,BDD!$A$1:$S$567,MATCH(I$10,BDD!$A$1:$P$1,0),FALSE)=0,"",VLOOKUP($E83,BDD!$A$1:$S$567,MATCH(I$10,BDD!$A$1:$P$1,0),FALSE)),"")</f>
        <v>N5</v>
      </c>
      <c r="J83" s="91"/>
      <c r="K83" s="65" t="str">
        <f>IFERROR(IF(VLOOKUP($E83,BDD!$A$1:$S$567,MATCH(K$10,BDD!$A$1:$P$1,0),FALSE)=0,"",VLOOKUP($E83,BDD!$A$1:$S$567,MATCH(K$10,BDD!$A$1:$P$1,0),FALSE)),"")</f>
        <v/>
      </c>
      <c r="L83" s="68"/>
      <c r="M83" s="90"/>
      <c r="N83" s="90"/>
      <c r="O83" s="68"/>
      <c r="P83" s="109"/>
    </row>
    <row r="84" spans="1:16" ht="130.05000000000001" customHeight="1" x14ac:dyDescent="0.3">
      <c r="A84" s="109"/>
      <c r="B84" s="68"/>
      <c r="C84" s="68" t="str">
        <f t="shared" si="3"/>
        <v>12</v>
      </c>
      <c r="D84" s="68">
        <f t="shared" si="4"/>
        <v>5</v>
      </c>
      <c r="E84" s="84" t="str">
        <f>C84&amp;D84&amp;RIGHT(F84,1)</f>
        <v>1257</v>
      </c>
      <c r="F84" s="66" t="s">
        <v>36</v>
      </c>
      <c r="G84" s="67" t="str">
        <f>IFERROR(IF(VLOOKUP($E84,BDD!$A$1:$S$567,MATCH(G$10,BDD!$A$1:$P$1,0),FALSE)=0,"",VLOOKUP($E84,BDD!$A$1:$S$567,MATCH(G$10,BDD!$A$1:$P$1,0),FALSE)),"")</f>
        <v/>
      </c>
      <c r="H84" s="85" t="str">
        <f>IF(VLOOKUP(E84,BDD!$A$1:$S$567,15,FALSE)=0,"Critère non évalué","")</f>
        <v>Critère non évalué</v>
      </c>
      <c r="I84" s="66" t="str">
        <f>IFERROR(IF(VLOOKUP($E84,BDD!$A$1:$S$567,MATCH(I$10,BDD!$A$1:$P$1,0),FALSE)=0,"",VLOOKUP($E84,BDD!$A$1:$S$567,MATCH(I$10,BDD!$A$1:$P$1,0),FALSE)),"")</f>
        <v/>
      </c>
      <c r="J84" s="86"/>
      <c r="K84" s="67" t="str">
        <f>IFERROR(IF(VLOOKUP($E84,BDD!$A$1:$S$567,MATCH(K$10,BDD!$A$1:$P$1,0),FALSE)=0,"",VLOOKUP($E84,BDD!$A$1:$S$567,MATCH(K$10,BDD!$A$1:$P$1,0),FALSE)),"")</f>
        <v/>
      </c>
      <c r="L84" s="68"/>
      <c r="M84" s="82"/>
      <c r="N84" s="82"/>
      <c r="O84" s="68"/>
      <c r="P84" s="109"/>
    </row>
    <row r="85" spans="1:16" x14ac:dyDescent="0.3">
      <c r="A85" s="109"/>
      <c r="B85" s="68"/>
      <c r="C85" s="68" t="str">
        <f t="shared" si="3"/>
        <v>12</v>
      </c>
      <c r="D85" s="68"/>
      <c r="E85" s="68"/>
      <c r="F85" s="68"/>
      <c r="G85" s="68"/>
      <c r="H85" s="68"/>
      <c r="I85" s="68"/>
      <c r="J85" s="68"/>
      <c r="K85" s="68"/>
      <c r="L85" s="68"/>
      <c r="M85" s="68"/>
      <c r="N85" s="68"/>
      <c r="O85" s="68"/>
      <c r="P85" s="109"/>
    </row>
    <row r="86" spans="1:16" x14ac:dyDescent="0.3">
      <c r="A86" s="109"/>
      <c r="B86" s="68"/>
      <c r="C86" s="68" t="str">
        <f t="shared" si="3"/>
        <v>12</v>
      </c>
      <c r="D86" s="68"/>
      <c r="E86" s="68"/>
      <c r="F86" s="68"/>
      <c r="G86" s="68"/>
      <c r="H86" s="68"/>
      <c r="I86" s="68"/>
      <c r="J86" s="68"/>
      <c r="K86" s="68"/>
      <c r="L86" s="68"/>
      <c r="M86" s="68"/>
      <c r="N86" s="68"/>
      <c r="O86" s="68"/>
      <c r="P86" s="109"/>
    </row>
    <row r="87" spans="1:16" ht="30" x14ac:dyDescent="0.5">
      <c r="A87" s="229"/>
      <c r="B87" s="74"/>
      <c r="C87" s="68" t="str">
        <f t="shared" si="3"/>
        <v>12</v>
      </c>
      <c r="D87" s="68">
        <f>IF(LEFT(F87,14)="Bonne pratique",D83+1,D83)</f>
        <v>6</v>
      </c>
      <c r="E87" s="84" t="str">
        <f t="shared" ref="E87:E100" si="5">C87&amp;D87&amp;RIGHT(F87,1)</f>
        <v>1266</v>
      </c>
      <c r="F87" s="208" t="s">
        <v>556</v>
      </c>
      <c r="G87" s="75"/>
      <c r="H87" s="205"/>
      <c r="I87" s="73"/>
      <c r="J87" s="73" t="str">
        <f>VLOOKUP(E94,BDD!$A$2:$N$567,6,FALSE)</f>
        <v>Valeur</v>
      </c>
      <c r="K87" s="72"/>
      <c r="L87" s="75"/>
      <c r="M87" s="75"/>
      <c r="N87" s="75"/>
      <c r="O87" s="74"/>
      <c r="P87" s="229"/>
    </row>
    <row r="88" spans="1:16" x14ac:dyDescent="0.3">
      <c r="A88" s="109"/>
      <c r="B88" s="68"/>
      <c r="C88" s="68" t="str">
        <f t="shared" si="3"/>
        <v>12</v>
      </c>
      <c r="D88" s="68">
        <f t="shared" ref="D88:D100" si="6">IF(LEFT(F88,14)="Bonne pratique",D87+1,D87)</f>
        <v>6</v>
      </c>
      <c r="E88" s="84" t="str">
        <f t="shared" si="5"/>
        <v>126</v>
      </c>
      <c r="F88" s="68"/>
      <c r="G88" s="68"/>
      <c r="H88" s="68"/>
      <c r="I88" s="68"/>
      <c r="J88" s="68"/>
      <c r="K88" s="68"/>
      <c r="L88" s="68"/>
      <c r="M88" s="68"/>
      <c r="N88" s="68"/>
      <c r="O88" s="68"/>
      <c r="P88" s="109"/>
    </row>
    <row r="89" spans="1:16" ht="18" x14ac:dyDescent="0.35">
      <c r="A89" s="230"/>
      <c r="B89" s="76"/>
      <c r="C89" s="68" t="str">
        <f t="shared" si="3"/>
        <v>12</v>
      </c>
      <c r="D89" s="68">
        <f t="shared" si="6"/>
        <v>6</v>
      </c>
      <c r="E89" s="84" t="str">
        <f t="shared" si="5"/>
        <v>126</v>
      </c>
      <c r="F89" s="76"/>
      <c r="G89" s="76"/>
      <c r="H89" s="76"/>
      <c r="I89" s="77"/>
      <c r="J89" s="207" t="str">
        <f>IFERROR(_xlfn.TEXTBEFORE(VLOOKUP(E94,BDD!$A$2:$N$567,7,FALSE)," ",30),VLOOKUP(E94,BDD!$A$2:$N$567,7,FALSE))</f>
        <v>L'organisation a mis en œuvre un cadre de définition de la valeur du numérique et déploie les processus de contrôle nécessaires.</v>
      </c>
      <c r="K89" s="77"/>
      <c r="L89" s="76"/>
      <c r="M89" s="76"/>
      <c r="N89" s="76"/>
      <c r="O89" s="76"/>
      <c r="P89" s="230"/>
    </row>
    <row r="90" spans="1:16" ht="18" x14ac:dyDescent="0.35">
      <c r="A90" s="109"/>
      <c r="B90" s="68"/>
      <c r="C90" s="68" t="str">
        <f t="shared" si="3"/>
        <v>12</v>
      </c>
      <c r="D90" s="68">
        <f t="shared" si="6"/>
        <v>6</v>
      </c>
      <c r="E90" s="84" t="str">
        <f t="shared" si="5"/>
        <v>126</v>
      </c>
      <c r="F90" s="68"/>
      <c r="G90" s="68"/>
      <c r="H90" s="68"/>
      <c r="I90" s="68"/>
      <c r="J90" s="207" t="str">
        <f>IFERROR(_xlfn.TEXTAFTER(VLOOKUP(E94,BDD!$A$2:$N$567,7,FALSE)," ",30),"")</f>
        <v/>
      </c>
      <c r="K90" s="68"/>
      <c r="L90" s="68"/>
      <c r="M90" s="68"/>
      <c r="N90" s="68"/>
      <c r="O90" s="68"/>
      <c r="P90" s="109"/>
    </row>
    <row r="91" spans="1:16" x14ac:dyDescent="0.3">
      <c r="A91" s="109"/>
      <c r="B91" s="68"/>
      <c r="C91" s="68" t="str">
        <f t="shared" si="3"/>
        <v>12</v>
      </c>
      <c r="D91" s="68">
        <f t="shared" si="6"/>
        <v>6</v>
      </c>
      <c r="E91" s="84" t="str">
        <f t="shared" si="5"/>
        <v>126</v>
      </c>
      <c r="F91" s="68"/>
      <c r="G91" s="68"/>
      <c r="H91" s="68"/>
      <c r="I91" s="68"/>
      <c r="J91" s="78"/>
      <c r="K91" s="68"/>
      <c r="L91" s="68"/>
      <c r="M91" s="619" t="s">
        <v>92</v>
      </c>
      <c r="N91" s="619"/>
      <c r="O91" s="68"/>
      <c r="P91" s="109"/>
    </row>
    <row r="92" spans="1:16" ht="33" x14ac:dyDescent="0.3">
      <c r="A92" s="109"/>
      <c r="B92" s="68"/>
      <c r="C92" s="68" t="str">
        <f t="shared" si="3"/>
        <v>12</v>
      </c>
      <c r="D92" s="68">
        <f t="shared" si="6"/>
        <v>6</v>
      </c>
      <c r="E92" s="84" t="str">
        <f t="shared" si="5"/>
        <v>126</v>
      </c>
      <c r="F92" s="93"/>
      <c r="G92" s="80" t="s">
        <v>561</v>
      </c>
      <c r="H92" s="80" t="s">
        <v>82</v>
      </c>
      <c r="I92" s="80" t="s">
        <v>83</v>
      </c>
      <c r="J92" s="80" t="s">
        <v>84</v>
      </c>
      <c r="K92" s="80" t="s">
        <v>85</v>
      </c>
      <c r="L92" s="78"/>
      <c r="M92" s="81" t="s">
        <v>86</v>
      </c>
      <c r="N92" s="82" t="s">
        <v>87</v>
      </c>
      <c r="O92" s="68"/>
      <c r="P92" s="109"/>
    </row>
    <row r="93" spans="1:16" x14ac:dyDescent="0.3">
      <c r="A93" s="109"/>
      <c r="B93" s="68"/>
      <c r="C93" s="68" t="str">
        <f t="shared" si="3"/>
        <v>12</v>
      </c>
      <c r="D93" s="68">
        <f t="shared" si="6"/>
        <v>6</v>
      </c>
      <c r="E93" s="84" t="str">
        <f t="shared" si="5"/>
        <v>126</v>
      </c>
      <c r="F93" s="68"/>
      <c r="G93" s="83"/>
      <c r="H93" s="83"/>
      <c r="I93" s="83"/>
      <c r="J93" s="68"/>
      <c r="K93" s="83"/>
      <c r="L93" s="68"/>
      <c r="M93" s="68"/>
      <c r="N93" s="68"/>
      <c r="O93" s="68"/>
      <c r="P93" s="109"/>
    </row>
    <row r="94" spans="1:16" ht="130.05000000000001" customHeight="1" x14ac:dyDescent="0.3">
      <c r="A94" s="109"/>
      <c r="B94" s="68"/>
      <c r="C94" s="68" t="str">
        <f t="shared" si="3"/>
        <v>12</v>
      </c>
      <c r="D94" s="68">
        <f t="shared" si="6"/>
        <v>6</v>
      </c>
      <c r="E94" s="84" t="str">
        <f t="shared" si="5"/>
        <v>1261</v>
      </c>
      <c r="F94" s="66" t="s">
        <v>27</v>
      </c>
      <c r="G94" s="67" t="str">
        <f>IFERROR(IF(VLOOKUP($E94,BDD!$A$1:$S$567,MATCH(G$10,BDD!$A$1:$P$1,0),FALSE)=0,"",VLOOKUP($E94,BDD!$A$1:$S$567,MATCH(G$10,BDD!$A$1:$P$1,0),FALSE)),"")</f>
        <v>L'entreprise a défini les critères de mesure de la valeur et ces critères sont partagés au sein de l'organisation.</v>
      </c>
      <c r="H94" s="85" t="str">
        <f>IF(VLOOKUP(E94,BDD!$A$1:$S$567,15,FALSE)=0,"Critère non évalué","")</f>
        <v>Critère non évalué</v>
      </c>
      <c r="I94" s="66" t="str">
        <f>IFERROR(IF(VLOOKUP($E94,BDD!$A$1:$S$567,MATCH(I$10,BDD!$A$1:$P$1,0),FALSE)=0,"",VLOOKUP($E94,BDD!$A$1:$S$567,MATCH(I$10,BDD!$A$1:$P$1,0),FALSE)),"")</f>
        <v>N4</v>
      </c>
      <c r="J94" s="86"/>
      <c r="K94" s="67" t="str">
        <f>IFERROR(IF(VLOOKUP($E94,BDD!$A$1:$S$567,MATCH(K$10,BDD!$A$1:$P$1,0),FALSE)=0,"",VLOOKUP($E94,BDD!$A$1:$S$567,MATCH(K$10,BDD!$A$1:$P$1,0),FALSE)),"")</f>
        <v>• Outre les aspects financiers, la valeur prend notamment en compte la dimension RSE.</v>
      </c>
      <c r="L94" s="68"/>
      <c r="M94" s="87"/>
      <c r="N94" s="87"/>
      <c r="O94" s="68"/>
      <c r="P94" s="109"/>
    </row>
    <row r="95" spans="1:16" ht="130.05000000000001" customHeight="1" x14ac:dyDescent="0.3">
      <c r="A95" s="109"/>
      <c r="B95" s="68"/>
      <c r="C95" s="68" t="str">
        <f t="shared" si="3"/>
        <v>12</v>
      </c>
      <c r="D95" s="68">
        <f t="shared" si="6"/>
        <v>6</v>
      </c>
      <c r="E95" s="84" t="str">
        <f t="shared" si="5"/>
        <v>1262</v>
      </c>
      <c r="F95" s="94" t="s">
        <v>28</v>
      </c>
      <c r="G95" s="65" t="str">
        <f>IFERROR(IF(VLOOKUP($E95,BDD!$A$1:$S$567,MATCH(G$10,BDD!$A$1:$P$1,0),FALSE)=0,"",VLOOKUP($E95,BDD!$A$1:$S$567,MATCH(G$10,BDD!$A$1:$P$1,0),FALSE)),"")</f>
        <v>La valeur des services du catalogue est mesurée et questionnée à fréquence régulière.</v>
      </c>
      <c r="H95" s="88" t="str">
        <f>IF(VLOOKUP(E95,BDD!$A$1:$S$567,15,FALSE)=0,"Critère non évalué","")</f>
        <v>Critère non évalué</v>
      </c>
      <c r="I95" s="64" t="str">
        <f>IFERROR(IF(VLOOKUP($E95,BDD!$A$1:$S$567,MATCH(I$10,BDD!$A$1:$P$1,0),FALSE)=0,"",VLOOKUP($E95,BDD!$A$1:$S$567,MATCH(I$10,BDD!$A$1:$P$1,0),FALSE)),"")</f>
        <v>N5</v>
      </c>
      <c r="J95" s="89"/>
      <c r="K95" s="65" t="str">
        <f>IFERROR(IF(VLOOKUP($E95,BDD!$A$1:$S$567,MATCH(K$10,BDD!$A$1:$P$1,0),FALSE)=0,"",VLOOKUP($E95,BDD!$A$1:$S$567,MATCH(K$10,BDD!$A$1:$P$1,0),FALSE)),"")</f>
        <v/>
      </c>
      <c r="L95" s="68"/>
      <c r="M95" s="90"/>
      <c r="N95" s="90"/>
      <c r="O95" s="68"/>
      <c r="P95" s="109"/>
    </row>
    <row r="96" spans="1:16" ht="130.05000000000001" customHeight="1" x14ac:dyDescent="0.3">
      <c r="A96" s="109"/>
      <c r="B96" s="68"/>
      <c r="C96" s="68" t="str">
        <f t="shared" si="3"/>
        <v>12</v>
      </c>
      <c r="D96" s="68">
        <f t="shared" si="6"/>
        <v>6</v>
      </c>
      <c r="E96" s="84" t="str">
        <f t="shared" si="5"/>
        <v>1263</v>
      </c>
      <c r="F96" s="66" t="s">
        <v>30</v>
      </c>
      <c r="G96" s="67" t="str">
        <f>IFERROR(IF(VLOOKUP($E96,BDD!$A$1:$S$567,MATCH(G$10,BDD!$A$1:$P$1,0),FALSE)=0,"",VLOOKUP($E96,BDD!$A$1:$S$567,MATCH(G$10,BDD!$A$1:$P$1,0),FALSE)),"")</f>
        <v>La valeur est un critère de pilotage pour les projets et le portefeuille de projets.</v>
      </c>
      <c r="H96" s="85" t="str">
        <f>IF(VLOOKUP(E96,BDD!$A$1:$S$567,15,FALSE)=0,"Critère non évalué","")</f>
        <v>Critère non évalué</v>
      </c>
      <c r="I96" s="66" t="str">
        <f>IFERROR(IF(VLOOKUP($E96,BDD!$A$1:$S$567,MATCH(I$10,BDD!$A$1:$P$1,0),FALSE)=0,"",VLOOKUP($E96,BDD!$A$1:$S$567,MATCH(I$10,BDD!$A$1:$P$1,0),FALSE)),"")</f>
        <v>N3</v>
      </c>
      <c r="J96" s="86"/>
      <c r="K96" s="67" t="str">
        <f>IFERROR(IF(VLOOKUP($E96,BDD!$A$1:$S$567,MATCH(K$10,BDD!$A$1:$P$1,0),FALSE)=0,"",VLOOKUP($E96,BDD!$A$1:$S$567,MATCH(K$10,BDD!$A$1:$P$1,0),FALSE)),"")</f>
        <v/>
      </c>
      <c r="L96" s="68"/>
      <c r="M96" s="87"/>
      <c r="N96" s="87"/>
      <c r="O96" s="68"/>
      <c r="P96" s="109"/>
    </row>
    <row r="97" spans="1:16" ht="130.05000000000001" customHeight="1" x14ac:dyDescent="0.3">
      <c r="A97" s="109"/>
      <c r="B97" s="68"/>
      <c r="C97" s="68" t="str">
        <f t="shared" si="3"/>
        <v>12</v>
      </c>
      <c r="D97" s="68">
        <f t="shared" si="6"/>
        <v>6</v>
      </c>
      <c r="E97" s="84" t="str">
        <f t="shared" si="5"/>
        <v>1264</v>
      </c>
      <c r="F97" s="64" t="s">
        <v>32</v>
      </c>
      <c r="G97" s="65" t="str">
        <f>IFERROR(IF(VLOOKUP($E97,BDD!$A$1:$S$567,MATCH(G$10,BDD!$A$1:$P$1,0),FALSE)=0,"",VLOOKUP($E97,BDD!$A$1:$S$567,MATCH(G$10,BDD!$A$1:$P$1,0),FALSE)),"")</f>
        <v>Une mesure de la valeur est présente dans le tableau de bord du SI.</v>
      </c>
      <c r="H97" s="88" t="str">
        <f>IF(VLOOKUP(E97,BDD!$A$1:$S$567,15,FALSE)=0,"Critère non évalué","")</f>
        <v>Critère non évalué</v>
      </c>
      <c r="I97" s="64" t="str">
        <f>IFERROR(IF(VLOOKUP($E97,BDD!$A$1:$S$567,MATCH(I$10,BDD!$A$1:$P$1,0),FALSE)=0,"",VLOOKUP($E97,BDD!$A$1:$S$567,MATCH(I$10,BDD!$A$1:$P$1,0),FALSE)),"")</f>
        <v>N3</v>
      </c>
      <c r="J97" s="91"/>
      <c r="K97" s="65" t="str">
        <f>IFERROR(IF(VLOOKUP($E97,BDD!$A$1:$S$567,MATCH(K$10,BDD!$A$1:$P$1,0),FALSE)=0,"",VLOOKUP($E97,BDD!$A$1:$S$567,MATCH(K$10,BDD!$A$1:$P$1,0),FALSE)),"")</f>
        <v/>
      </c>
      <c r="L97" s="68"/>
      <c r="M97" s="90"/>
      <c r="N97" s="90"/>
      <c r="O97" s="68"/>
      <c r="P97" s="109"/>
    </row>
    <row r="98" spans="1:16" ht="130.05000000000001" customHeight="1" x14ac:dyDescent="0.3">
      <c r="A98" s="109"/>
      <c r="B98" s="68"/>
      <c r="C98" s="68" t="str">
        <f t="shared" si="3"/>
        <v>12</v>
      </c>
      <c r="D98" s="68">
        <f t="shared" si="6"/>
        <v>6</v>
      </c>
      <c r="E98" s="84" t="str">
        <f t="shared" si="5"/>
        <v>1265</v>
      </c>
      <c r="F98" s="66" t="s">
        <v>33</v>
      </c>
      <c r="G98" s="67" t="str">
        <f>IFERROR(IF(VLOOKUP($E98,BDD!$A$1:$S$567,MATCH(G$10,BDD!$A$1:$P$1,0),FALSE)=0,"",VLOOKUP($E98,BDD!$A$1:$S$567,MATCH(G$10,BDD!$A$1:$P$1,0),FALSE)),"")</f>
        <v/>
      </c>
      <c r="H98" s="85" t="str">
        <f>IF(VLOOKUP(E98,BDD!$A$1:$S$567,15,FALSE)=0,"Critère non évalué","")</f>
        <v>Critère non évalué</v>
      </c>
      <c r="I98" s="66" t="str">
        <f>IFERROR(IF(VLOOKUP($E98,BDD!$A$1:$S$567,MATCH(I$10,BDD!$A$1:$P$1,0),FALSE)=0,"",VLOOKUP($E98,BDD!$A$1:$S$567,MATCH(I$10,BDD!$A$1:$P$1,0),FALSE)),"")</f>
        <v/>
      </c>
      <c r="J98" s="86"/>
      <c r="K98" s="67" t="str">
        <f>IFERROR(IF(VLOOKUP($E98,BDD!$A$1:$S$567,MATCH(K$10,BDD!$A$1:$P$1,0),FALSE)=0,"",VLOOKUP($E98,BDD!$A$1:$S$567,MATCH(K$10,BDD!$A$1:$P$1,0),FALSE)),"")</f>
        <v/>
      </c>
      <c r="L98" s="68"/>
      <c r="M98" s="82"/>
      <c r="N98" s="82"/>
      <c r="O98" s="68"/>
      <c r="P98" s="109"/>
    </row>
    <row r="99" spans="1:16" ht="130.05000000000001" customHeight="1" x14ac:dyDescent="0.3">
      <c r="A99" s="109"/>
      <c r="B99" s="68"/>
      <c r="C99" s="68" t="str">
        <f t="shared" si="3"/>
        <v>12</v>
      </c>
      <c r="D99" s="68">
        <f t="shared" si="6"/>
        <v>6</v>
      </c>
      <c r="E99" s="84" t="str">
        <f t="shared" si="5"/>
        <v>1266</v>
      </c>
      <c r="F99" s="64" t="s">
        <v>34</v>
      </c>
      <c r="G99" s="65" t="str">
        <f>IFERROR(IF(VLOOKUP($E99,BDD!$A$1:$S$567,MATCH(G$10,BDD!$A$1:$P$1,0),FALSE)=0,"",VLOOKUP($E99,BDD!$A$1:$S$567,MATCH(G$10,BDD!$A$1:$P$1,0),FALSE)),"")</f>
        <v/>
      </c>
      <c r="H99" s="88" t="str">
        <f>IF(VLOOKUP(E99,BDD!$A$1:$S$567,15,FALSE)=0,"Critère non évalué","")</f>
        <v>Critère non évalué</v>
      </c>
      <c r="I99" s="64" t="str">
        <f>IFERROR(IF(VLOOKUP($E99,BDD!$A$1:$S$567,MATCH(I$10,BDD!$A$1:$P$1,0),FALSE)=0,"",VLOOKUP($E99,BDD!$A$1:$S$567,MATCH(I$10,BDD!$A$1:$P$1,0),FALSE)),"")</f>
        <v/>
      </c>
      <c r="J99" s="91"/>
      <c r="K99" s="65" t="str">
        <f>IFERROR(IF(VLOOKUP($E99,BDD!$A$1:$S$567,MATCH(K$10,BDD!$A$1:$P$1,0),FALSE)=0,"",VLOOKUP($E99,BDD!$A$1:$S$567,MATCH(K$10,BDD!$A$1:$P$1,0),FALSE)),"")</f>
        <v/>
      </c>
      <c r="L99" s="68"/>
      <c r="M99" s="90"/>
      <c r="N99" s="90"/>
      <c r="O99" s="68"/>
      <c r="P99" s="109"/>
    </row>
    <row r="100" spans="1:16" ht="130.05000000000001" customHeight="1" x14ac:dyDescent="0.3">
      <c r="A100" s="109"/>
      <c r="B100" s="68"/>
      <c r="C100" s="68" t="str">
        <f t="shared" si="3"/>
        <v>12</v>
      </c>
      <c r="D100" s="68">
        <f t="shared" si="6"/>
        <v>6</v>
      </c>
      <c r="E100" s="84" t="str">
        <f t="shared" si="5"/>
        <v>1267</v>
      </c>
      <c r="F100" s="66" t="s">
        <v>36</v>
      </c>
      <c r="G100" s="67" t="str">
        <f>IFERROR(IF(VLOOKUP($E100,BDD!$A$1:$S$567,MATCH(G$10,BDD!$A$1:$P$1,0),FALSE)=0,"",VLOOKUP($E100,BDD!$A$1:$S$567,MATCH(G$10,BDD!$A$1:$P$1,0),FALSE)),"")</f>
        <v/>
      </c>
      <c r="H100" s="85" t="str">
        <f>IF(VLOOKUP(E100,BDD!$A$1:$S$567,15,FALSE)=0,"Critère non évalué","")</f>
        <v>Critère non évalué</v>
      </c>
      <c r="I100" s="66" t="str">
        <f>IFERROR(IF(VLOOKUP($E100,BDD!$A$1:$S$567,MATCH(I$10,BDD!$A$1:$P$1,0),FALSE)=0,"",VLOOKUP($E100,BDD!$A$1:$S$567,MATCH(I$10,BDD!$A$1:$P$1,0),FALSE)),"")</f>
        <v/>
      </c>
      <c r="J100" s="86"/>
      <c r="K100" s="67" t="str">
        <f>IFERROR(IF(VLOOKUP($E100,BDD!$A$1:$S$567,MATCH(K$10,BDD!$A$1:$P$1,0),FALSE)=0,"",VLOOKUP($E100,BDD!$A$1:$S$567,MATCH(K$10,BDD!$A$1:$P$1,0),FALSE)),"")</f>
        <v/>
      </c>
      <c r="L100" s="68"/>
      <c r="M100" s="82"/>
      <c r="N100" s="82"/>
      <c r="O100" s="68"/>
      <c r="P100" s="109"/>
    </row>
    <row r="101" spans="1:16" x14ac:dyDescent="0.3">
      <c r="A101" s="109"/>
      <c r="B101" s="68"/>
      <c r="C101" s="68" t="str">
        <f t="shared" si="3"/>
        <v>12</v>
      </c>
      <c r="D101" s="68"/>
      <c r="E101" s="68"/>
      <c r="F101" s="68"/>
      <c r="G101" s="68"/>
      <c r="H101" s="68"/>
      <c r="I101" s="68"/>
      <c r="J101" s="68"/>
      <c r="K101" s="68"/>
      <c r="L101" s="68"/>
      <c r="M101" s="68"/>
      <c r="N101" s="68"/>
      <c r="O101" s="68"/>
      <c r="P101" s="109"/>
    </row>
    <row r="102" spans="1:16" x14ac:dyDescent="0.3">
      <c r="A102" s="109"/>
      <c r="B102" s="68"/>
      <c r="C102" s="68" t="str">
        <f t="shared" si="3"/>
        <v>12</v>
      </c>
      <c r="D102" s="68"/>
      <c r="E102" s="68"/>
      <c r="F102" s="68"/>
      <c r="G102" s="68"/>
      <c r="H102" s="68"/>
      <c r="I102" s="68"/>
      <c r="J102" s="68"/>
      <c r="K102" s="68"/>
      <c r="L102" s="68"/>
      <c r="M102" s="68"/>
      <c r="N102" s="68"/>
      <c r="O102" s="68"/>
      <c r="P102" s="109"/>
    </row>
    <row r="103" spans="1:16" ht="30" x14ac:dyDescent="0.5">
      <c r="A103" s="229"/>
      <c r="B103" s="74"/>
      <c r="C103" s="68" t="str">
        <f t="shared" si="3"/>
        <v>12</v>
      </c>
      <c r="D103" s="68">
        <f>IF(LEFT(F103,14)="Bonne pratique",D99+1,D99)</f>
        <v>7</v>
      </c>
      <c r="E103" s="84" t="str">
        <f t="shared" ref="E103:E116" si="7">C103&amp;D103&amp;RIGHT(F103,1)</f>
        <v>1277</v>
      </c>
      <c r="F103" s="208" t="s">
        <v>557</v>
      </c>
      <c r="G103" s="75"/>
      <c r="H103" s="205"/>
      <c r="I103" s="73"/>
      <c r="J103" s="73" t="e">
        <f>VLOOKUP(E110,BDD!$A$2:$N$567,6,FALSE)</f>
        <v>#N/A</v>
      </c>
      <c r="K103" s="72"/>
      <c r="L103" s="75"/>
      <c r="M103" s="75"/>
      <c r="N103" s="75"/>
      <c r="O103" s="74"/>
      <c r="P103" s="229"/>
    </row>
    <row r="104" spans="1:16" x14ac:dyDescent="0.3">
      <c r="A104" s="109"/>
      <c r="B104" s="68"/>
      <c r="C104" s="68" t="str">
        <f t="shared" si="3"/>
        <v>12</v>
      </c>
      <c r="D104" s="68">
        <f t="shared" ref="D104:D116" si="8">IF(LEFT(F104,14)="Bonne pratique",D103+1,D103)</f>
        <v>7</v>
      </c>
      <c r="E104" s="84" t="str">
        <f t="shared" si="7"/>
        <v>127</v>
      </c>
      <c r="F104" s="68"/>
      <c r="G104" s="68"/>
      <c r="H104" s="68"/>
      <c r="I104" s="68"/>
      <c r="J104" s="68"/>
      <c r="K104" s="68"/>
      <c r="L104" s="68"/>
      <c r="M104" s="68"/>
      <c r="N104" s="68"/>
      <c r="O104" s="68"/>
      <c r="P104" s="109"/>
    </row>
    <row r="105" spans="1:16" ht="18" x14ac:dyDescent="0.35">
      <c r="A105" s="230"/>
      <c r="B105" s="76"/>
      <c r="C105" s="68" t="str">
        <f t="shared" si="3"/>
        <v>12</v>
      </c>
      <c r="D105" s="68">
        <f t="shared" si="8"/>
        <v>7</v>
      </c>
      <c r="E105" s="84" t="str">
        <f t="shared" si="7"/>
        <v>127</v>
      </c>
      <c r="F105" s="76"/>
      <c r="G105" s="76"/>
      <c r="H105" s="76"/>
      <c r="I105" s="77"/>
      <c r="J105" s="207" t="e">
        <f>IFERROR(_xlfn.TEXTBEFORE(VLOOKUP(E110,BDD!$A$2:$N$567,7,FALSE)," ",30),VLOOKUP(E110,BDD!$A$2:$N$567,7,FALSE))</f>
        <v>#N/A</v>
      </c>
      <c r="K105" s="77"/>
      <c r="L105" s="76"/>
      <c r="M105" s="76"/>
      <c r="N105" s="76"/>
      <c r="O105" s="76"/>
      <c r="P105" s="230"/>
    </row>
    <row r="106" spans="1:16" ht="18" x14ac:dyDescent="0.35">
      <c r="A106" s="109"/>
      <c r="B106" s="68"/>
      <c r="C106" s="68" t="str">
        <f t="shared" si="3"/>
        <v>12</v>
      </c>
      <c r="D106" s="68">
        <f t="shared" si="8"/>
        <v>7</v>
      </c>
      <c r="E106" s="84" t="str">
        <f t="shared" si="7"/>
        <v>127</v>
      </c>
      <c r="F106" s="68"/>
      <c r="G106" s="68"/>
      <c r="H106" s="68"/>
      <c r="I106" s="68"/>
      <c r="J106" s="207" t="str">
        <f>IFERROR(_xlfn.TEXTAFTER(VLOOKUP(E110,BDD!$A$2:$N$567,7,FALSE)," ",30),"")</f>
        <v/>
      </c>
      <c r="K106" s="68"/>
      <c r="L106" s="68"/>
      <c r="M106" s="68"/>
      <c r="N106" s="68"/>
      <c r="O106" s="68"/>
      <c r="P106" s="109"/>
    </row>
    <row r="107" spans="1:16" x14ac:dyDescent="0.3">
      <c r="A107" s="109"/>
      <c r="B107" s="68"/>
      <c r="C107" s="68" t="str">
        <f t="shared" si="3"/>
        <v>12</v>
      </c>
      <c r="D107" s="68">
        <f t="shared" si="8"/>
        <v>7</v>
      </c>
      <c r="E107" s="84" t="str">
        <f t="shared" si="7"/>
        <v>127</v>
      </c>
      <c r="F107" s="68"/>
      <c r="G107" s="68"/>
      <c r="H107" s="68"/>
      <c r="I107" s="68"/>
      <c r="J107" s="78"/>
      <c r="K107" s="68"/>
      <c r="L107" s="68"/>
      <c r="M107" s="619" t="s">
        <v>92</v>
      </c>
      <c r="N107" s="619"/>
      <c r="O107" s="68"/>
      <c r="P107" s="109"/>
    </row>
    <row r="108" spans="1:16" ht="33" x14ac:dyDescent="0.3">
      <c r="A108" s="109"/>
      <c r="B108" s="68"/>
      <c r="C108" s="68" t="str">
        <f t="shared" si="3"/>
        <v>12</v>
      </c>
      <c r="D108" s="68">
        <f t="shared" si="8"/>
        <v>7</v>
      </c>
      <c r="E108" s="84" t="str">
        <f t="shared" si="7"/>
        <v>127</v>
      </c>
      <c r="F108" s="93"/>
      <c r="G108" s="80" t="s">
        <v>561</v>
      </c>
      <c r="H108" s="80" t="s">
        <v>82</v>
      </c>
      <c r="I108" s="80" t="s">
        <v>83</v>
      </c>
      <c r="J108" s="80" t="s">
        <v>84</v>
      </c>
      <c r="K108" s="80" t="s">
        <v>85</v>
      </c>
      <c r="L108" s="78"/>
      <c r="M108" s="81" t="s">
        <v>86</v>
      </c>
      <c r="N108" s="82" t="s">
        <v>87</v>
      </c>
      <c r="O108" s="68"/>
      <c r="P108" s="109"/>
    </row>
    <row r="109" spans="1:16" x14ac:dyDescent="0.3">
      <c r="A109" s="109"/>
      <c r="B109" s="68"/>
      <c r="C109" s="68" t="str">
        <f t="shared" si="3"/>
        <v>12</v>
      </c>
      <c r="D109" s="68">
        <f t="shared" si="8"/>
        <v>7</v>
      </c>
      <c r="E109" s="84" t="str">
        <f t="shared" si="7"/>
        <v>127</v>
      </c>
      <c r="F109" s="68"/>
      <c r="G109" s="83"/>
      <c r="H109" s="83"/>
      <c r="I109" s="83"/>
      <c r="J109" s="68"/>
      <c r="K109" s="83"/>
      <c r="L109" s="68"/>
      <c r="M109" s="68"/>
      <c r="N109" s="68"/>
      <c r="O109" s="68"/>
      <c r="P109" s="109"/>
    </row>
    <row r="110" spans="1:16" ht="130.05000000000001" customHeight="1" x14ac:dyDescent="0.3">
      <c r="A110" s="109"/>
      <c r="B110" s="68"/>
      <c r="C110" s="68" t="str">
        <f t="shared" si="3"/>
        <v>12</v>
      </c>
      <c r="D110" s="68">
        <f t="shared" si="8"/>
        <v>7</v>
      </c>
      <c r="E110" s="84" t="str">
        <f t="shared" si="7"/>
        <v>1271</v>
      </c>
      <c r="F110" s="66" t="s">
        <v>27</v>
      </c>
      <c r="G110" s="67" t="str">
        <f>IFERROR(IF(VLOOKUP($E110,BDD!$A$1:$S$567,MATCH(G$10,BDD!$A$1:$P$1,0),FALSE)=0,"",VLOOKUP($E110,BDD!$A$1:$S$567,MATCH(G$10,BDD!$A$1:$P$1,0),FALSE)),"")</f>
        <v/>
      </c>
      <c r="H110" s="85" t="e">
        <f>IF(VLOOKUP(E110,BDD!$A$1:$S$567,15,FALSE)=0,"Critère non évalué","")</f>
        <v>#N/A</v>
      </c>
      <c r="I110" s="66" t="str">
        <f>IFERROR(IF(VLOOKUP($E110,BDD!$A$1:$S$567,MATCH(I$10,BDD!$A$1:$P$1,0),FALSE)=0,"",VLOOKUP($E110,BDD!$A$1:$S$567,MATCH(I$10,BDD!$A$1:$P$1,0),FALSE)),"")</f>
        <v/>
      </c>
      <c r="J110" s="86"/>
      <c r="K110" s="67" t="str">
        <f>IFERROR(IF(VLOOKUP($E110,BDD!$A$1:$S$567,MATCH(K$10,BDD!$A$1:$P$1,0),FALSE)=0,"",VLOOKUP($E110,BDD!$A$1:$S$567,MATCH(K$10,BDD!$A$1:$P$1,0),FALSE)),"")</f>
        <v/>
      </c>
      <c r="L110" s="68"/>
      <c r="M110" s="87"/>
      <c r="N110" s="87"/>
      <c r="O110" s="68"/>
      <c r="P110" s="109"/>
    </row>
    <row r="111" spans="1:16" ht="130.05000000000001" customHeight="1" x14ac:dyDescent="0.3">
      <c r="A111" s="109"/>
      <c r="B111" s="68"/>
      <c r="C111" s="68" t="str">
        <f t="shared" si="3"/>
        <v>12</v>
      </c>
      <c r="D111" s="68">
        <f t="shared" si="8"/>
        <v>7</v>
      </c>
      <c r="E111" s="84" t="str">
        <f t="shared" si="7"/>
        <v>1272</v>
      </c>
      <c r="F111" s="94" t="s">
        <v>28</v>
      </c>
      <c r="G111" s="65" t="str">
        <f>IFERROR(IF(VLOOKUP($E111,BDD!$A$1:$S$567,MATCH(G$10,BDD!$A$1:$P$1,0),FALSE)=0,"",VLOOKUP($E111,BDD!$A$1:$S$567,MATCH(G$10,BDD!$A$1:$P$1,0),FALSE)),"")</f>
        <v/>
      </c>
      <c r="H111" s="88" t="e">
        <f>IF(VLOOKUP(E111,BDD!$A$1:$S$567,15,FALSE)=0,"Critère non évalué","")</f>
        <v>#N/A</v>
      </c>
      <c r="I111" s="64" t="str">
        <f>IFERROR(IF(VLOOKUP($E111,BDD!$A$1:$S$567,MATCH(I$10,BDD!$A$1:$P$1,0),FALSE)=0,"",VLOOKUP($E111,BDD!$A$1:$S$567,MATCH(I$10,BDD!$A$1:$P$1,0),FALSE)),"")</f>
        <v/>
      </c>
      <c r="J111" s="89"/>
      <c r="K111" s="65" t="str">
        <f>IFERROR(IF(VLOOKUP($E111,BDD!$A$1:$S$567,MATCH(K$10,BDD!$A$1:$P$1,0),FALSE)=0,"",VLOOKUP($E111,BDD!$A$1:$S$567,MATCH(K$10,BDD!$A$1:$P$1,0),FALSE)),"")</f>
        <v/>
      </c>
      <c r="L111" s="68"/>
      <c r="M111" s="90"/>
      <c r="N111" s="90"/>
      <c r="O111" s="68"/>
      <c r="P111" s="109"/>
    </row>
    <row r="112" spans="1:16" ht="130.05000000000001" customHeight="1" x14ac:dyDescent="0.3">
      <c r="A112" s="109"/>
      <c r="B112" s="68"/>
      <c r="C112" s="68" t="str">
        <f t="shared" si="3"/>
        <v>12</v>
      </c>
      <c r="D112" s="68">
        <f t="shared" si="8"/>
        <v>7</v>
      </c>
      <c r="E112" s="84" t="str">
        <f t="shared" si="7"/>
        <v>1273</v>
      </c>
      <c r="F112" s="66" t="s">
        <v>30</v>
      </c>
      <c r="G112" s="67" t="str">
        <f>IFERROR(IF(VLOOKUP($E112,BDD!$A$1:$S$567,MATCH(G$10,BDD!$A$1:$P$1,0),FALSE)=0,"",VLOOKUP($E112,BDD!$A$1:$S$567,MATCH(G$10,BDD!$A$1:$P$1,0),FALSE)),"")</f>
        <v/>
      </c>
      <c r="H112" s="85" t="e">
        <f>IF(VLOOKUP(E112,BDD!$A$1:$S$567,15,FALSE)=0,"Critère non évalué","")</f>
        <v>#N/A</v>
      </c>
      <c r="I112" s="66" t="str">
        <f>IFERROR(IF(VLOOKUP($E112,BDD!$A$1:$S$567,MATCH(I$10,BDD!$A$1:$P$1,0),FALSE)=0,"",VLOOKUP($E112,BDD!$A$1:$S$567,MATCH(I$10,BDD!$A$1:$P$1,0),FALSE)),"")</f>
        <v/>
      </c>
      <c r="J112" s="86"/>
      <c r="K112" s="67" t="str">
        <f>IFERROR(IF(VLOOKUP($E112,BDD!$A$1:$S$567,MATCH(K$10,BDD!$A$1:$P$1,0),FALSE)=0,"",VLOOKUP($E112,BDD!$A$1:$S$567,MATCH(K$10,BDD!$A$1:$P$1,0),FALSE)),"")</f>
        <v/>
      </c>
      <c r="L112" s="68"/>
      <c r="M112" s="87"/>
      <c r="N112" s="87"/>
      <c r="O112" s="68"/>
      <c r="P112" s="109"/>
    </row>
    <row r="113" spans="1:16" ht="130.05000000000001" customHeight="1" x14ac:dyDescent="0.3">
      <c r="A113" s="109"/>
      <c r="B113" s="68"/>
      <c r="C113" s="68" t="str">
        <f t="shared" si="3"/>
        <v>12</v>
      </c>
      <c r="D113" s="68">
        <f t="shared" si="8"/>
        <v>7</v>
      </c>
      <c r="E113" s="84" t="str">
        <f t="shared" si="7"/>
        <v>1274</v>
      </c>
      <c r="F113" s="64" t="s">
        <v>32</v>
      </c>
      <c r="G113" s="65" t="str">
        <f>IFERROR(IF(VLOOKUP($E113,BDD!$A$1:$S$567,MATCH(G$10,BDD!$A$1:$P$1,0),FALSE)=0,"",VLOOKUP($E113,BDD!$A$1:$S$567,MATCH(G$10,BDD!$A$1:$P$1,0),FALSE)),"")</f>
        <v/>
      </c>
      <c r="H113" s="88" t="e">
        <f>IF(VLOOKUP(E113,BDD!$A$1:$S$567,15,FALSE)=0,"Critère non évalué","")</f>
        <v>#N/A</v>
      </c>
      <c r="I113" s="64" t="str">
        <f>IFERROR(IF(VLOOKUP($E113,BDD!$A$1:$S$567,MATCH(I$10,BDD!$A$1:$P$1,0),FALSE)=0,"",VLOOKUP($E113,BDD!$A$1:$S$567,MATCH(I$10,BDD!$A$1:$P$1,0),FALSE)),"")</f>
        <v/>
      </c>
      <c r="J113" s="91"/>
      <c r="K113" s="65" t="str">
        <f>IFERROR(IF(VLOOKUP($E113,BDD!$A$1:$S$567,MATCH(K$10,BDD!$A$1:$P$1,0),FALSE)=0,"",VLOOKUP($E113,BDD!$A$1:$S$567,MATCH(K$10,BDD!$A$1:$P$1,0),FALSE)),"")</f>
        <v/>
      </c>
      <c r="L113" s="68"/>
      <c r="M113" s="90"/>
      <c r="N113" s="90"/>
      <c r="O113" s="68"/>
      <c r="P113" s="109"/>
    </row>
    <row r="114" spans="1:16" ht="130.05000000000001" customHeight="1" x14ac:dyDescent="0.3">
      <c r="A114" s="109"/>
      <c r="B114" s="68"/>
      <c r="C114" s="68" t="str">
        <f t="shared" si="3"/>
        <v>12</v>
      </c>
      <c r="D114" s="68">
        <f t="shared" si="8"/>
        <v>7</v>
      </c>
      <c r="E114" s="84" t="str">
        <f t="shared" si="7"/>
        <v>1275</v>
      </c>
      <c r="F114" s="66" t="s">
        <v>33</v>
      </c>
      <c r="G114" s="67" t="str">
        <f>IFERROR(IF(VLOOKUP($E114,BDD!$A$1:$S$567,MATCH(G$10,BDD!$A$1:$P$1,0),FALSE)=0,"",VLOOKUP($E114,BDD!$A$1:$S$567,MATCH(G$10,BDD!$A$1:$P$1,0),FALSE)),"")</f>
        <v/>
      </c>
      <c r="H114" s="85" t="e">
        <f>IF(VLOOKUP(E114,BDD!$A$1:$S$567,15,FALSE)=0,"Critère non évalué","")</f>
        <v>#N/A</v>
      </c>
      <c r="I114" s="66" t="str">
        <f>IFERROR(IF(VLOOKUP($E114,BDD!$A$1:$S$567,MATCH(I$10,BDD!$A$1:$P$1,0),FALSE)=0,"",VLOOKUP($E114,BDD!$A$1:$S$567,MATCH(I$10,BDD!$A$1:$P$1,0),FALSE)),"")</f>
        <v/>
      </c>
      <c r="J114" s="86"/>
      <c r="K114" s="67" t="str">
        <f>IFERROR(IF(VLOOKUP($E114,BDD!$A$1:$S$567,MATCH(K$10,BDD!$A$1:$P$1,0),FALSE)=0,"",VLOOKUP($E114,BDD!$A$1:$S$567,MATCH(K$10,BDD!$A$1:$P$1,0),FALSE)),"")</f>
        <v/>
      </c>
      <c r="L114" s="68"/>
      <c r="M114" s="82"/>
      <c r="N114" s="82"/>
      <c r="O114" s="68"/>
      <c r="P114" s="109"/>
    </row>
    <row r="115" spans="1:16" ht="130.05000000000001" customHeight="1" x14ac:dyDescent="0.3">
      <c r="A115" s="109"/>
      <c r="B115" s="68"/>
      <c r="C115" s="68" t="str">
        <f t="shared" si="3"/>
        <v>12</v>
      </c>
      <c r="D115" s="68">
        <f t="shared" si="8"/>
        <v>7</v>
      </c>
      <c r="E115" s="84" t="str">
        <f t="shared" si="7"/>
        <v>1276</v>
      </c>
      <c r="F115" s="64" t="s">
        <v>34</v>
      </c>
      <c r="G115" s="65" t="str">
        <f>IFERROR(IF(VLOOKUP($E115,BDD!$A$1:$S$567,MATCH(G$10,BDD!$A$1:$P$1,0),FALSE)=0,"",VLOOKUP($E115,BDD!$A$1:$S$567,MATCH(G$10,BDD!$A$1:$P$1,0),FALSE)),"")</f>
        <v/>
      </c>
      <c r="H115" s="88" t="e">
        <f>IF(VLOOKUP(E115,BDD!$A$1:$S$567,15,FALSE)=0,"Critère non évalué","")</f>
        <v>#N/A</v>
      </c>
      <c r="I115" s="64" t="str">
        <f>IFERROR(IF(VLOOKUP($E115,BDD!$A$1:$S$567,MATCH(I$10,BDD!$A$1:$P$1,0),FALSE)=0,"",VLOOKUP($E115,BDD!$A$1:$S$567,MATCH(I$10,BDD!$A$1:$P$1,0),FALSE)),"")</f>
        <v/>
      </c>
      <c r="J115" s="91"/>
      <c r="K115" s="65" t="str">
        <f>IFERROR(IF(VLOOKUP($E115,BDD!$A$1:$S$567,MATCH(K$10,BDD!$A$1:$P$1,0),FALSE)=0,"",VLOOKUP($E115,BDD!$A$1:$S$567,MATCH(K$10,BDD!$A$1:$P$1,0),FALSE)),"")</f>
        <v/>
      </c>
      <c r="L115" s="68"/>
      <c r="M115" s="90"/>
      <c r="N115" s="90"/>
      <c r="O115" s="68"/>
      <c r="P115" s="109"/>
    </row>
    <row r="116" spans="1:16" ht="130.05000000000001" customHeight="1" x14ac:dyDescent="0.3">
      <c r="A116" s="109"/>
      <c r="B116" s="68"/>
      <c r="C116" s="68" t="str">
        <f t="shared" ref="C116" si="9">RIGHT($B$1,1)</f>
        <v>2</v>
      </c>
      <c r="D116" s="68">
        <f t="shared" si="8"/>
        <v>7</v>
      </c>
      <c r="E116" s="84" t="str">
        <f t="shared" si="7"/>
        <v>277</v>
      </c>
      <c r="F116" s="66" t="s">
        <v>36</v>
      </c>
      <c r="G116" s="67" t="str">
        <f>IFERROR(IF(VLOOKUP($E116,BDD!$A$1:$S$567,MATCH(G$10,BDD!$A$1:$P$1,0),FALSE)=0,"",VLOOKUP($E116,BDD!$A$1:$S$567,MATCH(G$10,BDD!$A$1:$P$1,0),FALSE)),"")</f>
        <v/>
      </c>
      <c r="H116" s="85" t="e">
        <f>IF(VLOOKUP(E116,BDD!$A$1:$S$567,15,FALSE)=0,"Critère non évalué","")</f>
        <v>#N/A</v>
      </c>
      <c r="I116" s="66" t="str">
        <f>IFERROR(IF(VLOOKUP($E116,BDD!$A$1:$S$567,MATCH(I$10,BDD!$A$1:$P$1,0),FALSE)=0,"",VLOOKUP($E116,BDD!$A$1:$S$567,MATCH(I$10,BDD!$A$1:$P$1,0),FALSE)),"")</f>
        <v/>
      </c>
      <c r="J116" s="86"/>
      <c r="K116" s="67" t="str">
        <f>IFERROR(IF(VLOOKUP($E116,BDD!$A$1:$S$567,MATCH(K$10,BDD!$A$1:$P$1,0),FALSE)=0,"",VLOOKUP($E116,BDD!$A$1:$S$567,MATCH(K$10,BDD!$A$1:$P$1,0),FALSE)),"")</f>
        <v/>
      </c>
      <c r="L116" s="68"/>
      <c r="M116" s="82"/>
      <c r="N116" s="82"/>
      <c r="O116" s="68"/>
      <c r="P116" s="109"/>
    </row>
    <row r="117" spans="1:16" x14ac:dyDescent="0.3">
      <c r="A117" s="109"/>
      <c r="B117" s="68"/>
      <c r="C117" s="68"/>
      <c r="D117" s="68"/>
      <c r="E117" s="68"/>
      <c r="F117" s="68"/>
      <c r="G117" s="68"/>
      <c r="H117" s="68"/>
      <c r="I117" s="68"/>
      <c r="J117" s="68"/>
      <c r="K117" s="68"/>
      <c r="L117" s="68"/>
      <c r="M117" s="68"/>
      <c r="N117" s="68"/>
      <c r="O117" s="68"/>
      <c r="P117" s="109"/>
    </row>
    <row r="118" spans="1:16" x14ac:dyDescent="0.3">
      <c r="A118" s="109" t="s">
        <v>164</v>
      </c>
      <c r="B118" s="109"/>
      <c r="C118" s="109"/>
      <c r="D118" s="109"/>
      <c r="E118" s="109"/>
      <c r="F118" s="109"/>
      <c r="G118" s="109"/>
      <c r="H118" s="109"/>
      <c r="I118" s="109"/>
      <c r="J118" s="109"/>
      <c r="K118" s="109"/>
      <c r="L118" s="109"/>
      <c r="M118" s="109"/>
      <c r="N118" s="109"/>
      <c r="O118" s="109"/>
      <c r="P118" s="109" t="s">
        <v>164</v>
      </c>
    </row>
  </sheetData>
  <protectedRanges>
    <protectedRange algorithmName="SHA-512" hashValue="8ahxLFpE+K1lqBLWxGWpOhbDaiLZlJVsG+nmubgaP2+UbYmDqkTdmwYUqskX/3ppo+p34mc/yM7Dy40P0mQEeA==" saltValue="ohEm+wJL3UUnn/P7XqxB/g==" spinCount="100000" sqref="H1:H1048576" name="Plage1"/>
  </protectedRanges>
  <mergeCells count="7">
    <mergeCell ref="M107:N107"/>
    <mergeCell ref="M9:N9"/>
    <mergeCell ref="M25:N25"/>
    <mergeCell ref="M41:N41"/>
    <mergeCell ref="M57:N57"/>
    <mergeCell ref="M75:N75"/>
    <mergeCell ref="M91:N91"/>
  </mergeCells>
  <hyperlinks>
    <hyperlink ref="F13" location="V2Quest!A1" display="(Cf. Vecteur 2 - Innovation)" xr:uid="{D63B819F-C4B5-49CD-9A29-E236B30FAFCA}"/>
    <hyperlink ref="F29" location="V2Quest!A1" display="(Cf. Vecteur 2 - Innovation)" xr:uid="{5A893BCF-14F6-4C48-AE9F-08B877300451}"/>
    <hyperlink ref="F45" location="V2Quest!A1" display="(Cf. Vecteur 2 - Innovation)" xr:uid="{E29660FE-9E55-4314-9764-B30F4C7F687E}"/>
    <hyperlink ref="F61" location="V2Quest!A1" display="(Cf. Vecteur 2 - Innovation)" xr:uid="{5A616B3D-B1F4-4010-A17A-7377D8B26E55}"/>
    <hyperlink ref="F79" location="V2Quest!A1" display="(Cf. Vecteur 2 - Innovation)" xr:uid="{B7B8481E-A766-471E-9677-F65A95E42DFE}"/>
    <hyperlink ref="F95" location="V2Quest!A1" display="(Cf. Vecteur 2 - Innovation)" xr:uid="{CE922F60-A93A-477D-98FA-0FACB83646B5}"/>
    <hyperlink ref="F111" location="V2Quest!A1" display="(Cf. Vecteur 2 - Innovation)" xr:uid="{D4B1B2B7-06F0-42E8-9B13-6651F94B32AA}"/>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6801" r:id="rId3" name="Option Button 1">
              <controlPr defaultSize="0" autoFill="0" autoLine="0" autoPict="0">
                <anchor moveWithCells="1">
                  <from>
                    <xdr:col>7</xdr:col>
                    <xdr:colOff>114300</xdr:colOff>
                    <xdr:row>12</xdr:row>
                    <xdr:rowOff>144780</xdr:rowOff>
                  </from>
                  <to>
                    <xdr:col>7</xdr:col>
                    <xdr:colOff>1958340</xdr:colOff>
                    <xdr:row>12</xdr:row>
                    <xdr:rowOff>320040</xdr:rowOff>
                  </to>
                </anchor>
              </controlPr>
            </control>
          </mc:Choice>
        </mc:AlternateContent>
        <mc:AlternateContent xmlns:mc="http://schemas.openxmlformats.org/markup-compatibility/2006">
          <mc:Choice Requires="x14">
            <control shapeId="76802" r:id="rId4" name="Option Button 2">
              <controlPr defaultSize="0" autoFill="0" autoLine="0" autoPict="0">
                <anchor moveWithCells="1">
                  <from>
                    <xdr:col>7</xdr:col>
                    <xdr:colOff>114300</xdr:colOff>
                    <xdr:row>12</xdr:row>
                    <xdr:rowOff>396240</xdr:rowOff>
                  </from>
                  <to>
                    <xdr:col>7</xdr:col>
                    <xdr:colOff>1958340</xdr:colOff>
                    <xdr:row>12</xdr:row>
                    <xdr:rowOff>586740</xdr:rowOff>
                  </to>
                </anchor>
              </controlPr>
            </control>
          </mc:Choice>
        </mc:AlternateContent>
        <mc:AlternateContent xmlns:mc="http://schemas.openxmlformats.org/markup-compatibility/2006">
          <mc:Choice Requires="x14">
            <control shapeId="76803" r:id="rId5" name="Option Button 3">
              <controlPr defaultSize="0" autoFill="0" autoLine="0" autoPict="0">
                <anchor moveWithCells="1">
                  <from>
                    <xdr:col>7</xdr:col>
                    <xdr:colOff>114300</xdr:colOff>
                    <xdr:row>12</xdr:row>
                    <xdr:rowOff>640080</xdr:rowOff>
                  </from>
                  <to>
                    <xdr:col>7</xdr:col>
                    <xdr:colOff>1958340</xdr:colOff>
                    <xdr:row>12</xdr:row>
                    <xdr:rowOff>830580</xdr:rowOff>
                  </to>
                </anchor>
              </controlPr>
            </control>
          </mc:Choice>
        </mc:AlternateContent>
        <mc:AlternateContent xmlns:mc="http://schemas.openxmlformats.org/markup-compatibility/2006">
          <mc:Choice Requires="x14">
            <control shapeId="76804" r:id="rId6" name="Option Button 4">
              <controlPr defaultSize="0" autoFill="0" autoLine="0" autoPict="0">
                <anchor moveWithCells="1">
                  <from>
                    <xdr:col>7</xdr:col>
                    <xdr:colOff>114300</xdr:colOff>
                    <xdr:row>12</xdr:row>
                    <xdr:rowOff>922020</xdr:rowOff>
                  </from>
                  <to>
                    <xdr:col>7</xdr:col>
                    <xdr:colOff>1958340</xdr:colOff>
                    <xdr:row>12</xdr:row>
                    <xdr:rowOff>1120140</xdr:rowOff>
                  </to>
                </anchor>
              </controlPr>
            </control>
          </mc:Choice>
        </mc:AlternateContent>
        <mc:AlternateContent xmlns:mc="http://schemas.openxmlformats.org/markup-compatibility/2006">
          <mc:Choice Requires="x14">
            <control shapeId="76805"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76806" r:id="rId8" name="Group Box 6">
              <controlPr defaultSize="0" autoFill="0" autoPict="0" altText="">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76807" r:id="rId9"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76808" r:id="rId10" name="Option Button 8">
              <controlPr defaultSize="0" autoFill="0" autoLine="0" autoPict="0" altText="Case d'option 47">
                <anchor moveWithCells="1">
                  <from>
                    <xdr:col>7</xdr:col>
                    <xdr:colOff>106680</xdr:colOff>
                    <xdr:row>11</xdr:row>
                    <xdr:rowOff>68580</xdr:rowOff>
                  </from>
                  <to>
                    <xdr:col>7</xdr:col>
                    <xdr:colOff>1501140</xdr:colOff>
                    <xdr:row>11</xdr:row>
                    <xdr:rowOff>259080</xdr:rowOff>
                  </to>
                </anchor>
              </controlPr>
            </control>
          </mc:Choice>
        </mc:AlternateContent>
        <mc:AlternateContent xmlns:mc="http://schemas.openxmlformats.org/markup-compatibility/2006">
          <mc:Choice Requires="x14">
            <control shapeId="76809" r:id="rId11" name="Option Button 9">
              <controlPr defaultSize="0" autoFill="0" autoLine="0" autoPict="0">
                <anchor moveWithCells="1">
                  <from>
                    <xdr:col>7</xdr:col>
                    <xdr:colOff>106680</xdr:colOff>
                    <xdr:row>11</xdr:row>
                    <xdr:rowOff>304800</xdr:rowOff>
                  </from>
                  <to>
                    <xdr:col>7</xdr:col>
                    <xdr:colOff>1965960</xdr:colOff>
                    <xdr:row>11</xdr:row>
                    <xdr:rowOff>502920</xdr:rowOff>
                  </to>
                </anchor>
              </controlPr>
            </control>
          </mc:Choice>
        </mc:AlternateContent>
        <mc:AlternateContent xmlns:mc="http://schemas.openxmlformats.org/markup-compatibility/2006">
          <mc:Choice Requires="x14">
            <control shapeId="76810" r:id="rId12"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76811" r:id="rId13"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76812" r:id="rId14" name="Option Button 12">
              <controlPr defaultSize="0" autoFill="0" autoLine="0" autoPict="0">
                <anchor moveWithCells="1">
                  <from>
                    <xdr:col>7</xdr:col>
                    <xdr:colOff>114300</xdr:colOff>
                    <xdr:row>17</xdr:row>
                    <xdr:rowOff>144780</xdr:rowOff>
                  </from>
                  <to>
                    <xdr:col>7</xdr:col>
                    <xdr:colOff>1958340</xdr:colOff>
                    <xdr:row>17</xdr:row>
                    <xdr:rowOff>320040</xdr:rowOff>
                  </to>
                </anchor>
              </controlPr>
            </control>
          </mc:Choice>
        </mc:AlternateContent>
        <mc:AlternateContent xmlns:mc="http://schemas.openxmlformats.org/markup-compatibility/2006">
          <mc:Choice Requires="x14">
            <control shapeId="76813" r:id="rId15" name="Option Button 13">
              <controlPr defaultSize="0" autoFill="0" autoLine="0" autoPict="0">
                <anchor moveWithCells="1">
                  <from>
                    <xdr:col>7</xdr:col>
                    <xdr:colOff>114300</xdr:colOff>
                    <xdr:row>17</xdr:row>
                    <xdr:rowOff>396240</xdr:rowOff>
                  </from>
                  <to>
                    <xdr:col>7</xdr:col>
                    <xdr:colOff>1958340</xdr:colOff>
                    <xdr:row>17</xdr:row>
                    <xdr:rowOff>586740</xdr:rowOff>
                  </to>
                </anchor>
              </controlPr>
            </control>
          </mc:Choice>
        </mc:AlternateContent>
        <mc:AlternateContent xmlns:mc="http://schemas.openxmlformats.org/markup-compatibility/2006">
          <mc:Choice Requires="x14">
            <control shapeId="76814" r:id="rId16" name="Option Button 14">
              <controlPr defaultSize="0" autoFill="0" autoLine="0" autoPict="0">
                <anchor moveWithCells="1">
                  <from>
                    <xdr:col>7</xdr:col>
                    <xdr:colOff>114300</xdr:colOff>
                    <xdr:row>17</xdr:row>
                    <xdr:rowOff>640080</xdr:rowOff>
                  </from>
                  <to>
                    <xdr:col>7</xdr:col>
                    <xdr:colOff>1958340</xdr:colOff>
                    <xdr:row>17</xdr:row>
                    <xdr:rowOff>830580</xdr:rowOff>
                  </to>
                </anchor>
              </controlPr>
            </control>
          </mc:Choice>
        </mc:AlternateContent>
        <mc:AlternateContent xmlns:mc="http://schemas.openxmlformats.org/markup-compatibility/2006">
          <mc:Choice Requires="x14">
            <control shapeId="76815" r:id="rId17" name="Option Button 15">
              <controlPr defaultSize="0" autoFill="0" autoLine="0" autoPict="0">
                <anchor moveWithCells="1">
                  <from>
                    <xdr:col>7</xdr:col>
                    <xdr:colOff>114300</xdr:colOff>
                    <xdr:row>17</xdr:row>
                    <xdr:rowOff>922020</xdr:rowOff>
                  </from>
                  <to>
                    <xdr:col>7</xdr:col>
                    <xdr:colOff>1958340</xdr:colOff>
                    <xdr:row>17</xdr:row>
                    <xdr:rowOff>1120140</xdr:rowOff>
                  </to>
                </anchor>
              </controlPr>
            </control>
          </mc:Choice>
        </mc:AlternateContent>
        <mc:AlternateContent xmlns:mc="http://schemas.openxmlformats.org/markup-compatibility/2006">
          <mc:Choice Requires="x14">
            <control shapeId="76816" r:id="rId18" name="Group Box 16">
              <controlPr defaultSize="0" autoFill="0" autoPict="0">
                <anchor moveWithCells="1">
                  <from>
                    <xdr:col>7</xdr:col>
                    <xdr:colOff>0</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76817" r:id="rId19" name="Option Button 17">
              <controlPr defaultSize="0" autoFill="0" autoLine="0" autoPict="0" altText="Case d'option 47">
                <anchor moveWithCells="1">
                  <from>
                    <xdr:col>7</xdr:col>
                    <xdr:colOff>106680</xdr:colOff>
                    <xdr:row>16</xdr:row>
                    <xdr:rowOff>38100</xdr:rowOff>
                  </from>
                  <to>
                    <xdr:col>7</xdr:col>
                    <xdr:colOff>1508760</xdr:colOff>
                    <xdr:row>16</xdr:row>
                    <xdr:rowOff>228600</xdr:rowOff>
                  </to>
                </anchor>
              </controlPr>
            </control>
          </mc:Choice>
        </mc:AlternateContent>
        <mc:AlternateContent xmlns:mc="http://schemas.openxmlformats.org/markup-compatibility/2006">
          <mc:Choice Requires="x14">
            <control shapeId="76818" r:id="rId20" name="Option Button 18">
              <controlPr defaultSize="0" autoFill="0" autoLine="0" autoPict="0">
                <anchor moveWithCells="1">
                  <from>
                    <xdr:col>7</xdr:col>
                    <xdr:colOff>106680</xdr:colOff>
                    <xdr:row>16</xdr:row>
                    <xdr:rowOff>281940</xdr:rowOff>
                  </from>
                  <to>
                    <xdr:col>8</xdr:col>
                    <xdr:colOff>0</xdr:colOff>
                    <xdr:row>16</xdr:row>
                    <xdr:rowOff>480060</xdr:rowOff>
                  </to>
                </anchor>
              </controlPr>
            </control>
          </mc:Choice>
        </mc:AlternateContent>
        <mc:AlternateContent xmlns:mc="http://schemas.openxmlformats.org/markup-compatibility/2006">
          <mc:Choice Requires="x14">
            <control shapeId="76819" r:id="rId21" name="Option Button 19">
              <controlPr defaultSize="0" autoFill="0" autoLine="0" autoPict="0">
                <anchor moveWithCells="1">
                  <from>
                    <xdr:col>7</xdr:col>
                    <xdr:colOff>106680</xdr:colOff>
                    <xdr:row>16</xdr:row>
                    <xdr:rowOff>556260</xdr:rowOff>
                  </from>
                  <to>
                    <xdr:col>8</xdr:col>
                    <xdr:colOff>0</xdr:colOff>
                    <xdr:row>16</xdr:row>
                    <xdr:rowOff>739140</xdr:rowOff>
                  </to>
                </anchor>
              </controlPr>
            </control>
          </mc:Choice>
        </mc:AlternateContent>
        <mc:AlternateContent xmlns:mc="http://schemas.openxmlformats.org/markup-compatibility/2006">
          <mc:Choice Requires="x14">
            <control shapeId="76820" r:id="rId22" name="Option Button 20">
              <controlPr defaultSize="0" autoFill="0" autoLine="0" autoPict="0">
                <anchor moveWithCells="1">
                  <from>
                    <xdr:col>7</xdr:col>
                    <xdr:colOff>106680</xdr:colOff>
                    <xdr:row>16</xdr:row>
                    <xdr:rowOff>807720</xdr:rowOff>
                  </from>
                  <to>
                    <xdr:col>7</xdr:col>
                    <xdr:colOff>937260</xdr:colOff>
                    <xdr:row>16</xdr:row>
                    <xdr:rowOff>998220</xdr:rowOff>
                  </to>
                </anchor>
              </controlPr>
            </control>
          </mc:Choice>
        </mc:AlternateContent>
        <mc:AlternateContent xmlns:mc="http://schemas.openxmlformats.org/markup-compatibility/2006">
          <mc:Choice Requires="x14">
            <control shapeId="76821" r:id="rId23" name="Group Box 21">
              <controlPr defaultSize="0" autoFill="0" autoPict="0">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76822" r:id="rId24" name="Option Button 22">
              <controlPr defaultSize="0" autoFill="0" autoLine="0" autoPict="0">
                <anchor moveWithCells="1">
                  <from>
                    <xdr:col>7</xdr:col>
                    <xdr:colOff>114300</xdr:colOff>
                    <xdr:row>15</xdr:row>
                    <xdr:rowOff>144780</xdr:rowOff>
                  </from>
                  <to>
                    <xdr:col>7</xdr:col>
                    <xdr:colOff>1958340</xdr:colOff>
                    <xdr:row>15</xdr:row>
                    <xdr:rowOff>312420</xdr:rowOff>
                  </to>
                </anchor>
              </controlPr>
            </control>
          </mc:Choice>
        </mc:AlternateContent>
        <mc:AlternateContent xmlns:mc="http://schemas.openxmlformats.org/markup-compatibility/2006">
          <mc:Choice Requires="x14">
            <control shapeId="76823" r:id="rId25" name="Option Button 23">
              <controlPr defaultSize="0" autoFill="0" autoLine="0" autoPict="0">
                <anchor moveWithCells="1">
                  <from>
                    <xdr:col>7</xdr:col>
                    <xdr:colOff>114300</xdr:colOff>
                    <xdr:row>15</xdr:row>
                    <xdr:rowOff>388620</xdr:rowOff>
                  </from>
                  <to>
                    <xdr:col>7</xdr:col>
                    <xdr:colOff>1958340</xdr:colOff>
                    <xdr:row>15</xdr:row>
                    <xdr:rowOff>579120</xdr:rowOff>
                  </to>
                </anchor>
              </controlPr>
            </control>
          </mc:Choice>
        </mc:AlternateContent>
        <mc:AlternateContent xmlns:mc="http://schemas.openxmlformats.org/markup-compatibility/2006">
          <mc:Choice Requires="x14">
            <control shapeId="76824" r:id="rId26" name="Option Button 24">
              <controlPr defaultSize="0" autoFill="0" autoLine="0" autoPict="0">
                <anchor moveWithCells="1">
                  <from>
                    <xdr:col>7</xdr:col>
                    <xdr:colOff>114300</xdr:colOff>
                    <xdr:row>15</xdr:row>
                    <xdr:rowOff>632460</xdr:rowOff>
                  </from>
                  <to>
                    <xdr:col>7</xdr:col>
                    <xdr:colOff>1958340</xdr:colOff>
                    <xdr:row>15</xdr:row>
                    <xdr:rowOff>822960</xdr:rowOff>
                  </to>
                </anchor>
              </controlPr>
            </control>
          </mc:Choice>
        </mc:AlternateContent>
        <mc:AlternateContent xmlns:mc="http://schemas.openxmlformats.org/markup-compatibility/2006">
          <mc:Choice Requires="x14">
            <control shapeId="76825" r:id="rId27" name="Option Button 25">
              <controlPr defaultSize="0" autoFill="0" autoLine="0" autoPict="0">
                <anchor moveWithCells="1">
                  <from>
                    <xdr:col>7</xdr:col>
                    <xdr:colOff>114300</xdr:colOff>
                    <xdr:row>15</xdr:row>
                    <xdr:rowOff>906780</xdr:rowOff>
                  </from>
                  <to>
                    <xdr:col>7</xdr:col>
                    <xdr:colOff>1958340</xdr:colOff>
                    <xdr:row>15</xdr:row>
                    <xdr:rowOff>1097280</xdr:rowOff>
                  </to>
                </anchor>
              </controlPr>
            </control>
          </mc:Choice>
        </mc:AlternateContent>
        <mc:AlternateContent xmlns:mc="http://schemas.openxmlformats.org/markup-compatibility/2006">
          <mc:Choice Requires="x14">
            <control shapeId="76826" r:id="rId28"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76827" r:id="rId29" name="Option Button 27">
              <controlPr defaultSize="0" autoFill="0" autoLine="0" autoPict="0" altText="Case d'option 47">
                <anchor moveWithCells="1">
                  <from>
                    <xdr:col>7</xdr:col>
                    <xdr:colOff>114300</xdr:colOff>
                    <xdr:row>14</xdr:row>
                    <xdr:rowOff>68580</xdr:rowOff>
                  </from>
                  <to>
                    <xdr:col>7</xdr:col>
                    <xdr:colOff>1501140</xdr:colOff>
                    <xdr:row>14</xdr:row>
                    <xdr:rowOff>259080</xdr:rowOff>
                  </to>
                </anchor>
              </controlPr>
            </control>
          </mc:Choice>
        </mc:AlternateContent>
        <mc:AlternateContent xmlns:mc="http://schemas.openxmlformats.org/markup-compatibility/2006">
          <mc:Choice Requires="x14">
            <control shapeId="76828" r:id="rId30" name="Option Button 28">
              <controlPr defaultSize="0" autoFill="0" autoLine="0" autoPict="0">
                <anchor moveWithCells="1">
                  <from>
                    <xdr:col>7</xdr:col>
                    <xdr:colOff>114300</xdr:colOff>
                    <xdr:row>14</xdr:row>
                    <xdr:rowOff>304800</xdr:rowOff>
                  </from>
                  <to>
                    <xdr:col>7</xdr:col>
                    <xdr:colOff>1958340</xdr:colOff>
                    <xdr:row>14</xdr:row>
                    <xdr:rowOff>502920</xdr:rowOff>
                  </to>
                </anchor>
              </controlPr>
            </control>
          </mc:Choice>
        </mc:AlternateContent>
        <mc:AlternateContent xmlns:mc="http://schemas.openxmlformats.org/markup-compatibility/2006">
          <mc:Choice Requires="x14">
            <control shapeId="76829" r:id="rId31" name="Option Button 29">
              <controlPr defaultSize="0" autoFill="0" autoLine="0" autoPict="0">
                <anchor moveWithCells="1">
                  <from>
                    <xdr:col>7</xdr:col>
                    <xdr:colOff>114300</xdr:colOff>
                    <xdr:row>14</xdr:row>
                    <xdr:rowOff>579120</xdr:rowOff>
                  </from>
                  <to>
                    <xdr:col>7</xdr:col>
                    <xdr:colOff>1965960</xdr:colOff>
                    <xdr:row>14</xdr:row>
                    <xdr:rowOff>754380</xdr:rowOff>
                  </to>
                </anchor>
              </controlPr>
            </control>
          </mc:Choice>
        </mc:AlternateContent>
        <mc:AlternateContent xmlns:mc="http://schemas.openxmlformats.org/markup-compatibility/2006">
          <mc:Choice Requires="x14">
            <control shapeId="76830" r:id="rId32" name="Option Button 30">
              <controlPr defaultSize="0" autoFill="0" autoLine="0" autoPict="0">
                <anchor moveWithCells="1">
                  <from>
                    <xdr:col>7</xdr:col>
                    <xdr:colOff>114300</xdr:colOff>
                    <xdr:row>14</xdr:row>
                    <xdr:rowOff>822960</xdr:rowOff>
                  </from>
                  <to>
                    <xdr:col>7</xdr:col>
                    <xdr:colOff>937260</xdr:colOff>
                    <xdr:row>14</xdr:row>
                    <xdr:rowOff>1005840</xdr:rowOff>
                  </to>
                </anchor>
              </controlPr>
            </control>
          </mc:Choice>
        </mc:AlternateContent>
        <mc:AlternateContent xmlns:mc="http://schemas.openxmlformats.org/markup-compatibility/2006">
          <mc:Choice Requires="x14">
            <control shapeId="76831" r:id="rId33"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76832" r:id="rId34" name="Option Button 32">
              <controlPr defaultSize="0" autoFill="0" autoLine="0" autoPict="0" altText="Case d'option 47">
                <anchor moveWithCells="1">
                  <from>
                    <xdr:col>7</xdr:col>
                    <xdr:colOff>106680</xdr:colOff>
                    <xdr:row>13</xdr:row>
                    <xdr:rowOff>68580</xdr:rowOff>
                  </from>
                  <to>
                    <xdr:col>7</xdr:col>
                    <xdr:colOff>1501140</xdr:colOff>
                    <xdr:row>13</xdr:row>
                    <xdr:rowOff>259080</xdr:rowOff>
                  </to>
                </anchor>
              </controlPr>
            </control>
          </mc:Choice>
        </mc:AlternateContent>
        <mc:AlternateContent xmlns:mc="http://schemas.openxmlformats.org/markup-compatibility/2006">
          <mc:Choice Requires="x14">
            <control shapeId="76833" r:id="rId35" name="Option Button 33">
              <controlPr defaultSize="0" autoFill="0" autoLine="0" autoPict="0">
                <anchor moveWithCells="1">
                  <from>
                    <xdr:col>7</xdr:col>
                    <xdr:colOff>106680</xdr:colOff>
                    <xdr:row>13</xdr:row>
                    <xdr:rowOff>304800</xdr:rowOff>
                  </from>
                  <to>
                    <xdr:col>7</xdr:col>
                    <xdr:colOff>1958340</xdr:colOff>
                    <xdr:row>13</xdr:row>
                    <xdr:rowOff>502920</xdr:rowOff>
                  </to>
                </anchor>
              </controlPr>
            </control>
          </mc:Choice>
        </mc:AlternateContent>
        <mc:AlternateContent xmlns:mc="http://schemas.openxmlformats.org/markup-compatibility/2006">
          <mc:Choice Requires="x14">
            <control shapeId="76834" r:id="rId36" name="Option Button 34">
              <controlPr defaultSize="0" autoFill="0" autoLine="0" autoPict="0">
                <anchor moveWithCells="1">
                  <from>
                    <xdr:col>7</xdr:col>
                    <xdr:colOff>106680</xdr:colOff>
                    <xdr:row>13</xdr:row>
                    <xdr:rowOff>579120</xdr:rowOff>
                  </from>
                  <to>
                    <xdr:col>7</xdr:col>
                    <xdr:colOff>1965960</xdr:colOff>
                    <xdr:row>13</xdr:row>
                    <xdr:rowOff>754380</xdr:rowOff>
                  </to>
                </anchor>
              </controlPr>
            </control>
          </mc:Choice>
        </mc:AlternateContent>
        <mc:AlternateContent xmlns:mc="http://schemas.openxmlformats.org/markup-compatibility/2006">
          <mc:Choice Requires="x14">
            <control shapeId="76835" r:id="rId37"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76836" r:id="rId38"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76837" r:id="rId39" name="Option Button 37">
              <controlPr defaultSize="0" autoFill="0" autoLine="0" autoPict="0">
                <anchor moveWithCells="1">
                  <from>
                    <xdr:col>7</xdr:col>
                    <xdr:colOff>114300</xdr:colOff>
                    <xdr:row>28</xdr:row>
                    <xdr:rowOff>144780</xdr:rowOff>
                  </from>
                  <to>
                    <xdr:col>7</xdr:col>
                    <xdr:colOff>1958340</xdr:colOff>
                    <xdr:row>28</xdr:row>
                    <xdr:rowOff>320040</xdr:rowOff>
                  </to>
                </anchor>
              </controlPr>
            </control>
          </mc:Choice>
        </mc:AlternateContent>
        <mc:AlternateContent xmlns:mc="http://schemas.openxmlformats.org/markup-compatibility/2006">
          <mc:Choice Requires="x14">
            <control shapeId="76838" r:id="rId40" name="Option Button 38">
              <controlPr defaultSize="0" autoFill="0" autoLine="0" autoPict="0">
                <anchor moveWithCells="1">
                  <from>
                    <xdr:col>7</xdr:col>
                    <xdr:colOff>114300</xdr:colOff>
                    <xdr:row>28</xdr:row>
                    <xdr:rowOff>396240</xdr:rowOff>
                  </from>
                  <to>
                    <xdr:col>7</xdr:col>
                    <xdr:colOff>1958340</xdr:colOff>
                    <xdr:row>28</xdr:row>
                    <xdr:rowOff>586740</xdr:rowOff>
                  </to>
                </anchor>
              </controlPr>
            </control>
          </mc:Choice>
        </mc:AlternateContent>
        <mc:AlternateContent xmlns:mc="http://schemas.openxmlformats.org/markup-compatibility/2006">
          <mc:Choice Requires="x14">
            <control shapeId="76839" r:id="rId41" name="Option Button 39">
              <controlPr defaultSize="0" autoFill="0" autoLine="0" autoPict="0">
                <anchor moveWithCells="1">
                  <from>
                    <xdr:col>7</xdr:col>
                    <xdr:colOff>114300</xdr:colOff>
                    <xdr:row>28</xdr:row>
                    <xdr:rowOff>640080</xdr:rowOff>
                  </from>
                  <to>
                    <xdr:col>7</xdr:col>
                    <xdr:colOff>1958340</xdr:colOff>
                    <xdr:row>28</xdr:row>
                    <xdr:rowOff>830580</xdr:rowOff>
                  </to>
                </anchor>
              </controlPr>
            </control>
          </mc:Choice>
        </mc:AlternateContent>
        <mc:AlternateContent xmlns:mc="http://schemas.openxmlformats.org/markup-compatibility/2006">
          <mc:Choice Requires="x14">
            <control shapeId="76840" r:id="rId42" name="Option Button 40">
              <controlPr defaultSize="0" autoFill="0" autoLine="0" autoPict="0">
                <anchor moveWithCells="1">
                  <from>
                    <xdr:col>7</xdr:col>
                    <xdr:colOff>114300</xdr:colOff>
                    <xdr:row>28</xdr:row>
                    <xdr:rowOff>922020</xdr:rowOff>
                  </from>
                  <to>
                    <xdr:col>7</xdr:col>
                    <xdr:colOff>1958340</xdr:colOff>
                    <xdr:row>28</xdr:row>
                    <xdr:rowOff>1120140</xdr:rowOff>
                  </to>
                </anchor>
              </controlPr>
            </control>
          </mc:Choice>
        </mc:AlternateContent>
        <mc:AlternateContent xmlns:mc="http://schemas.openxmlformats.org/markup-compatibility/2006">
          <mc:Choice Requires="x14">
            <control shapeId="76841" r:id="rId43"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76842" r:id="rId44" name="Group Box 42">
              <controlPr defaultSize="0" autoFill="0" autoPict="0" altText="">
                <anchor moveWithCells="1">
                  <from>
                    <xdr:col>7</xdr:col>
                    <xdr:colOff>0</xdr:colOff>
                    <xdr:row>32</xdr:row>
                    <xdr:rowOff>0</xdr:rowOff>
                  </from>
                  <to>
                    <xdr:col>8</xdr:col>
                    <xdr:colOff>0</xdr:colOff>
                    <xdr:row>34</xdr:row>
                    <xdr:rowOff>0</xdr:rowOff>
                  </to>
                </anchor>
              </controlPr>
            </control>
          </mc:Choice>
        </mc:AlternateContent>
        <mc:AlternateContent xmlns:mc="http://schemas.openxmlformats.org/markup-compatibility/2006">
          <mc:Choice Requires="x14">
            <control shapeId="76843" r:id="rId45" name="Option Button 43">
              <controlPr defaultSize="0" autoFill="0" autoLine="0" autoPict="0">
                <anchor moveWithCells="1">
                  <from>
                    <xdr:col>7</xdr:col>
                    <xdr:colOff>114300</xdr:colOff>
                    <xdr:row>33</xdr:row>
                    <xdr:rowOff>144780</xdr:rowOff>
                  </from>
                  <to>
                    <xdr:col>7</xdr:col>
                    <xdr:colOff>1958340</xdr:colOff>
                    <xdr:row>33</xdr:row>
                    <xdr:rowOff>320040</xdr:rowOff>
                  </to>
                </anchor>
              </controlPr>
            </control>
          </mc:Choice>
        </mc:AlternateContent>
        <mc:AlternateContent xmlns:mc="http://schemas.openxmlformats.org/markup-compatibility/2006">
          <mc:Choice Requires="x14">
            <control shapeId="76844" r:id="rId46" name="Option Button 44">
              <controlPr defaultSize="0" autoFill="0" autoLine="0" autoPict="0">
                <anchor moveWithCells="1">
                  <from>
                    <xdr:col>7</xdr:col>
                    <xdr:colOff>114300</xdr:colOff>
                    <xdr:row>33</xdr:row>
                    <xdr:rowOff>396240</xdr:rowOff>
                  </from>
                  <to>
                    <xdr:col>7</xdr:col>
                    <xdr:colOff>1958340</xdr:colOff>
                    <xdr:row>33</xdr:row>
                    <xdr:rowOff>586740</xdr:rowOff>
                  </to>
                </anchor>
              </controlPr>
            </control>
          </mc:Choice>
        </mc:AlternateContent>
        <mc:AlternateContent xmlns:mc="http://schemas.openxmlformats.org/markup-compatibility/2006">
          <mc:Choice Requires="x14">
            <control shapeId="76845" r:id="rId47" name="Option Button 45">
              <controlPr defaultSize="0" autoFill="0" autoLine="0" autoPict="0">
                <anchor moveWithCells="1">
                  <from>
                    <xdr:col>7</xdr:col>
                    <xdr:colOff>114300</xdr:colOff>
                    <xdr:row>33</xdr:row>
                    <xdr:rowOff>640080</xdr:rowOff>
                  </from>
                  <to>
                    <xdr:col>7</xdr:col>
                    <xdr:colOff>1958340</xdr:colOff>
                    <xdr:row>33</xdr:row>
                    <xdr:rowOff>830580</xdr:rowOff>
                  </to>
                </anchor>
              </controlPr>
            </control>
          </mc:Choice>
        </mc:AlternateContent>
        <mc:AlternateContent xmlns:mc="http://schemas.openxmlformats.org/markup-compatibility/2006">
          <mc:Choice Requires="x14">
            <control shapeId="76846" r:id="rId48" name="Option Button 46">
              <controlPr defaultSize="0" autoFill="0" autoLine="0" autoPict="0">
                <anchor moveWithCells="1">
                  <from>
                    <xdr:col>7</xdr:col>
                    <xdr:colOff>114300</xdr:colOff>
                    <xdr:row>33</xdr:row>
                    <xdr:rowOff>929640</xdr:rowOff>
                  </from>
                  <to>
                    <xdr:col>7</xdr:col>
                    <xdr:colOff>1958340</xdr:colOff>
                    <xdr:row>33</xdr:row>
                    <xdr:rowOff>1120140</xdr:rowOff>
                  </to>
                </anchor>
              </controlPr>
            </control>
          </mc:Choice>
        </mc:AlternateContent>
        <mc:AlternateContent xmlns:mc="http://schemas.openxmlformats.org/markup-compatibility/2006">
          <mc:Choice Requires="x14">
            <control shapeId="76847" r:id="rId49" name="Group Box 47">
              <controlPr defaultSize="0" autoFill="0" autoPict="0">
                <anchor moveWithCells="1">
                  <from>
                    <xdr:col>7</xdr:col>
                    <xdr:colOff>0</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76848" r:id="rId50" name="Option Button 48">
              <controlPr defaultSize="0" autoFill="0" autoLine="0" autoPict="0" altText="Case d'option 47">
                <anchor moveWithCells="1">
                  <from>
                    <xdr:col>7</xdr:col>
                    <xdr:colOff>106680</xdr:colOff>
                    <xdr:row>32</xdr:row>
                    <xdr:rowOff>68580</xdr:rowOff>
                  </from>
                  <to>
                    <xdr:col>7</xdr:col>
                    <xdr:colOff>1501140</xdr:colOff>
                    <xdr:row>32</xdr:row>
                    <xdr:rowOff>259080</xdr:rowOff>
                  </to>
                </anchor>
              </controlPr>
            </control>
          </mc:Choice>
        </mc:AlternateContent>
        <mc:AlternateContent xmlns:mc="http://schemas.openxmlformats.org/markup-compatibility/2006">
          <mc:Choice Requires="x14">
            <control shapeId="76849" r:id="rId51" name="Option Button 49">
              <controlPr defaultSize="0" autoFill="0" autoLine="0" autoPict="0">
                <anchor moveWithCells="1">
                  <from>
                    <xdr:col>7</xdr:col>
                    <xdr:colOff>106680</xdr:colOff>
                    <xdr:row>32</xdr:row>
                    <xdr:rowOff>304800</xdr:rowOff>
                  </from>
                  <to>
                    <xdr:col>7</xdr:col>
                    <xdr:colOff>1958340</xdr:colOff>
                    <xdr:row>32</xdr:row>
                    <xdr:rowOff>502920</xdr:rowOff>
                  </to>
                </anchor>
              </controlPr>
            </control>
          </mc:Choice>
        </mc:AlternateContent>
        <mc:AlternateContent xmlns:mc="http://schemas.openxmlformats.org/markup-compatibility/2006">
          <mc:Choice Requires="x14">
            <control shapeId="76850" r:id="rId52"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76851" r:id="rId53"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76852" r:id="rId54"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76853" r:id="rId55" name="Option Button 53">
              <controlPr defaultSize="0" autoFill="0" autoLine="0" autoPict="0">
                <anchor moveWithCells="1">
                  <from>
                    <xdr:col>7</xdr:col>
                    <xdr:colOff>114300</xdr:colOff>
                    <xdr:row>31</xdr:row>
                    <xdr:rowOff>144780</xdr:rowOff>
                  </from>
                  <to>
                    <xdr:col>7</xdr:col>
                    <xdr:colOff>1958340</xdr:colOff>
                    <xdr:row>31</xdr:row>
                    <xdr:rowOff>320040</xdr:rowOff>
                  </to>
                </anchor>
              </controlPr>
            </control>
          </mc:Choice>
        </mc:AlternateContent>
        <mc:AlternateContent xmlns:mc="http://schemas.openxmlformats.org/markup-compatibility/2006">
          <mc:Choice Requires="x14">
            <control shapeId="76854" r:id="rId56" name="Option Button 54">
              <controlPr defaultSize="0" autoFill="0" autoLine="0" autoPict="0">
                <anchor moveWithCells="1">
                  <from>
                    <xdr:col>7</xdr:col>
                    <xdr:colOff>114300</xdr:colOff>
                    <xdr:row>31</xdr:row>
                    <xdr:rowOff>396240</xdr:rowOff>
                  </from>
                  <to>
                    <xdr:col>7</xdr:col>
                    <xdr:colOff>1958340</xdr:colOff>
                    <xdr:row>31</xdr:row>
                    <xdr:rowOff>586740</xdr:rowOff>
                  </to>
                </anchor>
              </controlPr>
            </control>
          </mc:Choice>
        </mc:AlternateContent>
        <mc:AlternateContent xmlns:mc="http://schemas.openxmlformats.org/markup-compatibility/2006">
          <mc:Choice Requires="x14">
            <control shapeId="76855" r:id="rId57" name="Option Button 55">
              <controlPr defaultSize="0" autoFill="0" autoLine="0" autoPict="0">
                <anchor moveWithCells="1">
                  <from>
                    <xdr:col>7</xdr:col>
                    <xdr:colOff>114300</xdr:colOff>
                    <xdr:row>31</xdr:row>
                    <xdr:rowOff>640080</xdr:rowOff>
                  </from>
                  <to>
                    <xdr:col>7</xdr:col>
                    <xdr:colOff>1958340</xdr:colOff>
                    <xdr:row>31</xdr:row>
                    <xdr:rowOff>830580</xdr:rowOff>
                  </to>
                </anchor>
              </controlPr>
            </control>
          </mc:Choice>
        </mc:AlternateContent>
        <mc:AlternateContent xmlns:mc="http://schemas.openxmlformats.org/markup-compatibility/2006">
          <mc:Choice Requires="x14">
            <control shapeId="76856" r:id="rId58" name="Option Button 56">
              <controlPr defaultSize="0" autoFill="0" autoLine="0" autoPict="0">
                <anchor moveWithCells="1">
                  <from>
                    <xdr:col>7</xdr:col>
                    <xdr:colOff>114300</xdr:colOff>
                    <xdr:row>31</xdr:row>
                    <xdr:rowOff>922020</xdr:rowOff>
                  </from>
                  <to>
                    <xdr:col>7</xdr:col>
                    <xdr:colOff>1958340</xdr:colOff>
                    <xdr:row>31</xdr:row>
                    <xdr:rowOff>1120140</xdr:rowOff>
                  </to>
                </anchor>
              </controlPr>
            </control>
          </mc:Choice>
        </mc:AlternateContent>
        <mc:AlternateContent xmlns:mc="http://schemas.openxmlformats.org/markup-compatibility/2006">
          <mc:Choice Requires="x14">
            <control shapeId="76857" r:id="rId59"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76858" r:id="rId60"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76859" r:id="rId61" name="Option Button 59">
              <controlPr defaultSize="0" autoFill="0" autoLine="0" autoPict="0">
                <anchor moveWithCells="1">
                  <from>
                    <xdr:col>7</xdr:col>
                    <xdr:colOff>106680</xdr:colOff>
                    <xdr:row>30</xdr:row>
                    <xdr:rowOff>304800</xdr:rowOff>
                  </from>
                  <to>
                    <xdr:col>7</xdr:col>
                    <xdr:colOff>1950720</xdr:colOff>
                    <xdr:row>30</xdr:row>
                    <xdr:rowOff>502920</xdr:rowOff>
                  </to>
                </anchor>
              </controlPr>
            </control>
          </mc:Choice>
        </mc:AlternateContent>
        <mc:AlternateContent xmlns:mc="http://schemas.openxmlformats.org/markup-compatibility/2006">
          <mc:Choice Requires="x14">
            <control shapeId="76860" r:id="rId62" name="Option Button 60">
              <controlPr defaultSize="0" autoFill="0" autoLine="0" autoPict="0">
                <anchor moveWithCells="1">
                  <from>
                    <xdr:col>7</xdr:col>
                    <xdr:colOff>106680</xdr:colOff>
                    <xdr:row>30</xdr:row>
                    <xdr:rowOff>579120</xdr:rowOff>
                  </from>
                  <to>
                    <xdr:col>7</xdr:col>
                    <xdr:colOff>1958340</xdr:colOff>
                    <xdr:row>30</xdr:row>
                    <xdr:rowOff>754380</xdr:rowOff>
                  </to>
                </anchor>
              </controlPr>
            </control>
          </mc:Choice>
        </mc:AlternateContent>
        <mc:AlternateContent xmlns:mc="http://schemas.openxmlformats.org/markup-compatibility/2006">
          <mc:Choice Requires="x14">
            <control shapeId="76861" r:id="rId63" name="Option Button 61">
              <controlPr defaultSize="0" autoFill="0" autoLine="0" autoPict="0">
                <anchor moveWithCells="1">
                  <from>
                    <xdr:col>7</xdr:col>
                    <xdr:colOff>106680</xdr:colOff>
                    <xdr:row>30</xdr:row>
                    <xdr:rowOff>822960</xdr:rowOff>
                  </from>
                  <to>
                    <xdr:col>7</xdr:col>
                    <xdr:colOff>937260</xdr:colOff>
                    <xdr:row>30</xdr:row>
                    <xdr:rowOff>1013460</xdr:rowOff>
                  </to>
                </anchor>
              </controlPr>
            </control>
          </mc:Choice>
        </mc:AlternateContent>
        <mc:AlternateContent xmlns:mc="http://schemas.openxmlformats.org/markup-compatibility/2006">
          <mc:Choice Requires="x14">
            <control shapeId="76862" r:id="rId64" name="Group Box 62">
              <controlPr defaultSize="0" autoFill="0" autoPict="0">
                <anchor moveWithCells="1">
                  <from>
                    <xdr:col>7</xdr:col>
                    <xdr:colOff>0</xdr:colOff>
                    <xdr:row>30</xdr:row>
                    <xdr:rowOff>0</xdr:rowOff>
                  </from>
                  <to>
                    <xdr:col>7</xdr:col>
                    <xdr:colOff>1958340</xdr:colOff>
                    <xdr:row>31</xdr:row>
                    <xdr:rowOff>0</xdr:rowOff>
                  </to>
                </anchor>
              </controlPr>
            </control>
          </mc:Choice>
        </mc:AlternateContent>
        <mc:AlternateContent xmlns:mc="http://schemas.openxmlformats.org/markup-compatibility/2006">
          <mc:Choice Requires="x14">
            <control shapeId="76863" r:id="rId65" name="Option Button 63">
              <controlPr defaultSize="0" autoFill="0" autoLine="0" autoPict="0" altText="Case d'option 47">
                <anchor moveWithCells="1">
                  <from>
                    <xdr:col>7</xdr:col>
                    <xdr:colOff>106680</xdr:colOff>
                    <xdr:row>29</xdr:row>
                    <xdr:rowOff>68580</xdr:rowOff>
                  </from>
                  <to>
                    <xdr:col>7</xdr:col>
                    <xdr:colOff>1501140</xdr:colOff>
                    <xdr:row>29</xdr:row>
                    <xdr:rowOff>259080</xdr:rowOff>
                  </to>
                </anchor>
              </controlPr>
            </control>
          </mc:Choice>
        </mc:AlternateContent>
        <mc:AlternateContent xmlns:mc="http://schemas.openxmlformats.org/markup-compatibility/2006">
          <mc:Choice Requires="x14">
            <control shapeId="76864" r:id="rId66" name="Option Button 64">
              <controlPr defaultSize="0" autoFill="0" autoLine="0" autoPict="0">
                <anchor moveWithCells="1">
                  <from>
                    <xdr:col>7</xdr:col>
                    <xdr:colOff>106680</xdr:colOff>
                    <xdr:row>29</xdr:row>
                    <xdr:rowOff>304800</xdr:rowOff>
                  </from>
                  <to>
                    <xdr:col>7</xdr:col>
                    <xdr:colOff>1958340</xdr:colOff>
                    <xdr:row>29</xdr:row>
                    <xdr:rowOff>502920</xdr:rowOff>
                  </to>
                </anchor>
              </controlPr>
            </control>
          </mc:Choice>
        </mc:AlternateContent>
        <mc:AlternateContent xmlns:mc="http://schemas.openxmlformats.org/markup-compatibility/2006">
          <mc:Choice Requires="x14">
            <control shapeId="76865" r:id="rId67" name="Option Button 65">
              <controlPr defaultSize="0" autoFill="0" autoLine="0" autoPict="0">
                <anchor moveWithCells="1">
                  <from>
                    <xdr:col>7</xdr:col>
                    <xdr:colOff>106680</xdr:colOff>
                    <xdr:row>29</xdr:row>
                    <xdr:rowOff>579120</xdr:rowOff>
                  </from>
                  <to>
                    <xdr:col>7</xdr:col>
                    <xdr:colOff>1965960</xdr:colOff>
                    <xdr:row>29</xdr:row>
                    <xdr:rowOff>754380</xdr:rowOff>
                  </to>
                </anchor>
              </controlPr>
            </control>
          </mc:Choice>
        </mc:AlternateContent>
        <mc:AlternateContent xmlns:mc="http://schemas.openxmlformats.org/markup-compatibility/2006">
          <mc:Choice Requires="x14">
            <control shapeId="76866" r:id="rId68"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76867" r:id="rId69"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76868" r:id="rId70" name="Option Button 68">
              <controlPr defaultSize="0" autoFill="0" autoLine="0" autoPict="0" altText="Case d'option 47">
                <anchor moveWithCells="1">
                  <from>
                    <xdr:col>7</xdr:col>
                    <xdr:colOff>106680</xdr:colOff>
                    <xdr:row>43</xdr:row>
                    <xdr:rowOff>68580</xdr:rowOff>
                  </from>
                  <to>
                    <xdr:col>7</xdr:col>
                    <xdr:colOff>1501140</xdr:colOff>
                    <xdr:row>43</xdr:row>
                    <xdr:rowOff>259080</xdr:rowOff>
                  </to>
                </anchor>
              </controlPr>
            </control>
          </mc:Choice>
        </mc:AlternateContent>
        <mc:AlternateContent xmlns:mc="http://schemas.openxmlformats.org/markup-compatibility/2006">
          <mc:Choice Requires="x14">
            <control shapeId="76869" r:id="rId71" name="Option Button 69">
              <controlPr defaultSize="0" autoFill="0" autoLine="0" autoPict="0">
                <anchor moveWithCells="1">
                  <from>
                    <xdr:col>7</xdr:col>
                    <xdr:colOff>106680</xdr:colOff>
                    <xdr:row>43</xdr:row>
                    <xdr:rowOff>304800</xdr:rowOff>
                  </from>
                  <to>
                    <xdr:col>7</xdr:col>
                    <xdr:colOff>1958340</xdr:colOff>
                    <xdr:row>43</xdr:row>
                    <xdr:rowOff>502920</xdr:rowOff>
                  </to>
                </anchor>
              </controlPr>
            </control>
          </mc:Choice>
        </mc:AlternateContent>
        <mc:AlternateContent xmlns:mc="http://schemas.openxmlformats.org/markup-compatibility/2006">
          <mc:Choice Requires="x14">
            <control shapeId="76870" r:id="rId72" name="Option Button 70">
              <controlPr defaultSize="0" autoFill="0" autoLine="0" autoPict="0">
                <anchor moveWithCells="1">
                  <from>
                    <xdr:col>7</xdr:col>
                    <xdr:colOff>106680</xdr:colOff>
                    <xdr:row>43</xdr:row>
                    <xdr:rowOff>579120</xdr:rowOff>
                  </from>
                  <to>
                    <xdr:col>7</xdr:col>
                    <xdr:colOff>1965960</xdr:colOff>
                    <xdr:row>43</xdr:row>
                    <xdr:rowOff>754380</xdr:rowOff>
                  </to>
                </anchor>
              </controlPr>
            </control>
          </mc:Choice>
        </mc:AlternateContent>
        <mc:AlternateContent xmlns:mc="http://schemas.openxmlformats.org/markup-compatibility/2006">
          <mc:Choice Requires="x14">
            <control shapeId="76871" r:id="rId73"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76872" r:id="rId74"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76873" r:id="rId75" name="Option Button 73">
              <controlPr defaultSize="0" autoFill="0" autoLine="0" autoPict="0">
                <anchor moveWithCells="1">
                  <from>
                    <xdr:col>7</xdr:col>
                    <xdr:colOff>114300</xdr:colOff>
                    <xdr:row>44</xdr:row>
                    <xdr:rowOff>167640</xdr:rowOff>
                  </from>
                  <to>
                    <xdr:col>7</xdr:col>
                    <xdr:colOff>1958340</xdr:colOff>
                    <xdr:row>44</xdr:row>
                    <xdr:rowOff>373380</xdr:rowOff>
                  </to>
                </anchor>
              </controlPr>
            </control>
          </mc:Choice>
        </mc:AlternateContent>
        <mc:AlternateContent xmlns:mc="http://schemas.openxmlformats.org/markup-compatibility/2006">
          <mc:Choice Requires="x14">
            <control shapeId="76874" r:id="rId76" name="Option Button 74">
              <controlPr defaultSize="0" autoFill="0" autoLine="0" autoPict="0">
                <anchor moveWithCells="1">
                  <from>
                    <xdr:col>7</xdr:col>
                    <xdr:colOff>114300</xdr:colOff>
                    <xdr:row>44</xdr:row>
                    <xdr:rowOff>457200</xdr:rowOff>
                  </from>
                  <to>
                    <xdr:col>7</xdr:col>
                    <xdr:colOff>1958340</xdr:colOff>
                    <xdr:row>44</xdr:row>
                    <xdr:rowOff>678180</xdr:rowOff>
                  </to>
                </anchor>
              </controlPr>
            </control>
          </mc:Choice>
        </mc:AlternateContent>
        <mc:AlternateContent xmlns:mc="http://schemas.openxmlformats.org/markup-compatibility/2006">
          <mc:Choice Requires="x14">
            <control shapeId="76875" r:id="rId77" name="Option Button 75">
              <controlPr defaultSize="0" autoFill="0" autoLine="0" autoPict="0">
                <anchor moveWithCells="1">
                  <from>
                    <xdr:col>7</xdr:col>
                    <xdr:colOff>114300</xdr:colOff>
                    <xdr:row>44</xdr:row>
                    <xdr:rowOff>739140</xdr:rowOff>
                  </from>
                  <to>
                    <xdr:col>7</xdr:col>
                    <xdr:colOff>1958340</xdr:colOff>
                    <xdr:row>44</xdr:row>
                    <xdr:rowOff>960120</xdr:rowOff>
                  </to>
                </anchor>
              </controlPr>
            </control>
          </mc:Choice>
        </mc:AlternateContent>
        <mc:AlternateContent xmlns:mc="http://schemas.openxmlformats.org/markup-compatibility/2006">
          <mc:Choice Requires="x14">
            <control shapeId="76876" r:id="rId78" name="Option Button 76">
              <controlPr defaultSize="0" autoFill="0" autoLine="0" autoPict="0">
                <anchor moveWithCells="1">
                  <from>
                    <xdr:col>7</xdr:col>
                    <xdr:colOff>114300</xdr:colOff>
                    <xdr:row>44</xdr:row>
                    <xdr:rowOff>1066800</xdr:rowOff>
                  </from>
                  <to>
                    <xdr:col>7</xdr:col>
                    <xdr:colOff>1958340</xdr:colOff>
                    <xdr:row>44</xdr:row>
                    <xdr:rowOff>1287780</xdr:rowOff>
                  </to>
                </anchor>
              </controlPr>
            </control>
          </mc:Choice>
        </mc:AlternateContent>
        <mc:AlternateContent xmlns:mc="http://schemas.openxmlformats.org/markup-compatibility/2006">
          <mc:Choice Requires="x14">
            <control shapeId="76877" r:id="rId79"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76878" r:id="rId80" name="Option Button 78">
              <controlPr defaultSize="0" autoFill="0" autoLine="0" autoPict="0" altText="Case d'option 47">
                <anchor moveWithCells="1">
                  <from>
                    <xdr:col>7</xdr:col>
                    <xdr:colOff>106680</xdr:colOff>
                    <xdr:row>46</xdr:row>
                    <xdr:rowOff>60960</xdr:rowOff>
                  </from>
                  <to>
                    <xdr:col>7</xdr:col>
                    <xdr:colOff>1501140</xdr:colOff>
                    <xdr:row>46</xdr:row>
                    <xdr:rowOff>236220</xdr:rowOff>
                  </to>
                </anchor>
              </controlPr>
            </control>
          </mc:Choice>
        </mc:AlternateContent>
        <mc:AlternateContent xmlns:mc="http://schemas.openxmlformats.org/markup-compatibility/2006">
          <mc:Choice Requires="x14">
            <control shapeId="76879" r:id="rId81" name="Option Button 79">
              <controlPr defaultSize="0" autoFill="0" autoLine="0" autoPict="0">
                <anchor moveWithCells="1">
                  <from>
                    <xdr:col>7</xdr:col>
                    <xdr:colOff>106680</xdr:colOff>
                    <xdr:row>46</xdr:row>
                    <xdr:rowOff>281940</xdr:rowOff>
                  </from>
                  <to>
                    <xdr:col>7</xdr:col>
                    <xdr:colOff>1958340</xdr:colOff>
                    <xdr:row>46</xdr:row>
                    <xdr:rowOff>464820</xdr:rowOff>
                  </to>
                </anchor>
              </controlPr>
            </control>
          </mc:Choice>
        </mc:AlternateContent>
        <mc:AlternateContent xmlns:mc="http://schemas.openxmlformats.org/markup-compatibility/2006">
          <mc:Choice Requires="x14">
            <control shapeId="76880" r:id="rId82" name="Option Button 80">
              <controlPr defaultSize="0" autoFill="0" autoLine="0" autoPict="0">
                <anchor moveWithCells="1">
                  <from>
                    <xdr:col>7</xdr:col>
                    <xdr:colOff>106680</xdr:colOff>
                    <xdr:row>46</xdr:row>
                    <xdr:rowOff>533400</xdr:rowOff>
                  </from>
                  <to>
                    <xdr:col>7</xdr:col>
                    <xdr:colOff>1965960</xdr:colOff>
                    <xdr:row>46</xdr:row>
                    <xdr:rowOff>693420</xdr:rowOff>
                  </to>
                </anchor>
              </controlPr>
            </control>
          </mc:Choice>
        </mc:AlternateContent>
        <mc:AlternateContent xmlns:mc="http://schemas.openxmlformats.org/markup-compatibility/2006">
          <mc:Choice Requires="x14">
            <control shapeId="76881" r:id="rId83"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76882" r:id="rId84"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76883" r:id="rId85" name="Option Button 83">
              <controlPr defaultSize="0" autoFill="0" autoLine="0" autoPict="0" altText="Case d'option 47">
                <anchor moveWithCells="1">
                  <from>
                    <xdr:col>7</xdr:col>
                    <xdr:colOff>106680</xdr:colOff>
                    <xdr:row>45</xdr:row>
                    <xdr:rowOff>68580</xdr:rowOff>
                  </from>
                  <to>
                    <xdr:col>7</xdr:col>
                    <xdr:colOff>1501140</xdr:colOff>
                    <xdr:row>45</xdr:row>
                    <xdr:rowOff>259080</xdr:rowOff>
                  </to>
                </anchor>
              </controlPr>
            </control>
          </mc:Choice>
        </mc:AlternateContent>
        <mc:AlternateContent xmlns:mc="http://schemas.openxmlformats.org/markup-compatibility/2006">
          <mc:Choice Requires="x14">
            <control shapeId="76884" r:id="rId86" name="Option Button 84">
              <controlPr defaultSize="0" autoFill="0" autoLine="0" autoPict="0">
                <anchor moveWithCells="1">
                  <from>
                    <xdr:col>7</xdr:col>
                    <xdr:colOff>106680</xdr:colOff>
                    <xdr:row>45</xdr:row>
                    <xdr:rowOff>304800</xdr:rowOff>
                  </from>
                  <to>
                    <xdr:col>7</xdr:col>
                    <xdr:colOff>1958340</xdr:colOff>
                    <xdr:row>45</xdr:row>
                    <xdr:rowOff>502920</xdr:rowOff>
                  </to>
                </anchor>
              </controlPr>
            </control>
          </mc:Choice>
        </mc:AlternateContent>
        <mc:AlternateContent xmlns:mc="http://schemas.openxmlformats.org/markup-compatibility/2006">
          <mc:Choice Requires="x14">
            <control shapeId="76885" r:id="rId87" name="Option Button 85">
              <controlPr defaultSize="0" autoFill="0" autoLine="0" autoPict="0">
                <anchor moveWithCells="1">
                  <from>
                    <xdr:col>7</xdr:col>
                    <xdr:colOff>106680</xdr:colOff>
                    <xdr:row>45</xdr:row>
                    <xdr:rowOff>579120</xdr:rowOff>
                  </from>
                  <to>
                    <xdr:col>7</xdr:col>
                    <xdr:colOff>1965960</xdr:colOff>
                    <xdr:row>45</xdr:row>
                    <xdr:rowOff>754380</xdr:rowOff>
                  </to>
                </anchor>
              </controlPr>
            </control>
          </mc:Choice>
        </mc:AlternateContent>
        <mc:AlternateContent xmlns:mc="http://schemas.openxmlformats.org/markup-compatibility/2006">
          <mc:Choice Requires="x14">
            <control shapeId="76886" r:id="rId88"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76887" r:id="rId89"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76888" r:id="rId90" name="Option Button 88">
              <controlPr defaultSize="0" autoFill="0" autoLine="0" autoPict="0">
                <anchor moveWithCells="1">
                  <from>
                    <xdr:col>7</xdr:col>
                    <xdr:colOff>114300</xdr:colOff>
                    <xdr:row>60</xdr:row>
                    <xdr:rowOff>144780</xdr:rowOff>
                  </from>
                  <to>
                    <xdr:col>7</xdr:col>
                    <xdr:colOff>1958340</xdr:colOff>
                    <xdr:row>60</xdr:row>
                    <xdr:rowOff>320040</xdr:rowOff>
                  </to>
                </anchor>
              </controlPr>
            </control>
          </mc:Choice>
        </mc:AlternateContent>
        <mc:AlternateContent xmlns:mc="http://schemas.openxmlformats.org/markup-compatibility/2006">
          <mc:Choice Requires="x14">
            <control shapeId="76889" r:id="rId91" name="Option Button 89">
              <controlPr defaultSize="0" autoFill="0" autoLine="0" autoPict="0">
                <anchor moveWithCells="1">
                  <from>
                    <xdr:col>7</xdr:col>
                    <xdr:colOff>114300</xdr:colOff>
                    <xdr:row>60</xdr:row>
                    <xdr:rowOff>396240</xdr:rowOff>
                  </from>
                  <to>
                    <xdr:col>7</xdr:col>
                    <xdr:colOff>1958340</xdr:colOff>
                    <xdr:row>60</xdr:row>
                    <xdr:rowOff>586740</xdr:rowOff>
                  </to>
                </anchor>
              </controlPr>
            </control>
          </mc:Choice>
        </mc:AlternateContent>
        <mc:AlternateContent xmlns:mc="http://schemas.openxmlformats.org/markup-compatibility/2006">
          <mc:Choice Requires="x14">
            <control shapeId="76890" r:id="rId92" name="Option Button 90">
              <controlPr defaultSize="0" autoFill="0" autoLine="0" autoPict="0">
                <anchor moveWithCells="1">
                  <from>
                    <xdr:col>7</xdr:col>
                    <xdr:colOff>114300</xdr:colOff>
                    <xdr:row>60</xdr:row>
                    <xdr:rowOff>640080</xdr:rowOff>
                  </from>
                  <to>
                    <xdr:col>7</xdr:col>
                    <xdr:colOff>1958340</xdr:colOff>
                    <xdr:row>60</xdr:row>
                    <xdr:rowOff>830580</xdr:rowOff>
                  </to>
                </anchor>
              </controlPr>
            </control>
          </mc:Choice>
        </mc:AlternateContent>
        <mc:AlternateContent xmlns:mc="http://schemas.openxmlformats.org/markup-compatibility/2006">
          <mc:Choice Requires="x14">
            <control shapeId="76891" r:id="rId93" name="Option Button 91">
              <controlPr defaultSize="0" autoFill="0" autoLine="0" autoPict="0">
                <anchor moveWithCells="1">
                  <from>
                    <xdr:col>7</xdr:col>
                    <xdr:colOff>114300</xdr:colOff>
                    <xdr:row>60</xdr:row>
                    <xdr:rowOff>922020</xdr:rowOff>
                  </from>
                  <to>
                    <xdr:col>7</xdr:col>
                    <xdr:colOff>1958340</xdr:colOff>
                    <xdr:row>60</xdr:row>
                    <xdr:rowOff>1120140</xdr:rowOff>
                  </to>
                </anchor>
              </controlPr>
            </control>
          </mc:Choice>
        </mc:AlternateContent>
        <mc:AlternateContent xmlns:mc="http://schemas.openxmlformats.org/markup-compatibility/2006">
          <mc:Choice Requires="x14">
            <control shapeId="76892" r:id="rId94"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76893" r:id="rId95" name="Option Button 93">
              <controlPr defaultSize="0" autoFill="0" autoLine="0" autoPict="0" altText="Case d'option 47">
                <anchor moveWithCells="1">
                  <from>
                    <xdr:col>7</xdr:col>
                    <xdr:colOff>106680</xdr:colOff>
                    <xdr:row>59</xdr:row>
                    <xdr:rowOff>68580</xdr:rowOff>
                  </from>
                  <to>
                    <xdr:col>7</xdr:col>
                    <xdr:colOff>1501140</xdr:colOff>
                    <xdr:row>59</xdr:row>
                    <xdr:rowOff>259080</xdr:rowOff>
                  </to>
                </anchor>
              </controlPr>
            </control>
          </mc:Choice>
        </mc:AlternateContent>
        <mc:AlternateContent xmlns:mc="http://schemas.openxmlformats.org/markup-compatibility/2006">
          <mc:Choice Requires="x14">
            <control shapeId="76894" r:id="rId96" name="Option Button 94">
              <controlPr defaultSize="0" autoFill="0" autoLine="0" autoPict="0">
                <anchor moveWithCells="1">
                  <from>
                    <xdr:col>7</xdr:col>
                    <xdr:colOff>106680</xdr:colOff>
                    <xdr:row>59</xdr:row>
                    <xdr:rowOff>304800</xdr:rowOff>
                  </from>
                  <to>
                    <xdr:col>7</xdr:col>
                    <xdr:colOff>1958340</xdr:colOff>
                    <xdr:row>59</xdr:row>
                    <xdr:rowOff>502920</xdr:rowOff>
                  </to>
                </anchor>
              </controlPr>
            </control>
          </mc:Choice>
        </mc:AlternateContent>
        <mc:AlternateContent xmlns:mc="http://schemas.openxmlformats.org/markup-compatibility/2006">
          <mc:Choice Requires="x14">
            <control shapeId="76895" r:id="rId97" name="Option Button 95">
              <controlPr defaultSize="0" autoFill="0" autoLine="0" autoPict="0">
                <anchor moveWithCells="1">
                  <from>
                    <xdr:col>7</xdr:col>
                    <xdr:colOff>106680</xdr:colOff>
                    <xdr:row>59</xdr:row>
                    <xdr:rowOff>579120</xdr:rowOff>
                  </from>
                  <to>
                    <xdr:col>7</xdr:col>
                    <xdr:colOff>1965960</xdr:colOff>
                    <xdr:row>59</xdr:row>
                    <xdr:rowOff>754380</xdr:rowOff>
                  </to>
                </anchor>
              </controlPr>
            </control>
          </mc:Choice>
        </mc:AlternateContent>
        <mc:AlternateContent xmlns:mc="http://schemas.openxmlformats.org/markup-compatibility/2006">
          <mc:Choice Requires="x14">
            <control shapeId="76896" r:id="rId98"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76897" r:id="rId99"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76898" r:id="rId100" name="Group Box 98">
              <controlPr defaultSize="0" autoFill="0" autoPict="0" altText="">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76899" r:id="rId101" name="Option Button 99">
              <controlPr defaultSize="0" autoFill="0" autoLine="0" autoPict="0">
                <anchor moveWithCells="1">
                  <from>
                    <xdr:col>7</xdr:col>
                    <xdr:colOff>114300</xdr:colOff>
                    <xdr:row>63</xdr:row>
                    <xdr:rowOff>144780</xdr:rowOff>
                  </from>
                  <to>
                    <xdr:col>7</xdr:col>
                    <xdr:colOff>1958340</xdr:colOff>
                    <xdr:row>63</xdr:row>
                    <xdr:rowOff>320040</xdr:rowOff>
                  </to>
                </anchor>
              </controlPr>
            </control>
          </mc:Choice>
        </mc:AlternateContent>
        <mc:AlternateContent xmlns:mc="http://schemas.openxmlformats.org/markup-compatibility/2006">
          <mc:Choice Requires="x14">
            <control shapeId="76900" r:id="rId102" name="Option Button 100">
              <controlPr defaultSize="0" autoFill="0" autoLine="0" autoPict="0">
                <anchor moveWithCells="1">
                  <from>
                    <xdr:col>7</xdr:col>
                    <xdr:colOff>114300</xdr:colOff>
                    <xdr:row>63</xdr:row>
                    <xdr:rowOff>396240</xdr:rowOff>
                  </from>
                  <to>
                    <xdr:col>7</xdr:col>
                    <xdr:colOff>1958340</xdr:colOff>
                    <xdr:row>63</xdr:row>
                    <xdr:rowOff>586740</xdr:rowOff>
                  </to>
                </anchor>
              </controlPr>
            </control>
          </mc:Choice>
        </mc:AlternateContent>
        <mc:AlternateContent xmlns:mc="http://schemas.openxmlformats.org/markup-compatibility/2006">
          <mc:Choice Requires="x14">
            <control shapeId="76901" r:id="rId103" name="Option Button 101">
              <controlPr defaultSize="0" autoFill="0" autoLine="0" autoPict="0">
                <anchor moveWithCells="1">
                  <from>
                    <xdr:col>7</xdr:col>
                    <xdr:colOff>114300</xdr:colOff>
                    <xdr:row>63</xdr:row>
                    <xdr:rowOff>640080</xdr:rowOff>
                  </from>
                  <to>
                    <xdr:col>7</xdr:col>
                    <xdr:colOff>1958340</xdr:colOff>
                    <xdr:row>63</xdr:row>
                    <xdr:rowOff>830580</xdr:rowOff>
                  </to>
                </anchor>
              </controlPr>
            </control>
          </mc:Choice>
        </mc:AlternateContent>
        <mc:AlternateContent xmlns:mc="http://schemas.openxmlformats.org/markup-compatibility/2006">
          <mc:Choice Requires="x14">
            <control shapeId="76902" r:id="rId104" name="Option Button 102">
              <controlPr defaultSize="0" autoFill="0" autoLine="0" autoPict="0">
                <anchor moveWithCells="1">
                  <from>
                    <xdr:col>7</xdr:col>
                    <xdr:colOff>114300</xdr:colOff>
                    <xdr:row>63</xdr:row>
                    <xdr:rowOff>922020</xdr:rowOff>
                  </from>
                  <to>
                    <xdr:col>7</xdr:col>
                    <xdr:colOff>1958340</xdr:colOff>
                    <xdr:row>63</xdr:row>
                    <xdr:rowOff>1120140</xdr:rowOff>
                  </to>
                </anchor>
              </controlPr>
            </control>
          </mc:Choice>
        </mc:AlternateContent>
        <mc:AlternateContent xmlns:mc="http://schemas.openxmlformats.org/markup-compatibility/2006">
          <mc:Choice Requires="x14">
            <control shapeId="76903" r:id="rId105"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76904" r:id="rId106" name="Option Button 104">
              <controlPr defaultSize="0" autoFill="0" autoLine="0" autoPict="0" altText="Case d'option 47">
                <anchor moveWithCells="1">
                  <from>
                    <xdr:col>7</xdr:col>
                    <xdr:colOff>114300</xdr:colOff>
                    <xdr:row>62</xdr:row>
                    <xdr:rowOff>68580</xdr:rowOff>
                  </from>
                  <to>
                    <xdr:col>7</xdr:col>
                    <xdr:colOff>1501140</xdr:colOff>
                    <xdr:row>62</xdr:row>
                    <xdr:rowOff>259080</xdr:rowOff>
                  </to>
                </anchor>
              </controlPr>
            </control>
          </mc:Choice>
        </mc:AlternateContent>
        <mc:AlternateContent xmlns:mc="http://schemas.openxmlformats.org/markup-compatibility/2006">
          <mc:Choice Requires="x14">
            <control shapeId="76905" r:id="rId107" name="Option Button 105">
              <controlPr defaultSize="0" autoFill="0" autoLine="0" autoPict="0">
                <anchor moveWithCells="1">
                  <from>
                    <xdr:col>7</xdr:col>
                    <xdr:colOff>114300</xdr:colOff>
                    <xdr:row>62</xdr:row>
                    <xdr:rowOff>304800</xdr:rowOff>
                  </from>
                  <to>
                    <xdr:col>7</xdr:col>
                    <xdr:colOff>1958340</xdr:colOff>
                    <xdr:row>62</xdr:row>
                    <xdr:rowOff>502920</xdr:rowOff>
                  </to>
                </anchor>
              </controlPr>
            </control>
          </mc:Choice>
        </mc:AlternateContent>
        <mc:AlternateContent xmlns:mc="http://schemas.openxmlformats.org/markup-compatibility/2006">
          <mc:Choice Requires="x14">
            <control shapeId="76906" r:id="rId108" name="Option Button 106">
              <controlPr defaultSize="0" autoFill="0" autoLine="0" autoPict="0">
                <anchor moveWithCells="1">
                  <from>
                    <xdr:col>7</xdr:col>
                    <xdr:colOff>114300</xdr:colOff>
                    <xdr:row>62</xdr:row>
                    <xdr:rowOff>579120</xdr:rowOff>
                  </from>
                  <to>
                    <xdr:col>7</xdr:col>
                    <xdr:colOff>1965960</xdr:colOff>
                    <xdr:row>62</xdr:row>
                    <xdr:rowOff>754380</xdr:rowOff>
                  </to>
                </anchor>
              </controlPr>
            </control>
          </mc:Choice>
        </mc:AlternateContent>
        <mc:AlternateContent xmlns:mc="http://schemas.openxmlformats.org/markup-compatibility/2006">
          <mc:Choice Requires="x14">
            <control shapeId="76907" r:id="rId109" name="Option Button 107">
              <controlPr defaultSize="0" autoFill="0" autoLine="0" autoPict="0">
                <anchor moveWithCells="1">
                  <from>
                    <xdr:col>7</xdr:col>
                    <xdr:colOff>114300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76908" r:id="rId110"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76909" r:id="rId111" name="Option Button 109">
              <controlPr defaultSize="0" autoFill="0" autoLine="0" autoPict="0" altText="Case d'option 47">
                <anchor moveWithCells="1">
                  <from>
                    <xdr:col>7</xdr:col>
                    <xdr:colOff>106680</xdr:colOff>
                    <xdr:row>61</xdr:row>
                    <xdr:rowOff>68580</xdr:rowOff>
                  </from>
                  <to>
                    <xdr:col>7</xdr:col>
                    <xdr:colOff>1501140</xdr:colOff>
                    <xdr:row>61</xdr:row>
                    <xdr:rowOff>259080</xdr:rowOff>
                  </to>
                </anchor>
              </controlPr>
            </control>
          </mc:Choice>
        </mc:AlternateContent>
        <mc:AlternateContent xmlns:mc="http://schemas.openxmlformats.org/markup-compatibility/2006">
          <mc:Choice Requires="x14">
            <control shapeId="76910" r:id="rId112" name="Option Button 110">
              <controlPr defaultSize="0" autoFill="0" autoLine="0" autoPict="0">
                <anchor moveWithCells="1">
                  <from>
                    <xdr:col>7</xdr:col>
                    <xdr:colOff>106680</xdr:colOff>
                    <xdr:row>61</xdr:row>
                    <xdr:rowOff>304800</xdr:rowOff>
                  </from>
                  <to>
                    <xdr:col>7</xdr:col>
                    <xdr:colOff>1958340</xdr:colOff>
                    <xdr:row>61</xdr:row>
                    <xdr:rowOff>502920</xdr:rowOff>
                  </to>
                </anchor>
              </controlPr>
            </control>
          </mc:Choice>
        </mc:AlternateContent>
        <mc:AlternateContent xmlns:mc="http://schemas.openxmlformats.org/markup-compatibility/2006">
          <mc:Choice Requires="x14">
            <control shapeId="76911" r:id="rId113" name="Option Button 111">
              <controlPr defaultSize="0" autoFill="0" autoLine="0" autoPict="0">
                <anchor moveWithCells="1">
                  <from>
                    <xdr:col>7</xdr:col>
                    <xdr:colOff>106680</xdr:colOff>
                    <xdr:row>61</xdr:row>
                    <xdr:rowOff>579120</xdr:rowOff>
                  </from>
                  <to>
                    <xdr:col>7</xdr:col>
                    <xdr:colOff>1965960</xdr:colOff>
                    <xdr:row>61</xdr:row>
                    <xdr:rowOff>754380</xdr:rowOff>
                  </to>
                </anchor>
              </controlPr>
            </control>
          </mc:Choice>
        </mc:AlternateContent>
        <mc:AlternateContent xmlns:mc="http://schemas.openxmlformats.org/markup-compatibility/2006">
          <mc:Choice Requires="x14">
            <control shapeId="76912" r:id="rId114"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76913" r:id="rId115"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76914" r:id="rId116" name="Option Button 114">
              <controlPr defaultSize="0" autoFill="0" autoLine="0" autoPict="0" altText="Case d'option 47">
                <anchor moveWithCells="1">
                  <from>
                    <xdr:col>7</xdr:col>
                    <xdr:colOff>114300</xdr:colOff>
                    <xdr:row>64</xdr:row>
                    <xdr:rowOff>68580</xdr:rowOff>
                  </from>
                  <to>
                    <xdr:col>7</xdr:col>
                    <xdr:colOff>1501140</xdr:colOff>
                    <xdr:row>64</xdr:row>
                    <xdr:rowOff>259080</xdr:rowOff>
                  </to>
                </anchor>
              </controlPr>
            </control>
          </mc:Choice>
        </mc:AlternateContent>
        <mc:AlternateContent xmlns:mc="http://schemas.openxmlformats.org/markup-compatibility/2006">
          <mc:Choice Requires="x14">
            <control shapeId="76915" r:id="rId117" name="Option Button 115">
              <controlPr defaultSize="0" autoFill="0" autoLine="0" autoPict="0">
                <anchor moveWithCells="1">
                  <from>
                    <xdr:col>7</xdr:col>
                    <xdr:colOff>114300</xdr:colOff>
                    <xdr:row>64</xdr:row>
                    <xdr:rowOff>304800</xdr:rowOff>
                  </from>
                  <to>
                    <xdr:col>7</xdr:col>
                    <xdr:colOff>1958340</xdr:colOff>
                    <xdr:row>64</xdr:row>
                    <xdr:rowOff>502920</xdr:rowOff>
                  </to>
                </anchor>
              </controlPr>
            </control>
          </mc:Choice>
        </mc:AlternateContent>
        <mc:AlternateContent xmlns:mc="http://schemas.openxmlformats.org/markup-compatibility/2006">
          <mc:Choice Requires="x14">
            <control shapeId="76916" r:id="rId118" name="Option Button 116">
              <controlPr defaultSize="0" autoFill="0" autoLine="0" autoPict="0">
                <anchor moveWithCells="1">
                  <from>
                    <xdr:col>7</xdr:col>
                    <xdr:colOff>114300</xdr:colOff>
                    <xdr:row>64</xdr:row>
                    <xdr:rowOff>579120</xdr:rowOff>
                  </from>
                  <to>
                    <xdr:col>7</xdr:col>
                    <xdr:colOff>1965960</xdr:colOff>
                    <xdr:row>64</xdr:row>
                    <xdr:rowOff>754380</xdr:rowOff>
                  </to>
                </anchor>
              </controlPr>
            </control>
          </mc:Choice>
        </mc:AlternateContent>
        <mc:AlternateContent xmlns:mc="http://schemas.openxmlformats.org/markup-compatibility/2006">
          <mc:Choice Requires="x14">
            <control shapeId="76917" r:id="rId119" name="Option Button 117">
              <controlPr defaultSize="0" autoFill="0" autoLine="0" autoPict="0">
                <anchor moveWithCells="1">
                  <from>
                    <xdr:col>7</xdr:col>
                    <xdr:colOff>114300</xdr:colOff>
                    <xdr:row>64</xdr:row>
                    <xdr:rowOff>822960</xdr:rowOff>
                  </from>
                  <to>
                    <xdr:col>7</xdr:col>
                    <xdr:colOff>937260</xdr:colOff>
                    <xdr:row>64</xdr:row>
                    <xdr:rowOff>1005840</xdr:rowOff>
                  </to>
                </anchor>
              </controlPr>
            </control>
          </mc:Choice>
        </mc:AlternateContent>
        <mc:AlternateContent xmlns:mc="http://schemas.openxmlformats.org/markup-compatibility/2006">
          <mc:Choice Requires="x14">
            <control shapeId="76918" r:id="rId120" name="Group Box 118">
              <controlPr defaultSize="0" autoFill="0" autoPict="0">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76919" r:id="rId121" name="Option Button 119">
              <controlPr defaultSize="0" autoFill="0" autoLine="0" autoPict="0">
                <anchor moveWithCells="1">
                  <from>
                    <xdr:col>7</xdr:col>
                    <xdr:colOff>114300</xdr:colOff>
                    <xdr:row>78</xdr:row>
                    <xdr:rowOff>144780</xdr:rowOff>
                  </from>
                  <to>
                    <xdr:col>7</xdr:col>
                    <xdr:colOff>1958340</xdr:colOff>
                    <xdr:row>78</xdr:row>
                    <xdr:rowOff>320040</xdr:rowOff>
                  </to>
                </anchor>
              </controlPr>
            </control>
          </mc:Choice>
        </mc:AlternateContent>
        <mc:AlternateContent xmlns:mc="http://schemas.openxmlformats.org/markup-compatibility/2006">
          <mc:Choice Requires="x14">
            <control shapeId="76920" r:id="rId122" name="Option Button 120">
              <controlPr defaultSize="0" autoFill="0" autoLine="0" autoPict="0">
                <anchor moveWithCells="1">
                  <from>
                    <xdr:col>7</xdr:col>
                    <xdr:colOff>114300</xdr:colOff>
                    <xdr:row>78</xdr:row>
                    <xdr:rowOff>396240</xdr:rowOff>
                  </from>
                  <to>
                    <xdr:col>7</xdr:col>
                    <xdr:colOff>1958340</xdr:colOff>
                    <xdr:row>78</xdr:row>
                    <xdr:rowOff>586740</xdr:rowOff>
                  </to>
                </anchor>
              </controlPr>
            </control>
          </mc:Choice>
        </mc:AlternateContent>
        <mc:AlternateContent xmlns:mc="http://schemas.openxmlformats.org/markup-compatibility/2006">
          <mc:Choice Requires="x14">
            <control shapeId="76921" r:id="rId123" name="Option Button 121">
              <controlPr defaultSize="0" autoFill="0" autoLine="0" autoPict="0">
                <anchor moveWithCells="1">
                  <from>
                    <xdr:col>7</xdr:col>
                    <xdr:colOff>114300</xdr:colOff>
                    <xdr:row>78</xdr:row>
                    <xdr:rowOff>640080</xdr:rowOff>
                  </from>
                  <to>
                    <xdr:col>7</xdr:col>
                    <xdr:colOff>1958340</xdr:colOff>
                    <xdr:row>78</xdr:row>
                    <xdr:rowOff>830580</xdr:rowOff>
                  </to>
                </anchor>
              </controlPr>
            </control>
          </mc:Choice>
        </mc:AlternateContent>
        <mc:AlternateContent xmlns:mc="http://schemas.openxmlformats.org/markup-compatibility/2006">
          <mc:Choice Requires="x14">
            <control shapeId="76922" r:id="rId124" name="Option Button 122">
              <controlPr defaultSize="0" autoFill="0" autoLine="0" autoPict="0">
                <anchor moveWithCells="1">
                  <from>
                    <xdr:col>7</xdr:col>
                    <xdr:colOff>114300</xdr:colOff>
                    <xdr:row>78</xdr:row>
                    <xdr:rowOff>922020</xdr:rowOff>
                  </from>
                  <to>
                    <xdr:col>7</xdr:col>
                    <xdr:colOff>1958340</xdr:colOff>
                    <xdr:row>78</xdr:row>
                    <xdr:rowOff>1120140</xdr:rowOff>
                  </to>
                </anchor>
              </controlPr>
            </control>
          </mc:Choice>
        </mc:AlternateContent>
        <mc:AlternateContent xmlns:mc="http://schemas.openxmlformats.org/markup-compatibility/2006">
          <mc:Choice Requires="x14">
            <control shapeId="76923" r:id="rId125"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76924" r:id="rId126" name="Option Button 124">
              <controlPr defaultSize="0" autoFill="0" autoLine="0" autoPict="0" altText="Case d'option 47">
                <anchor moveWithCells="1">
                  <from>
                    <xdr:col>7</xdr:col>
                    <xdr:colOff>106680</xdr:colOff>
                    <xdr:row>77</xdr:row>
                    <xdr:rowOff>68580</xdr:rowOff>
                  </from>
                  <to>
                    <xdr:col>7</xdr:col>
                    <xdr:colOff>1501140</xdr:colOff>
                    <xdr:row>77</xdr:row>
                    <xdr:rowOff>259080</xdr:rowOff>
                  </to>
                </anchor>
              </controlPr>
            </control>
          </mc:Choice>
        </mc:AlternateContent>
        <mc:AlternateContent xmlns:mc="http://schemas.openxmlformats.org/markup-compatibility/2006">
          <mc:Choice Requires="x14">
            <control shapeId="76925" r:id="rId127" name="Option Button 125">
              <controlPr defaultSize="0" autoFill="0" autoLine="0" autoPict="0">
                <anchor moveWithCells="1">
                  <from>
                    <xdr:col>7</xdr:col>
                    <xdr:colOff>106680</xdr:colOff>
                    <xdr:row>77</xdr:row>
                    <xdr:rowOff>304800</xdr:rowOff>
                  </from>
                  <to>
                    <xdr:col>7</xdr:col>
                    <xdr:colOff>1958340</xdr:colOff>
                    <xdr:row>77</xdr:row>
                    <xdr:rowOff>502920</xdr:rowOff>
                  </to>
                </anchor>
              </controlPr>
            </control>
          </mc:Choice>
        </mc:AlternateContent>
        <mc:AlternateContent xmlns:mc="http://schemas.openxmlformats.org/markup-compatibility/2006">
          <mc:Choice Requires="x14">
            <control shapeId="76926" r:id="rId128" name="Option Button 126">
              <controlPr defaultSize="0" autoFill="0" autoLine="0" autoPict="0">
                <anchor moveWithCells="1">
                  <from>
                    <xdr:col>7</xdr:col>
                    <xdr:colOff>106680</xdr:colOff>
                    <xdr:row>77</xdr:row>
                    <xdr:rowOff>579120</xdr:rowOff>
                  </from>
                  <to>
                    <xdr:col>7</xdr:col>
                    <xdr:colOff>1965960</xdr:colOff>
                    <xdr:row>77</xdr:row>
                    <xdr:rowOff>754380</xdr:rowOff>
                  </to>
                </anchor>
              </controlPr>
            </control>
          </mc:Choice>
        </mc:AlternateContent>
        <mc:AlternateContent xmlns:mc="http://schemas.openxmlformats.org/markup-compatibility/2006">
          <mc:Choice Requires="x14">
            <control shapeId="76927" r:id="rId129"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76928" r:id="rId130"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76929" r:id="rId131" name="Option Button 129">
              <controlPr defaultSize="0" autoFill="0" autoLine="0" autoPict="0">
                <anchor moveWithCells="1">
                  <from>
                    <xdr:col>7</xdr:col>
                    <xdr:colOff>114300</xdr:colOff>
                    <xdr:row>81</xdr:row>
                    <xdr:rowOff>144780</xdr:rowOff>
                  </from>
                  <to>
                    <xdr:col>7</xdr:col>
                    <xdr:colOff>1958340</xdr:colOff>
                    <xdr:row>81</xdr:row>
                    <xdr:rowOff>320040</xdr:rowOff>
                  </to>
                </anchor>
              </controlPr>
            </control>
          </mc:Choice>
        </mc:AlternateContent>
        <mc:AlternateContent xmlns:mc="http://schemas.openxmlformats.org/markup-compatibility/2006">
          <mc:Choice Requires="x14">
            <control shapeId="76930" r:id="rId132" name="Option Button 130">
              <controlPr defaultSize="0" autoFill="0" autoLine="0" autoPict="0">
                <anchor moveWithCells="1">
                  <from>
                    <xdr:col>7</xdr:col>
                    <xdr:colOff>114300</xdr:colOff>
                    <xdr:row>81</xdr:row>
                    <xdr:rowOff>396240</xdr:rowOff>
                  </from>
                  <to>
                    <xdr:col>7</xdr:col>
                    <xdr:colOff>1958340</xdr:colOff>
                    <xdr:row>81</xdr:row>
                    <xdr:rowOff>586740</xdr:rowOff>
                  </to>
                </anchor>
              </controlPr>
            </control>
          </mc:Choice>
        </mc:AlternateContent>
        <mc:AlternateContent xmlns:mc="http://schemas.openxmlformats.org/markup-compatibility/2006">
          <mc:Choice Requires="x14">
            <control shapeId="76931" r:id="rId133" name="Option Button 131">
              <controlPr defaultSize="0" autoFill="0" autoLine="0" autoPict="0">
                <anchor moveWithCells="1">
                  <from>
                    <xdr:col>7</xdr:col>
                    <xdr:colOff>114300</xdr:colOff>
                    <xdr:row>81</xdr:row>
                    <xdr:rowOff>640080</xdr:rowOff>
                  </from>
                  <to>
                    <xdr:col>7</xdr:col>
                    <xdr:colOff>1958340</xdr:colOff>
                    <xdr:row>81</xdr:row>
                    <xdr:rowOff>830580</xdr:rowOff>
                  </to>
                </anchor>
              </controlPr>
            </control>
          </mc:Choice>
        </mc:AlternateContent>
        <mc:AlternateContent xmlns:mc="http://schemas.openxmlformats.org/markup-compatibility/2006">
          <mc:Choice Requires="x14">
            <control shapeId="76932" r:id="rId134" name="Option Button 132">
              <controlPr defaultSize="0" autoFill="0" autoLine="0" autoPict="0">
                <anchor moveWithCells="1">
                  <from>
                    <xdr:col>7</xdr:col>
                    <xdr:colOff>114300</xdr:colOff>
                    <xdr:row>81</xdr:row>
                    <xdr:rowOff>922020</xdr:rowOff>
                  </from>
                  <to>
                    <xdr:col>7</xdr:col>
                    <xdr:colOff>1958340</xdr:colOff>
                    <xdr:row>81</xdr:row>
                    <xdr:rowOff>1120140</xdr:rowOff>
                  </to>
                </anchor>
              </controlPr>
            </control>
          </mc:Choice>
        </mc:AlternateContent>
        <mc:AlternateContent xmlns:mc="http://schemas.openxmlformats.org/markup-compatibility/2006">
          <mc:Choice Requires="x14">
            <control shapeId="76933" r:id="rId135"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76934" r:id="rId136" name="Option Button 134">
              <controlPr defaultSize="0" autoFill="0" autoLine="0" autoPict="0" altText="Case d'option 47">
                <anchor moveWithCells="1">
                  <from>
                    <xdr:col>7</xdr:col>
                    <xdr:colOff>114300</xdr:colOff>
                    <xdr:row>80</xdr:row>
                    <xdr:rowOff>68580</xdr:rowOff>
                  </from>
                  <to>
                    <xdr:col>7</xdr:col>
                    <xdr:colOff>1501140</xdr:colOff>
                    <xdr:row>80</xdr:row>
                    <xdr:rowOff>259080</xdr:rowOff>
                  </to>
                </anchor>
              </controlPr>
            </control>
          </mc:Choice>
        </mc:AlternateContent>
        <mc:AlternateContent xmlns:mc="http://schemas.openxmlformats.org/markup-compatibility/2006">
          <mc:Choice Requires="x14">
            <control shapeId="76935" r:id="rId137" name="Option Button 135">
              <controlPr defaultSize="0" autoFill="0" autoLine="0" autoPict="0">
                <anchor moveWithCells="1">
                  <from>
                    <xdr:col>7</xdr:col>
                    <xdr:colOff>114300</xdr:colOff>
                    <xdr:row>80</xdr:row>
                    <xdr:rowOff>304800</xdr:rowOff>
                  </from>
                  <to>
                    <xdr:col>7</xdr:col>
                    <xdr:colOff>1958340</xdr:colOff>
                    <xdr:row>80</xdr:row>
                    <xdr:rowOff>502920</xdr:rowOff>
                  </to>
                </anchor>
              </controlPr>
            </control>
          </mc:Choice>
        </mc:AlternateContent>
        <mc:AlternateContent xmlns:mc="http://schemas.openxmlformats.org/markup-compatibility/2006">
          <mc:Choice Requires="x14">
            <control shapeId="76936" r:id="rId138" name="Option Button 136">
              <controlPr defaultSize="0" autoFill="0" autoLine="0" autoPict="0">
                <anchor moveWithCells="1">
                  <from>
                    <xdr:col>7</xdr:col>
                    <xdr:colOff>114300</xdr:colOff>
                    <xdr:row>80</xdr:row>
                    <xdr:rowOff>579120</xdr:rowOff>
                  </from>
                  <to>
                    <xdr:col>7</xdr:col>
                    <xdr:colOff>1965960</xdr:colOff>
                    <xdr:row>80</xdr:row>
                    <xdr:rowOff>754380</xdr:rowOff>
                  </to>
                </anchor>
              </controlPr>
            </control>
          </mc:Choice>
        </mc:AlternateContent>
        <mc:AlternateContent xmlns:mc="http://schemas.openxmlformats.org/markup-compatibility/2006">
          <mc:Choice Requires="x14">
            <control shapeId="76937" r:id="rId139" name="Option Button 137">
              <controlPr defaultSize="0" autoFill="0" autoLine="0" autoPict="0">
                <anchor moveWithCells="1">
                  <from>
                    <xdr:col>7</xdr:col>
                    <xdr:colOff>114300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76938" r:id="rId140"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76939" r:id="rId141" name="Option Button 139">
              <controlPr defaultSize="0" autoFill="0" autoLine="0" autoPict="0" altText="Case d'option 47">
                <anchor moveWithCells="1">
                  <from>
                    <xdr:col>7</xdr:col>
                    <xdr:colOff>106680</xdr:colOff>
                    <xdr:row>79</xdr:row>
                    <xdr:rowOff>68580</xdr:rowOff>
                  </from>
                  <to>
                    <xdr:col>7</xdr:col>
                    <xdr:colOff>1501140</xdr:colOff>
                    <xdr:row>79</xdr:row>
                    <xdr:rowOff>259080</xdr:rowOff>
                  </to>
                </anchor>
              </controlPr>
            </control>
          </mc:Choice>
        </mc:AlternateContent>
        <mc:AlternateContent xmlns:mc="http://schemas.openxmlformats.org/markup-compatibility/2006">
          <mc:Choice Requires="x14">
            <control shapeId="76940" r:id="rId142" name="Option Button 140">
              <controlPr defaultSize="0" autoFill="0" autoLine="0" autoPict="0">
                <anchor moveWithCells="1">
                  <from>
                    <xdr:col>7</xdr:col>
                    <xdr:colOff>106680</xdr:colOff>
                    <xdr:row>79</xdr:row>
                    <xdr:rowOff>304800</xdr:rowOff>
                  </from>
                  <to>
                    <xdr:col>7</xdr:col>
                    <xdr:colOff>1958340</xdr:colOff>
                    <xdr:row>79</xdr:row>
                    <xdr:rowOff>502920</xdr:rowOff>
                  </to>
                </anchor>
              </controlPr>
            </control>
          </mc:Choice>
        </mc:AlternateContent>
        <mc:AlternateContent xmlns:mc="http://schemas.openxmlformats.org/markup-compatibility/2006">
          <mc:Choice Requires="x14">
            <control shapeId="76941" r:id="rId143" name="Option Button 141">
              <controlPr defaultSize="0" autoFill="0" autoLine="0" autoPict="0">
                <anchor moveWithCells="1">
                  <from>
                    <xdr:col>7</xdr:col>
                    <xdr:colOff>106680</xdr:colOff>
                    <xdr:row>79</xdr:row>
                    <xdr:rowOff>579120</xdr:rowOff>
                  </from>
                  <to>
                    <xdr:col>7</xdr:col>
                    <xdr:colOff>1965960</xdr:colOff>
                    <xdr:row>79</xdr:row>
                    <xdr:rowOff>754380</xdr:rowOff>
                  </to>
                </anchor>
              </controlPr>
            </control>
          </mc:Choice>
        </mc:AlternateContent>
        <mc:AlternateContent xmlns:mc="http://schemas.openxmlformats.org/markup-compatibility/2006">
          <mc:Choice Requires="x14">
            <control shapeId="76942" r:id="rId144"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76943" r:id="rId145"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76944" r:id="rId146"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77066" r:id="rId147" name="Option Button 145">
              <controlPr defaultSize="0" autoFill="0" autoLine="0" autoPict="0">
                <anchor moveWithCells="1">
                  <from>
                    <xdr:col>7</xdr:col>
                    <xdr:colOff>114300</xdr:colOff>
                    <xdr:row>27</xdr:row>
                    <xdr:rowOff>144780</xdr:rowOff>
                  </from>
                  <to>
                    <xdr:col>7</xdr:col>
                    <xdr:colOff>1958340</xdr:colOff>
                    <xdr:row>27</xdr:row>
                    <xdr:rowOff>320040</xdr:rowOff>
                  </to>
                </anchor>
              </controlPr>
            </control>
          </mc:Choice>
        </mc:AlternateContent>
        <mc:AlternateContent xmlns:mc="http://schemas.openxmlformats.org/markup-compatibility/2006">
          <mc:Choice Requires="x14">
            <control shapeId="76946" r:id="rId148" name="Option Button 146">
              <controlPr defaultSize="0" autoFill="0" autoLine="0" autoPict="0">
                <anchor moveWithCells="1">
                  <from>
                    <xdr:col>7</xdr:col>
                    <xdr:colOff>114300</xdr:colOff>
                    <xdr:row>27</xdr:row>
                    <xdr:rowOff>396240</xdr:rowOff>
                  </from>
                  <to>
                    <xdr:col>7</xdr:col>
                    <xdr:colOff>1958340</xdr:colOff>
                    <xdr:row>27</xdr:row>
                    <xdr:rowOff>586740</xdr:rowOff>
                  </to>
                </anchor>
              </controlPr>
            </control>
          </mc:Choice>
        </mc:AlternateContent>
        <mc:AlternateContent xmlns:mc="http://schemas.openxmlformats.org/markup-compatibility/2006">
          <mc:Choice Requires="x14">
            <control shapeId="76947" r:id="rId149" name="Option Button 147">
              <controlPr defaultSize="0" autoFill="0" autoLine="0" autoPict="0">
                <anchor moveWithCells="1">
                  <from>
                    <xdr:col>7</xdr:col>
                    <xdr:colOff>114300</xdr:colOff>
                    <xdr:row>27</xdr:row>
                    <xdr:rowOff>640080</xdr:rowOff>
                  </from>
                  <to>
                    <xdr:col>7</xdr:col>
                    <xdr:colOff>1958340</xdr:colOff>
                    <xdr:row>27</xdr:row>
                    <xdr:rowOff>830580</xdr:rowOff>
                  </to>
                </anchor>
              </controlPr>
            </control>
          </mc:Choice>
        </mc:AlternateContent>
        <mc:AlternateContent xmlns:mc="http://schemas.openxmlformats.org/markup-compatibility/2006">
          <mc:Choice Requires="x14">
            <control shapeId="76948" r:id="rId150" name="Option Button 148">
              <controlPr defaultSize="0" autoFill="0" autoLine="0" autoPict="0">
                <anchor moveWithCells="1">
                  <from>
                    <xdr:col>7</xdr:col>
                    <xdr:colOff>114300</xdr:colOff>
                    <xdr:row>27</xdr:row>
                    <xdr:rowOff>922020</xdr:rowOff>
                  </from>
                  <to>
                    <xdr:col>7</xdr:col>
                    <xdr:colOff>1958340</xdr:colOff>
                    <xdr:row>27</xdr:row>
                    <xdr:rowOff>1120140</xdr:rowOff>
                  </to>
                </anchor>
              </controlPr>
            </control>
          </mc:Choice>
        </mc:AlternateContent>
        <mc:AlternateContent xmlns:mc="http://schemas.openxmlformats.org/markup-compatibility/2006">
          <mc:Choice Requires="x14">
            <control shapeId="76949" r:id="rId151"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76950" r:id="rId152" name="Option Button 150">
              <controlPr defaultSize="0" autoFill="0" autoLine="0" autoPict="0">
                <anchor moveWithCells="1">
                  <from>
                    <xdr:col>7</xdr:col>
                    <xdr:colOff>114300</xdr:colOff>
                    <xdr:row>65</xdr:row>
                    <xdr:rowOff>144780</xdr:rowOff>
                  </from>
                  <to>
                    <xdr:col>7</xdr:col>
                    <xdr:colOff>1958340</xdr:colOff>
                    <xdr:row>65</xdr:row>
                    <xdr:rowOff>320040</xdr:rowOff>
                  </to>
                </anchor>
              </controlPr>
            </control>
          </mc:Choice>
        </mc:AlternateContent>
        <mc:AlternateContent xmlns:mc="http://schemas.openxmlformats.org/markup-compatibility/2006">
          <mc:Choice Requires="x14">
            <control shapeId="77068" r:id="rId153" name="Option Button 151">
              <controlPr defaultSize="0" autoFill="0" autoLine="0" autoPict="0">
                <anchor moveWithCells="1">
                  <from>
                    <xdr:col>7</xdr:col>
                    <xdr:colOff>114300</xdr:colOff>
                    <xdr:row>65</xdr:row>
                    <xdr:rowOff>396240</xdr:rowOff>
                  </from>
                  <to>
                    <xdr:col>7</xdr:col>
                    <xdr:colOff>1958340</xdr:colOff>
                    <xdr:row>65</xdr:row>
                    <xdr:rowOff>586740</xdr:rowOff>
                  </to>
                </anchor>
              </controlPr>
            </control>
          </mc:Choice>
        </mc:AlternateContent>
        <mc:AlternateContent xmlns:mc="http://schemas.openxmlformats.org/markup-compatibility/2006">
          <mc:Choice Requires="x14">
            <control shapeId="77069" r:id="rId154" name="Option Button 152">
              <controlPr defaultSize="0" autoFill="0" autoLine="0" autoPict="0">
                <anchor moveWithCells="1">
                  <from>
                    <xdr:col>7</xdr:col>
                    <xdr:colOff>114300</xdr:colOff>
                    <xdr:row>65</xdr:row>
                    <xdr:rowOff>640080</xdr:rowOff>
                  </from>
                  <to>
                    <xdr:col>7</xdr:col>
                    <xdr:colOff>1958340</xdr:colOff>
                    <xdr:row>65</xdr:row>
                    <xdr:rowOff>830580</xdr:rowOff>
                  </to>
                </anchor>
              </controlPr>
            </control>
          </mc:Choice>
        </mc:AlternateContent>
        <mc:AlternateContent xmlns:mc="http://schemas.openxmlformats.org/markup-compatibility/2006">
          <mc:Choice Requires="x14">
            <control shapeId="77070" r:id="rId155" name="Option Button 153">
              <controlPr defaultSize="0" autoFill="0" autoLine="0" autoPict="0">
                <anchor moveWithCells="1">
                  <from>
                    <xdr:col>7</xdr:col>
                    <xdr:colOff>114300</xdr:colOff>
                    <xdr:row>65</xdr:row>
                    <xdr:rowOff>922020</xdr:rowOff>
                  </from>
                  <to>
                    <xdr:col>7</xdr:col>
                    <xdr:colOff>1958340</xdr:colOff>
                    <xdr:row>65</xdr:row>
                    <xdr:rowOff>1120140</xdr:rowOff>
                  </to>
                </anchor>
              </controlPr>
            </control>
          </mc:Choice>
        </mc:AlternateContent>
        <mc:AlternateContent xmlns:mc="http://schemas.openxmlformats.org/markup-compatibility/2006">
          <mc:Choice Requires="x14">
            <control shapeId="76954" r:id="rId156" name="Group Box 154">
              <controlPr defaultSize="0" autoFill="0" autoPict="0">
                <anchor moveWithCells="1">
                  <from>
                    <xdr:col>7</xdr:col>
                    <xdr:colOff>0</xdr:colOff>
                    <xdr:row>65</xdr:row>
                    <xdr:rowOff>0</xdr:rowOff>
                  </from>
                  <to>
                    <xdr:col>8</xdr:col>
                    <xdr:colOff>0</xdr:colOff>
                    <xdr:row>66</xdr:row>
                    <xdr:rowOff>0</xdr:rowOff>
                  </to>
                </anchor>
              </controlPr>
            </control>
          </mc:Choice>
        </mc:AlternateContent>
        <mc:AlternateContent xmlns:mc="http://schemas.openxmlformats.org/markup-compatibility/2006">
          <mc:Choice Requires="x14">
            <control shapeId="76955" r:id="rId157" name="Option Button 155">
              <controlPr defaultSize="0" autoFill="0" autoLine="0" autoPict="0" altText="Case d'option 47">
                <anchor moveWithCells="1">
                  <from>
                    <xdr:col>7</xdr:col>
                    <xdr:colOff>106680</xdr:colOff>
                    <xdr:row>47</xdr:row>
                    <xdr:rowOff>68580</xdr:rowOff>
                  </from>
                  <to>
                    <xdr:col>7</xdr:col>
                    <xdr:colOff>1501140</xdr:colOff>
                    <xdr:row>47</xdr:row>
                    <xdr:rowOff>259080</xdr:rowOff>
                  </to>
                </anchor>
              </controlPr>
            </control>
          </mc:Choice>
        </mc:AlternateContent>
        <mc:AlternateContent xmlns:mc="http://schemas.openxmlformats.org/markup-compatibility/2006">
          <mc:Choice Requires="x14">
            <control shapeId="76956" r:id="rId158" name="Option Button 156">
              <controlPr defaultSize="0" autoFill="0" autoLine="0" autoPict="0">
                <anchor moveWithCells="1">
                  <from>
                    <xdr:col>7</xdr:col>
                    <xdr:colOff>106680</xdr:colOff>
                    <xdr:row>47</xdr:row>
                    <xdr:rowOff>304800</xdr:rowOff>
                  </from>
                  <to>
                    <xdr:col>7</xdr:col>
                    <xdr:colOff>1958340</xdr:colOff>
                    <xdr:row>47</xdr:row>
                    <xdr:rowOff>502920</xdr:rowOff>
                  </to>
                </anchor>
              </controlPr>
            </control>
          </mc:Choice>
        </mc:AlternateContent>
        <mc:AlternateContent xmlns:mc="http://schemas.openxmlformats.org/markup-compatibility/2006">
          <mc:Choice Requires="x14">
            <control shapeId="76957" r:id="rId159" name="Option Button 157">
              <controlPr defaultSize="0" autoFill="0" autoLine="0" autoPict="0">
                <anchor moveWithCells="1">
                  <from>
                    <xdr:col>7</xdr:col>
                    <xdr:colOff>106680</xdr:colOff>
                    <xdr:row>47</xdr:row>
                    <xdr:rowOff>579120</xdr:rowOff>
                  </from>
                  <to>
                    <xdr:col>7</xdr:col>
                    <xdr:colOff>1965960</xdr:colOff>
                    <xdr:row>47</xdr:row>
                    <xdr:rowOff>754380</xdr:rowOff>
                  </to>
                </anchor>
              </controlPr>
            </control>
          </mc:Choice>
        </mc:AlternateContent>
        <mc:AlternateContent xmlns:mc="http://schemas.openxmlformats.org/markup-compatibility/2006">
          <mc:Choice Requires="x14">
            <control shapeId="76958" r:id="rId160" name="Option Button 158">
              <controlPr defaultSize="0" autoFill="0" autoLine="0" autoPict="0">
                <anchor moveWithCells="1">
                  <from>
                    <xdr:col>7</xdr:col>
                    <xdr:colOff>106680</xdr:colOff>
                    <xdr:row>47</xdr:row>
                    <xdr:rowOff>822960</xdr:rowOff>
                  </from>
                  <to>
                    <xdr:col>7</xdr:col>
                    <xdr:colOff>937260</xdr:colOff>
                    <xdr:row>47</xdr:row>
                    <xdr:rowOff>1005840</xdr:rowOff>
                  </to>
                </anchor>
              </controlPr>
            </control>
          </mc:Choice>
        </mc:AlternateContent>
        <mc:AlternateContent xmlns:mc="http://schemas.openxmlformats.org/markup-compatibility/2006">
          <mc:Choice Requires="x14">
            <control shapeId="77071" r:id="rId161" name="Group Box 159">
              <controlPr defaultSize="0" autoFill="0" autoPict="0">
                <anchor mov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77072" r:id="rId162" name="Option Button 160">
              <controlPr defaultSize="0" autoFill="0" autoLine="0" autoPict="0" altText="Case d'option 47">
                <anchor moveWithCells="1">
                  <from>
                    <xdr:col>7</xdr:col>
                    <xdr:colOff>106680</xdr:colOff>
                    <xdr:row>49</xdr:row>
                    <xdr:rowOff>68580</xdr:rowOff>
                  </from>
                  <to>
                    <xdr:col>7</xdr:col>
                    <xdr:colOff>1501140</xdr:colOff>
                    <xdr:row>49</xdr:row>
                    <xdr:rowOff>259080</xdr:rowOff>
                  </to>
                </anchor>
              </controlPr>
            </control>
          </mc:Choice>
        </mc:AlternateContent>
        <mc:AlternateContent xmlns:mc="http://schemas.openxmlformats.org/markup-compatibility/2006">
          <mc:Choice Requires="x14">
            <control shapeId="76961" r:id="rId163" name="Option Button 161">
              <controlPr defaultSize="0" autoFill="0" autoLine="0" autoPict="0">
                <anchor moveWithCells="1">
                  <from>
                    <xdr:col>7</xdr:col>
                    <xdr:colOff>106680</xdr:colOff>
                    <xdr:row>49</xdr:row>
                    <xdr:rowOff>304800</xdr:rowOff>
                  </from>
                  <to>
                    <xdr:col>7</xdr:col>
                    <xdr:colOff>1958340</xdr:colOff>
                    <xdr:row>49</xdr:row>
                    <xdr:rowOff>502920</xdr:rowOff>
                  </to>
                </anchor>
              </controlPr>
            </control>
          </mc:Choice>
        </mc:AlternateContent>
        <mc:AlternateContent xmlns:mc="http://schemas.openxmlformats.org/markup-compatibility/2006">
          <mc:Choice Requires="x14">
            <control shapeId="76962" r:id="rId164" name="Option Button 162">
              <controlPr defaultSize="0" autoFill="0" autoLine="0" autoPict="0">
                <anchor moveWithCells="1">
                  <from>
                    <xdr:col>7</xdr:col>
                    <xdr:colOff>106680</xdr:colOff>
                    <xdr:row>49</xdr:row>
                    <xdr:rowOff>579120</xdr:rowOff>
                  </from>
                  <to>
                    <xdr:col>7</xdr:col>
                    <xdr:colOff>1965960</xdr:colOff>
                    <xdr:row>49</xdr:row>
                    <xdr:rowOff>754380</xdr:rowOff>
                  </to>
                </anchor>
              </controlPr>
            </control>
          </mc:Choice>
        </mc:AlternateContent>
        <mc:AlternateContent xmlns:mc="http://schemas.openxmlformats.org/markup-compatibility/2006">
          <mc:Choice Requires="x14">
            <control shapeId="76963" r:id="rId165" name="Option Button 163">
              <controlPr defaultSize="0" autoFill="0" autoLine="0" autoPict="0">
                <anchor moveWithCells="1">
                  <from>
                    <xdr:col>7</xdr:col>
                    <xdr:colOff>106680</xdr:colOff>
                    <xdr:row>49</xdr:row>
                    <xdr:rowOff>822960</xdr:rowOff>
                  </from>
                  <to>
                    <xdr:col>7</xdr:col>
                    <xdr:colOff>937260</xdr:colOff>
                    <xdr:row>49</xdr:row>
                    <xdr:rowOff>1005840</xdr:rowOff>
                  </to>
                </anchor>
              </controlPr>
            </control>
          </mc:Choice>
        </mc:AlternateContent>
        <mc:AlternateContent xmlns:mc="http://schemas.openxmlformats.org/markup-compatibility/2006">
          <mc:Choice Requires="x14">
            <control shapeId="76964" r:id="rId166" name="Group Box 164">
              <controlPr defaultSize="0" autoFill="0" autoPict="0">
                <anchor moveWithCells="1">
                  <from>
                    <xdr:col>7</xdr:col>
                    <xdr:colOff>0</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76965" r:id="rId167" name="Option Button 165">
              <controlPr defaultSize="0" autoFill="0" autoLine="0" autoPict="0">
                <anchor moveWithCells="1">
                  <from>
                    <xdr:col>7</xdr:col>
                    <xdr:colOff>114300</xdr:colOff>
                    <xdr:row>83</xdr:row>
                    <xdr:rowOff>144780</xdr:rowOff>
                  </from>
                  <to>
                    <xdr:col>7</xdr:col>
                    <xdr:colOff>1958340</xdr:colOff>
                    <xdr:row>83</xdr:row>
                    <xdr:rowOff>320040</xdr:rowOff>
                  </to>
                </anchor>
              </controlPr>
            </control>
          </mc:Choice>
        </mc:AlternateContent>
        <mc:AlternateContent xmlns:mc="http://schemas.openxmlformats.org/markup-compatibility/2006">
          <mc:Choice Requires="x14">
            <control shapeId="77077" r:id="rId168" name="Option Button 166">
              <controlPr defaultSize="0" autoFill="0" autoLine="0" autoPict="0">
                <anchor moveWithCells="1">
                  <from>
                    <xdr:col>7</xdr:col>
                    <xdr:colOff>114300</xdr:colOff>
                    <xdr:row>83</xdr:row>
                    <xdr:rowOff>396240</xdr:rowOff>
                  </from>
                  <to>
                    <xdr:col>7</xdr:col>
                    <xdr:colOff>1958340</xdr:colOff>
                    <xdr:row>83</xdr:row>
                    <xdr:rowOff>586740</xdr:rowOff>
                  </to>
                </anchor>
              </controlPr>
            </control>
          </mc:Choice>
        </mc:AlternateContent>
        <mc:AlternateContent xmlns:mc="http://schemas.openxmlformats.org/markup-compatibility/2006">
          <mc:Choice Requires="x14">
            <control shapeId="77078" r:id="rId169" name="Option Button 167">
              <controlPr defaultSize="0" autoFill="0" autoLine="0" autoPict="0">
                <anchor moveWithCells="1">
                  <from>
                    <xdr:col>7</xdr:col>
                    <xdr:colOff>114300</xdr:colOff>
                    <xdr:row>83</xdr:row>
                    <xdr:rowOff>640080</xdr:rowOff>
                  </from>
                  <to>
                    <xdr:col>7</xdr:col>
                    <xdr:colOff>1958340</xdr:colOff>
                    <xdr:row>83</xdr:row>
                    <xdr:rowOff>830580</xdr:rowOff>
                  </to>
                </anchor>
              </controlPr>
            </control>
          </mc:Choice>
        </mc:AlternateContent>
        <mc:AlternateContent xmlns:mc="http://schemas.openxmlformats.org/markup-compatibility/2006">
          <mc:Choice Requires="x14">
            <control shapeId="77079" r:id="rId170" name="Option Button 168">
              <controlPr defaultSize="0" autoFill="0" autoLine="0" autoPict="0">
                <anchor moveWithCells="1">
                  <from>
                    <xdr:col>7</xdr:col>
                    <xdr:colOff>114300</xdr:colOff>
                    <xdr:row>83</xdr:row>
                    <xdr:rowOff>922020</xdr:rowOff>
                  </from>
                  <to>
                    <xdr:col>7</xdr:col>
                    <xdr:colOff>1958340</xdr:colOff>
                    <xdr:row>83</xdr:row>
                    <xdr:rowOff>1120140</xdr:rowOff>
                  </to>
                </anchor>
              </controlPr>
            </control>
          </mc:Choice>
        </mc:AlternateContent>
        <mc:AlternateContent xmlns:mc="http://schemas.openxmlformats.org/markup-compatibility/2006">
          <mc:Choice Requires="x14">
            <control shapeId="76969" r:id="rId171" name="Group Box 169">
              <controlPr defaultSize="0" autoFill="0" autoPict="0">
                <anchor moveWithCells="1">
                  <from>
                    <xdr:col>7</xdr:col>
                    <xdr:colOff>0</xdr:colOff>
                    <xdr:row>83</xdr:row>
                    <xdr:rowOff>0</xdr:rowOff>
                  </from>
                  <to>
                    <xdr:col>8</xdr:col>
                    <xdr:colOff>0</xdr:colOff>
                    <xdr:row>84</xdr:row>
                    <xdr:rowOff>0</xdr:rowOff>
                  </to>
                </anchor>
              </controlPr>
            </control>
          </mc:Choice>
        </mc:AlternateContent>
        <mc:AlternateContent xmlns:mc="http://schemas.openxmlformats.org/markup-compatibility/2006">
          <mc:Choice Requires="x14">
            <control shapeId="76970" r:id="rId172" name="Option Button 170">
              <controlPr defaultSize="0" autoFill="0" autoLine="0" autoPict="0" altText="Case d'option 47">
                <anchor moveWithCells="1">
                  <from>
                    <xdr:col>7</xdr:col>
                    <xdr:colOff>114300</xdr:colOff>
                    <xdr:row>82</xdr:row>
                    <xdr:rowOff>68580</xdr:rowOff>
                  </from>
                  <to>
                    <xdr:col>7</xdr:col>
                    <xdr:colOff>1501140</xdr:colOff>
                    <xdr:row>82</xdr:row>
                    <xdr:rowOff>259080</xdr:rowOff>
                  </to>
                </anchor>
              </controlPr>
            </control>
          </mc:Choice>
        </mc:AlternateContent>
        <mc:AlternateContent xmlns:mc="http://schemas.openxmlformats.org/markup-compatibility/2006">
          <mc:Choice Requires="x14">
            <control shapeId="76971" r:id="rId173" name="Option Button 171">
              <controlPr defaultSize="0" autoFill="0" autoLine="0" autoPict="0">
                <anchor moveWithCells="1">
                  <from>
                    <xdr:col>7</xdr:col>
                    <xdr:colOff>114300</xdr:colOff>
                    <xdr:row>82</xdr:row>
                    <xdr:rowOff>304800</xdr:rowOff>
                  </from>
                  <to>
                    <xdr:col>7</xdr:col>
                    <xdr:colOff>1958340</xdr:colOff>
                    <xdr:row>82</xdr:row>
                    <xdr:rowOff>502920</xdr:rowOff>
                  </to>
                </anchor>
              </controlPr>
            </control>
          </mc:Choice>
        </mc:AlternateContent>
        <mc:AlternateContent xmlns:mc="http://schemas.openxmlformats.org/markup-compatibility/2006">
          <mc:Choice Requires="x14">
            <control shapeId="76972" r:id="rId174" name="Option Button 172">
              <controlPr defaultSize="0" autoFill="0" autoLine="0" autoPict="0">
                <anchor moveWithCells="1">
                  <from>
                    <xdr:col>7</xdr:col>
                    <xdr:colOff>114300</xdr:colOff>
                    <xdr:row>82</xdr:row>
                    <xdr:rowOff>579120</xdr:rowOff>
                  </from>
                  <to>
                    <xdr:col>7</xdr:col>
                    <xdr:colOff>1965960</xdr:colOff>
                    <xdr:row>82</xdr:row>
                    <xdr:rowOff>754380</xdr:rowOff>
                  </to>
                </anchor>
              </controlPr>
            </control>
          </mc:Choice>
        </mc:AlternateContent>
        <mc:AlternateContent xmlns:mc="http://schemas.openxmlformats.org/markup-compatibility/2006">
          <mc:Choice Requires="x14">
            <control shapeId="76973" r:id="rId175" name="Option Button 173">
              <controlPr defaultSize="0" autoFill="0" autoLine="0" autoPict="0">
                <anchor moveWithCells="1">
                  <from>
                    <xdr:col>7</xdr:col>
                    <xdr:colOff>114300</xdr:colOff>
                    <xdr:row>82</xdr:row>
                    <xdr:rowOff>822960</xdr:rowOff>
                  </from>
                  <to>
                    <xdr:col>7</xdr:col>
                    <xdr:colOff>937260</xdr:colOff>
                    <xdr:row>82</xdr:row>
                    <xdr:rowOff>1005840</xdr:rowOff>
                  </to>
                </anchor>
              </controlPr>
            </control>
          </mc:Choice>
        </mc:AlternateContent>
        <mc:AlternateContent xmlns:mc="http://schemas.openxmlformats.org/markup-compatibility/2006">
          <mc:Choice Requires="x14">
            <control shapeId="77080" r:id="rId176" name="Group Box 174">
              <controlPr defaultSize="0" autoFill="0" autoPict="0">
                <anchor moveWithCells="1">
                  <from>
                    <xdr:col>7</xdr:col>
                    <xdr:colOff>0</xdr:colOff>
                    <xdr:row>82</xdr:row>
                    <xdr:rowOff>0</xdr:rowOff>
                  </from>
                  <to>
                    <xdr:col>8</xdr:col>
                    <xdr:colOff>0</xdr:colOff>
                    <xdr:row>83</xdr:row>
                    <xdr:rowOff>0</xdr:rowOff>
                  </to>
                </anchor>
              </controlPr>
            </control>
          </mc:Choice>
        </mc:AlternateContent>
        <mc:AlternateContent xmlns:mc="http://schemas.openxmlformats.org/markup-compatibility/2006">
          <mc:Choice Requires="x14">
            <control shapeId="77081" r:id="rId177" name="Option Button 175">
              <controlPr defaultSize="0" autoFill="0" autoLine="0" autoPict="0">
                <anchor moveWithCells="1">
                  <from>
                    <xdr:col>7</xdr:col>
                    <xdr:colOff>114300</xdr:colOff>
                    <xdr:row>94</xdr:row>
                    <xdr:rowOff>144780</xdr:rowOff>
                  </from>
                  <to>
                    <xdr:col>7</xdr:col>
                    <xdr:colOff>1958340</xdr:colOff>
                    <xdr:row>94</xdr:row>
                    <xdr:rowOff>320040</xdr:rowOff>
                  </to>
                </anchor>
              </controlPr>
            </control>
          </mc:Choice>
        </mc:AlternateContent>
        <mc:AlternateContent xmlns:mc="http://schemas.openxmlformats.org/markup-compatibility/2006">
          <mc:Choice Requires="x14">
            <control shapeId="77083" r:id="rId178" name="Option Button 176">
              <controlPr defaultSize="0" autoFill="0" autoLine="0" autoPict="0">
                <anchor moveWithCells="1">
                  <from>
                    <xdr:col>7</xdr:col>
                    <xdr:colOff>114300</xdr:colOff>
                    <xdr:row>94</xdr:row>
                    <xdr:rowOff>396240</xdr:rowOff>
                  </from>
                  <to>
                    <xdr:col>7</xdr:col>
                    <xdr:colOff>1958340</xdr:colOff>
                    <xdr:row>94</xdr:row>
                    <xdr:rowOff>586740</xdr:rowOff>
                  </to>
                </anchor>
              </controlPr>
            </control>
          </mc:Choice>
        </mc:AlternateContent>
        <mc:AlternateContent xmlns:mc="http://schemas.openxmlformats.org/markup-compatibility/2006">
          <mc:Choice Requires="x14">
            <control shapeId="76977" r:id="rId179" name="Option Button 177">
              <controlPr defaultSize="0" autoFill="0" autoLine="0" autoPict="0">
                <anchor moveWithCells="1">
                  <from>
                    <xdr:col>7</xdr:col>
                    <xdr:colOff>114300</xdr:colOff>
                    <xdr:row>94</xdr:row>
                    <xdr:rowOff>640080</xdr:rowOff>
                  </from>
                  <to>
                    <xdr:col>7</xdr:col>
                    <xdr:colOff>1958340</xdr:colOff>
                    <xdr:row>94</xdr:row>
                    <xdr:rowOff>830580</xdr:rowOff>
                  </to>
                </anchor>
              </controlPr>
            </control>
          </mc:Choice>
        </mc:AlternateContent>
        <mc:AlternateContent xmlns:mc="http://schemas.openxmlformats.org/markup-compatibility/2006">
          <mc:Choice Requires="x14">
            <control shapeId="76978" r:id="rId180" name="Option Button 178">
              <controlPr defaultSize="0" autoFill="0" autoLine="0" autoPict="0">
                <anchor moveWithCells="1">
                  <from>
                    <xdr:col>7</xdr:col>
                    <xdr:colOff>114300</xdr:colOff>
                    <xdr:row>94</xdr:row>
                    <xdr:rowOff>922020</xdr:rowOff>
                  </from>
                  <to>
                    <xdr:col>7</xdr:col>
                    <xdr:colOff>1958340</xdr:colOff>
                    <xdr:row>94</xdr:row>
                    <xdr:rowOff>1120140</xdr:rowOff>
                  </to>
                </anchor>
              </controlPr>
            </control>
          </mc:Choice>
        </mc:AlternateContent>
        <mc:AlternateContent xmlns:mc="http://schemas.openxmlformats.org/markup-compatibility/2006">
          <mc:Choice Requires="x14">
            <control shapeId="76979" r:id="rId181" name="Group Box 179">
              <controlPr defaultSize="0" autoFill="0" autoPict="0">
                <anchor moveWithCells="1">
                  <from>
                    <xdr:col>7</xdr:col>
                    <xdr:colOff>0</xdr:colOff>
                    <xdr:row>94</xdr:row>
                    <xdr:rowOff>0</xdr:rowOff>
                  </from>
                  <to>
                    <xdr:col>8</xdr:col>
                    <xdr:colOff>0</xdr:colOff>
                    <xdr:row>95</xdr:row>
                    <xdr:rowOff>0</xdr:rowOff>
                  </to>
                </anchor>
              </controlPr>
            </control>
          </mc:Choice>
        </mc:AlternateContent>
        <mc:AlternateContent xmlns:mc="http://schemas.openxmlformats.org/markup-compatibility/2006">
          <mc:Choice Requires="x14">
            <control shapeId="76980" r:id="rId182" name="Option Button 180">
              <controlPr defaultSize="0" autoFill="0" autoLine="0" autoPict="0" altText="Case d'option 47">
                <anchor moveWithCells="1">
                  <from>
                    <xdr:col>7</xdr:col>
                    <xdr:colOff>106680</xdr:colOff>
                    <xdr:row>93</xdr:row>
                    <xdr:rowOff>68580</xdr:rowOff>
                  </from>
                  <to>
                    <xdr:col>7</xdr:col>
                    <xdr:colOff>1501140</xdr:colOff>
                    <xdr:row>93</xdr:row>
                    <xdr:rowOff>259080</xdr:rowOff>
                  </to>
                </anchor>
              </controlPr>
            </control>
          </mc:Choice>
        </mc:AlternateContent>
        <mc:AlternateContent xmlns:mc="http://schemas.openxmlformats.org/markup-compatibility/2006">
          <mc:Choice Requires="x14">
            <control shapeId="76981" r:id="rId183" name="Option Button 181">
              <controlPr defaultSize="0" autoFill="0" autoLine="0" autoPict="0">
                <anchor moveWithCells="1">
                  <from>
                    <xdr:col>7</xdr:col>
                    <xdr:colOff>106680</xdr:colOff>
                    <xdr:row>93</xdr:row>
                    <xdr:rowOff>304800</xdr:rowOff>
                  </from>
                  <to>
                    <xdr:col>7</xdr:col>
                    <xdr:colOff>1958340</xdr:colOff>
                    <xdr:row>93</xdr:row>
                    <xdr:rowOff>502920</xdr:rowOff>
                  </to>
                </anchor>
              </controlPr>
            </control>
          </mc:Choice>
        </mc:AlternateContent>
        <mc:AlternateContent xmlns:mc="http://schemas.openxmlformats.org/markup-compatibility/2006">
          <mc:Choice Requires="x14">
            <control shapeId="77084" r:id="rId184" name="Option Button 182">
              <controlPr defaultSize="0" autoFill="0" autoLine="0" autoPict="0">
                <anchor moveWithCells="1">
                  <from>
                    <xdr:col>7</xdr:col>
                    <xdr:colOff>106680</xdr:colOff>
                    <xdr:row>93</xdr:row>
                    <xdr:rowOff>579120</xdr:rowOff>
                  </from>
                  <to>
                    <xdr:col>7</xdr:col>
                    <xdr:colOff>1965960</xdr:colOff>
                    <xdr:row>93</xdr:row>
                    <xdr:rowOff>754380</xdr:rowOff>
                  </to>
                </anchor>
              </controlPr>
            </control>
          </mc:Choice>
        </mc:AlternateContent>
        <mc:AlternateContent xmlns:mc="http://schemas.openxmlformats.org/markup-compatibility/2006">
          <mc:Choice Requires="x14">
            <control shapeId="76983" r:id="rId185" name="Option Button 183">
              <controlPr defaultSize="0" autoFill="0" autoLine="0" autoPict="0">
                <anchor moveWithCells="1">
                  <from>
                    <xdr:col>7</xdr:col>
                    <xdr:colOff>106680</xdr:colOff>
                    <xdr:row>93</xdr:row>
                    <xdr:rowOff>822960</xdr:rowOff>
                  </from>
                  <to>
                    <xdr:col>7</xdr:col>
                    <xdr:colOff>937260</xdr:colOff>
                    <xdr:row>93</xdr:row>
                    <xdr:rowOff>1005840</xdr:rowOff>
                  </to>
                </anchor>
              </controlPr>
            </control>
          </mc:Choice>
        </mc:AlternateContent>
        <mc:AlternateContent xmlns:mc="http://schemas.openxmlformats.org/markup-compatibility/2006">
          <mc:Choice Requires="x14">
            <control shapeId="76984" r:id="rId186" name="Group Box 184">
              <controlPr defaultSize="0" autoFill="0" autoPict="0">
                <anchor moveWithCells="1">
                  <from>
                    <xdr:col>7</xdr:col>
                    <xdr:colOff>0</xdr:colOff>
                    <xdr:row>93</xdr:row>
                    <xdr:rowOff>0</xdr:rowOff>
                  </from>
                  <to>
                    <xdr:col>8</xdr:col>
                    <xdr:colOff>0</xdr:colOff>
                    <xdr:row>94</xdr:row>
                    <xdr:rowOff>0</xdr:rowOff>
                  </to>
                </anchor>
              </controlPr>
            </control>
          </mc:Choice>
        </mc:AlternateContent>
        <mc:AlternateContent xmlns:mc="http://schemas.openxmlformats.org/markup-compatibility/2006">
          <mc:Choice Requires="x14">
            <control shapeId="76985" r:id="rId187" name="Option Button 185">
              <controlPr defaultSize="0" autoFill="0" autoLine="0" autoPict="0">
                <anchor moveWithCells="1">
                  <from>
                    <xdr:col>7</xdr:col>
                    <xdr:colOff>114300</xdr:colOff>
                    <xdr:row>97</xdr:row>
                    <xdr:rowOff>144780</xdr:rowOff>
                  </from>
                  <to>
                    <xdr:col>7</xdr:col>
                    <xdr:colOff>1958340</xdr:colOff>
                    <xdr:row>97</xdr:row>
                    <xdr:rowOff>320040</xdr:rowOff>
                  </to>
                </anchor>
              </controlPr>
            </control>
          </mc:Choice>
        </mc:AlternateContent>
        <mc:AlternateContent xmlns:mc="http://schemas.openxmlformats.org/markup-compatibility/2006">
          <mc:Choice Requires="x14">
            <control shapeId="76986" r:id="rId188" name="Option Button 186">
              <controlPr defaultSize="0" autoFill="0" autoLine="0" autoPict="0">
                <anchor moveWithCells="1">
                  <from>
                    <xdr:col>7</xdr:col>
                    <xdr:colOff>114300</xdr:colOff>
                    <xdr:row>97</xdr:row>
                    <xdr:rowOff>396240</xdr:rowOff>
                  </from>
                  <to>
                    <xdr:col>7</xdr:col>
                    <xdr:colOff>1958340</xdr:colOff>
                    <xdr:row>97</xdr:row>
                    <xdr:rowOff>586740</xdr:rowOff>
                  </to>
                </anchor>
              </controlPr>
            </control>
          </mc:Choice>
        </mc:AlternateContent>
        <mc:AlternateContent xmlns:mc="http://schemas.openxmlformats.org/markup-compatibility/2006">
          <mc:Choice Requires="x14">
            <control shapeId="76987" r:id="rId189" name="Option Button 187">
              <controlPr defaultSize="0" autoFill="0" autoLine="0" autoPict="0">
                <anchor moveWithCells="1">
                  <from>
                    <xdr:col>7</xdr:col>
                    <xdr:colOff>114300</xdr:colOff>
                    <xdr:row>97</xdr:row>
                    <xdr:rowOff>640080</xdr:rowOff>
                  </from>
                  <to>
                    <xdr:col>7</xdr:col>
                    <xdr:colOff>1958340</xdr:colOff>
                    <xdr:row>97</xdr:row>
                    <xdr:rowOff>830580</xdr:rowOff>
                  </to>
                </anchor>
              </controlPr>
            </control>
          </mc:Choice>
        </mc:AlternateContent>
        <mc:AlternateContent xmlns:mc="http://schemas.openxmlformats.org/markup-compatibility/2006">
          <mc:Choice Requires="x14">
            <control shapeId="77085" r:id="rId190" name="Option Button 188">
              <controlPr defaultSize="0" autoFill="0" autoLine="0" autoPict="0">
                <anchor moveWithCells="1">
                  <from>
                    <xdr:col>7</xdr:col>
                    <xdr:colOff>114300</xdr:colOff>
                    <xdr:row>97</xdr:row>
                    <xdr:rowOff>922020</xdr:rowOff>
                  </from>
                  <to>
                    <xdr:col>7</xdr:col>
                    <xdr:colOff>1958340</xdr:colOff>
                    <xdr:row>97</xdr:row>
                    <xdr:rowOff>1120140</xdr:rowOff>
                  </to>
                </anchor>
              </controlPr>
            </control>
          </mc:Choice>
        </mc:AlternateContent>
        <mc:AlternateContent xmlns:mc="http://schemas.openxmlformats.org/markup-compatibility/2006">
          <mc:Choice Requires="x14">
            <control shapeId="77086" r:id="rId191" name="Group Box 189">
              <controlPr defaultSize="0" autoFill="0" autoPict="0">
                <anchor moveWithCells="1">
                  <from>
                    <xdr:col>7</xdr:col>
                    <xdr:colOff>0</xdr:colOff>
                    <xdr:row>97</xdr:row>
                    <xdr:rowOff>0</xdr:rowOff>
                  </from>
                  <to>
                    <xdr:col>8</xdr:col>
                    <xdr:colOff>0</xdr:colOff>
                    <xdr:row>98</xdr:row>
                    <xdr:rowOff>0</xdr:rowOff>
                  </to>
                </anchor>
              </controlPr>
            </control>
          </mc:Choice>
        </mc:AlternateContent>
        <mc:AlternateContent xmlns:mc="http://schemas.openxmlformats.org/markup-compatibility/2006">
          <mc:Choice Requires="x14">
            <control shapeId="77087" r:id="rId192" name="Option Button 190">
              <controlPr defaultSize="0" autoFill="0" autoLine="0" autoPict="0" altText="Case d'option 47">
                <anchor moveWithCells="1">
                  <from>
                    <xdr:col>7</xdr:col>
                    <xdr:colOff>114300</xdr:colOff>
                    <xdr:row>96</xdr:row>
                    <xdr:rowOff>68580</xdr:rowOff>
                  </from>
                  <to>
                    <xdr:col>7</xdr:col>
                    <xdr:colOff>1501140</xdr:colOff>
                    <xdr:row>96</xdr:row>
                    <xdr:rowOff>259080</xdr:rowOff>
                  </to>
                </anchor>
              </controlPr>
            </control>
          </mc:Choice>
        </mc:AlternateContent>
        <mc:AlternateContent xmlns:mc="http://schemas.openxmlformats.org/markup-compatibility/2006">
          <mc:Choice Requires="x14">
            <control shapeId="76991" r:id="rId193" name="Option Button 191">
              <controlPr defaultSize="0" autoFill="0" autoLine="0" autoPict="0">
                <anchor moveWithCells="1">
                  <from>
                    <xdr:col>7</xdr:col>
                    <xdr:colOff>114300</xdr:colOff>
                    <xdr:row>96</xdr:row>
                    <xdr:rowOff>304800</xdr:rowOff>
                  </from>
                  <to>
                    <xdr:col>7</xdr:col>
                    <xdr:colOff>1958340</xdr:colOff>
                    <xdr:row>96</xdr:row>
                    <xdr:rowOff>502920</xdr:rowOff>
                  </to>
                </anchor>
              </controlPr>
            </control>
          </mc:Choice>
        </mc:AlternateContent>
        <mc:AlternateContent xmlns:mc="http://schemas.openxmlformats.org/markup-compatibility/2006">
          <mc:Choice Requires="x14">
            <control shapeId="76992" r:id="rId194" name="Option Button 192">
              <controlPr defaultSize="0" autoFill="0" autoLine="0" autoPict="0">
                <anchor moveWithCells="1">
                  <from>
                    <xdr:col>7</xdr:col>
                    <xdr:colOff>114300</xdr:colOff>
                    <xdr:row>96</xdr:row>
                    <xdr:rowOff>579120</xdr:rowOff>
                  </from>
                  <to>
                    <xdr:col>7</xdr:col>
                    <xdr:colOff>1965960</xdr:colOff>
                    <xdr:row>96</xdr:row>
                    <xdr:rowOff>754380</xdr:rowOff>
                  </to>
                </anchor>
              </controlPr>
            </control>
          </mc:Choice>
        </mc:AlternateContent>
        <mc:AlternateContent xmlns:mc="http://schemas.openxmlformats.org/markup-compatibility/2006">
          <mc:Choice Requires="x14">
            <control shapeId="76993" r:id="rId195" name="Option Button 193">
              <controlPr defaultSize="0" autoFill="0" autoLine="0" autoPict="0">
                <anchor moveWithCells="1">
                  <from>
                    <xdr:col>7</xdr:col>
                    <xdr:colOff>114300</xdr:colOff>
                    <xdr:row>96</xdr:row>
                    <xdr:rowOff>822960</xdr:rowOff>
                  </from>
                  <to>
                    <xdr:col>7</xdr:col>
                    <xdr:colOff>937260</xdr:colOff>
                    <xdr:row>96</xdr:row>
                    <xdr:rowOff>1005840</xdr:rowOff>
                  </to>
                </anchor>
              </controlPr>
            </control>
          </mc:Choice>
        </mc:AlternateContent>
        <mc:AlternateContent xmlns:mc="http://schemas.openxmlformats.org/markup-compatibility/2006">
          <mc:Choice Requires="x14">
            <control shapeId="76994" r:id="rId196" name="Group Box 194">
              <controlPr defaultSize="0" autoFill="0" autoPict="0">
                <anchor moveWithCells="1">
                  <from>
                    <xdr:col>7</xdr:col>
                    <xdr:colOff>0</xdr:colOff>
                    <xdr:row>96</xdr:row>
                    <xdr:rowOff>0</xdr:rowOff>
                  </from>
                  <to>
                    <xdr:col>8</xdr:col>
                    <xdr:colOff>0</xdr:colOff>
                    <xdr:row>97</xdr:row>
                    <xdr:rowOff>0</xdr:rowOff>
                  </to>
                </anchor>
              </controlPr>
            </control>
          </mc:Choice>
        </mc:AlternateContent>
        <mc:AlternateContent xmlns:mc="http://schemas.openxmlformats.org/markup-compatibility/2006">
          <mc:Choice Requires="x14">
            <control shapeId="76995" r:id="rId197" name="Option Button 195">
              <controlPr defaultSize="0" autoFill="0" autoLine="0" autoPict="0" altText="Case d'option 47">
                <anchor moveWithCells="1">
                  <from>
                    <xdr:col>7</xdr:col>
                    <xdr:colOff>106680</xdr:colOff>
                    <xdr:row>95</xdr:row>
                    <xdr:rowOff>68580</xdr:rowOff>
                  </from>
                  <to>
                    <xdr:col>7</xdr:col>
                    <xdr:colOff>1501140</xdr:colOff>
                    <xdr:row>95</xdr:row>
                    <xdr:rowOff>259080</xdr:rowOff>
                  </to>
                </anchor>
              </controlPr>
            </control>
          </mc:Choice>
        </mc:AlternateContent>
        <mc:AlternateContent xmlns:mc="http://schemas.openxmlformats.org/markup-compatibility/2006">
          <mc:Choice Requires="x14">
            <control shapeId="77089" r:id="rId198" name="Option Button 196">
              <controlPr defaultSize="0" autoFill="0" autoLine="0" autoPict="0">
                <anchor moveWithCells="1">
                  <from>
                    <xdr:col>7</xdr:col>
                    <xdr:colOff>106680</xdr:colOff>
                    <xdr:row>95</xdr:row>
                    <xdr:rowOff>304800</xdr:rowOff>
                  </from>
                  <to>
                    <xdr:col>7</xdr:col>
                    <xdr:colOff>1958340</xdr:colOff>
                    <xdr:row>95</xdr:row>
                    <xdr:rowOff>502920</xdr:rowOff>
                  </to>
                </anchor>
              </controlPr>
            </control>
          </mc:Choice>
        </mc:AlternateContent>
        <mc:AlternateContent xmlns:mc="http://schemas.openxmlformats.org/markup-compatibility/2006">
          <mc:Choice Requires="x14">
            <control shapeId="76997" r:id="rId199" name="Option Button 197">
              <controlPr defaultSize="0" autoFill="0" autoLine="0" autoPict="0">
                <anchor moveWithCells="1">
                  <from>
                    <xdr:col>7</xdr:col>
                    <xdr:colOff>106680</xdr:colOff>
                    <xdr:row>95</xdr:row>
                    <xdr:rowOff>579120</xdr:rowOff>
                  </from>
                  <to>
                    <xdr:col>7</xdr:col>
                    <xdr:colOff>1965960</xdr:colOff>
                    <xdr:row>95</xdr:row>
                    <xdr:rowOff>754380</xdr:rowOff>
                  </to>
                </anchor>
              </controlPr>
            </control>
          </mc:Choice>
        </mc:AlternateContent>
        <mc:AlternateContent xmlns:mc="http://schemas.openxmlformats.org/markup-compatibility/2006">
          <mc:Choice Requires="x14">
            <control shapeId="76998" r:id="rId200" name="Option Button 198">
              <controlPr defaultSize="0" autoFill="0" autoLine="0" autoPict="0">
                <anchor moveWithCells="1">
                  <from>
                    <xdr:col>7</xdr:col>
                    <xdr:colOff>106680</xdr:colOff>
                    <xdr:row>95</xdr:row>
                    <xdr:rowOff>822960</xdr:rowOff>
                  </from>
                  <to>
                    <xdr:col>7</xdr:col>
                    <xdr:colOff>937260</xdr:colOff>
                    <xdr:row>95</xdr:row>
                    <xdr:rowOff>1005840</xdr:rowOff>
                  </to>
                </anchor>
              </controlPr>
            </control>
          </mc:Choice>
        </mc:AlternateContent>
        <mc:AlternateContent xmlns:mc="http://schemas.openxmlformats.org/markup-compatibility/2006">
          <mc:Choice Requires="x14">
            <control shapeId="76999" r:id="rId201" name="Group Box 199">
              <controlPr defaultSize="0" autoFill="0" autoPict="0">
                <anchor moveWithCells="1">
                  <from>
                    <xdr:col>7</xdr:col>
                    <xdr:colOff>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77000" r:id="rId202" name="Option Button 200">
              <controlPr defaultSize="0" autoFill="0" autoLine="0" autoPict="0">
                <anchor moveWithCells="1">
                  <from>
                    <xdr:col>7</xdr:col>
                    <xdr:colOff>114300</xdr:colOff>
                    <xdr:row>99</xdr:row>
                    <xdr:rowOff>144780</xdr:rowOff>
                  </from>
                  <to>
                    <xdr:col>7</xdr:col>
                    <xdr:colOff>1958340</xdr:colOff>
                    <xdr:row>99</xdr:row>
                    <xdr:rowOff>320040</xdr:rowOff>
                  </to>
                </anchor>
              </controlPr>
            </control>
          </mc:Choice>
        </mc:AlternateContent>
        <mc:AlternateContent xmlns:mc="http://schemas.openxmlformats.org/markup-compatibility/2006">
          <mc:Choice Requires="x14">
            <control shapeId="77001" r:id="rId203" name="Option Button 201">
              <controlPr defaultSize="0" autoFill="0" autoLine="0" autoPict="0">
                <anchor moveWithCells="1">
                  <from>
                    <xdr:col>7</xdr:col>
                    <xdr:colOff>114300</xdr:colOff>
                    <xdr:row>99</xdr:row>
                    <xdr:rowOff>396240</xdr:rowOff>
                  </from>
                  <to>
                    <xdr:col>7</xdr:col>
                    <xdr:colOff>1958340</xdr:colOff>
                    <xdr:row>99</xdr:row>
                    <xdr:rowOff>586740</xdr:rowOff>
                  </to>
                </anchor>
              </controlPr>
            </control>
          </mc:Choice>
        </mc:AlternateContent>
        <mc:AlternateContent xmlns:mc="http://schemas.openxmlformats.org/markup-compatibility/2006">
          <mc:Choice Requires="x14">
            <control shapeId="77090" r:id="rId204" name="Option Button 202">
              <controlPr defaultSize="0" autoFill="0" autoLine="0" autoPict="0">
                <anchor moveWithCells="1">
                  <from>
                    <xdr:col>7</xdr:col>
                    <xdr:colOff>114300</xdr:colOff>
                    <xdr:row>99</xdr:row>
                    <xdr:rowOff>640080</xdr:rowOff>
                  </from>
                  <to>
                    <xdr:col>7</xdr:col>
                    <xdr:colOff>1958340</xdr:colOff>
                    <xdr:row>99</xdr:row>
                    <xdr:rowOff>830580</xdr:rowOff>
                  </to>
                </anchor>
              </controlPr>
            </control>
          </mc:Choice>
        </mc:AlternateContent>
        <mc:AlternateContent xmlns:mc="http://schemas.openxmlformats.org/markup-compatibility/2006">
          <mc:Choice Requires="x14">
            <control shapeId="77091" r:id="rId205" name="Option Button 203">
              <controlPr defaultSize="0" autoFill="0" autoLine="0" autoPict="0">
                <anchor moveWithCells="1">
                  <from>
                    <xdr:col>7</xdr:col>
                    <xdr:colOff>114300</xdr:colOff>
                    <xdr:row>99</xdr:row>
                    <xdr:rowOff>922020</xdr:rowOff>
                  </from>
                  <to>
                    <xdr:col>7</xdr:col>
                    <xdr:colOff>1958340</xdr:colOff>
                    <xdr:row>99</xdr:row>
                    <xdr:rowOff>1120140</xdr:rowOff>
                  </to>
                </anchor>
              </controlPr>
            </control>
          </mc:Choice>
        </mc:AlternateContent>
        <mc:AlternateContent xmlns:mc="http://schemas.openxmlformats.org/markup-compatibility/2006">
          <mc:Choice Requires="x14">
            <control shapeId="77092" r:id="rId206" name="Group Box 204">
              <controlPr defaultSize="0" autoFill="0" autoPict="0">
                <anchor moveWithCells="1">
                  <from>
                    <xdr:col>7</xdr:col>
                    <xdr:colOff>0</xdr:colOff>
                    <xdr:row>99</xdr:row>
                    <xdr:rowOff>0</xdr:rowOff>
                  </from>
                  <to>
                    <xdr:col>8</xdr:col>
                    <xdr:colOff>0</xdr:colOff>
                    <xdr:row>100</xdr:row>
                    <xdr:rowOff>0</xdr:rowOff>
                  </to>
                </anchor>
              </controlPr>
            </control>
          </mc:Choice>
        </mc:AlternateContent>
        <mc:AlternateContent xmlns:mc="http://schemas.openxmlformats.org/markup-compatibility/2006">
          <mc:Choice Requires="x14">
            <control shapeId="77093" r:id="rId207" name="Option Button 205">
              <controlPr defaultSize="0" autoFill="0" autoLine="0" autoPict="0" altText="Case d'option 47">
                <anchor moveWithCells="1">
                  <from>
                    <xdr:col>7</xdr:col>
                    <xdr:colOff>114300</xdr:colOff>
                    <xdr:row>98</xdr:row>
                    <xdr:rowOff>68580</xdr:rowOff>
                  </from>
                  <to>
                    <xdr:col>7</xdr:col>
                    <xdr:colOff>1501140</xdr:colOff>
                    <xdr:row>98</xdr:row>
                    <xdr:rowOff>259080</xdr:rowOff>
                  </to>
                </anchor>
              </controlPr>
            </control>
          </mc:Choice>
        </mc:AlternateContent>
        <mc:AlternateContent xmlns:mc="http://schemas.openxmlformats.org/markup-compatibility/2006">
          <mc:Choice Requires="x14">
            <control shapeId="77006" r:id="rId208" name="Option Button 206">
              <controlPr defaultSize="0" autoFill="0" autoLine="0" autoPict="0">
                <anchor moveWithCells="1">
                  <from>
                    <xdr:col>7</xdr:col>
                    <xdr:colOff>114300</xdr:colOff>
                    <xdr:row>98</xdr:row>
                    <xdr:rowOff>304800</xdr:rowOff>
                  </from>
                  <to>
                    <xdr:col>7</xdr:col>
                    <xdr:colOff>1958340</xdr:colOff>
                    <xdr:row>98</xdr:row>
                    <xdr:rowOff>502920</xdr:rowOff>
                  </to>
                </anchor>
              </controlPr>
            </control>
          </mc:Choice>
        </mc:AlternateContent>
        <mc:AlternateContent xmlns:mc="http://schemas.openxmlformats.org/markup-compatibility/2006">
          <mc:Choice Requires="x14">
            <control shapeId="77007" r:id="rId209" name="Option Button 207">
              <controlPr defaultSize="0" autoFill="0" autoLine="0" autoPict="0">
                <anchor moveWithCells="1">
                  <from>
                    <xdr:col>7</xdr:col>
                    <xdr:colOff>114300</xdr:colOff>
                    <xdr:row>98</xdr:row>
                    <xdr:rowOff>579120</xdr:rowOff>
                  </from>
                  <to>
                    <xdr:col>7</xdr:col>
                    <xdr:colOff>1965960</xdr:colOff>
                    <xdr:row>98</xdr:row>
                    <xdr:rowOff>754380</xdr:rowOff>
                  </to>
                </anchor>
              </controlPr>
            </control>
          </mc:Choice>
        </mc:AlternateContent>
        <mc:AlternateContent xmlns:mc="http://schemas.openxmlformats.org/markup-compatibility/2006">
          <mc:Choice Requires="x14">
            <control shapeId="77008" r:id="rId210" name="Option Button 208">
              <controlPr defaultSize="0" autoFill="0" autoLine="0" autoPict="0">
                <anchor moveWithCells="1">
                  <from>
                    <xdr:col>7</xdr:col>
                    <xdr:colOff>114300</xdr:colOff>
                    <xdr:row>98</xdr:row>
                    <xdr:rowOff>822960</xdr:rowOff>
                  </from>
                  <to>
                    <xdr:col>7</xdr:col>
                    <xdr:colOff>937260</xdr:colOff>
                    <xdr:row>98</xdr:row>
                    <xdr:rowOff>1005840</xdr:rowOff>
                  </to>
                </anchor>
              </controlPr>
            </control>
          </mc:Choice>
        </mc:AlternateContent>
        <mc:AlternateContent xmlns:mc="http://schemas.openxmlformats.org/markup-compatibility/2006">
          <mc:Choice Requires="x14">
            <control shapeId="77009" r:id="rId211" name="Group Box 209">
              <controlPr defaultSize="0" autoFill="0" autoPict="0">
                <anchor moveWithCells="1">
                  <from>
                    <xdr:col>7</xdr:col>
                    <xdr:colOff>0</xdr:colOff>
                    <xdr:row>98</xdr:row>
                    <xdr:rowOff>0</xdr:rowOff>
                  </from>
                  <to>
                    <xdr:col>8</xdr:col>
                    <xdr:colOff>0</xdr:colOff>
                    <xdr:row>99</xdr:row>
                    <xdr:rowOff>0</xdr:rowOff>
                  </to>
                </anchor>
              </controlPr>
            </control>
          </mc:Choice>
        </mc:AlternateContent>
        <mc:AlternateContent xmlns:mc="http://schemas.openxmlformats.org/markup-compatibility/2006">
          <mc:Choice Requires="x14">
            <control shapeId="77010" r:id="rId212" name="Option Button 210">
              <controlPr defaultSize="0" autoFill="0" autoLine="0" autoPict="0">
                <anchor moveWithCells="1">
                  <from>
                    <xdr:col>7</xdr:col>
                    <xdr:colOff>114300</xdr:colOff>
                    <xdr:row>110</xdr:row>
                    <xdr:rowOff>144780</xdr:rowOff>
                  </from>
                  <to>
                    <xdr:col>7</xdr:col>
                    <xdr:colOff>1958340</xdr:colOff>
                    <xdr:row>110</xdr:row>
                    <xdr:rowOff>320040</xdr:rowOff>
                  </to>
                </anchor>
              </controlPr>
            </control>
          </mc:Choice>
        </mc:AlternateContent>
        <mc:AlternateContent xmlns:mc="http://schemas.openxmlformats.org/markup-compatibility/2006">
          <mc:Choice Requires="x14">
            <control shapeId="77094" r:id="rId213" name="Option Button 211">
              <controlPr defaultSize="0" autoFill="0" autoLine="0" autoPict="0">
                <anchor moveWithCells="1">
                  <from>
                    <xdr:col>7</xdr:col>
                    <xdr:colOff>114300</xdr:colOff>
                    <xdr:row>110</xdr:row>
                    <xdr:rowOff>396240</xdr:rowOff>
                  </from>
                  <to>
                    <xdr:col>7</xdr:col>
                    <xdr:colOff>1958340</xdr:colOff>
                    <xdr:row>110</xdr:row>
                    <xdr:rowOff>586740</xdr:rowOff>
                  </to>
                </anchor>
              </controlPr>
            </control>
          </mc:Choice>
        </mc:AlternateContent>
        <mc:AlternateContent xmlns:mc="http://schemas.openxmlformats.org/markup-compatibility/2006">
          <mc:Choice Requires="x14">
            <control shapeId="77012" r:id="rId214" name="Option Button 212">
              <controlPr defaultSize="0" autoFill="0" autoLine="0" autoPict="0">
                <anchor moveWithCells="1">
                  <from>
                    <xdr:col>7</xdr:col>
                    <xdr:colOff>114300</xdr:colOff>
                    <xdr:row>110</xdr:row>
                    <xdr:rowOff>640080</xdr:rowOff>
                  </from>
                  <to>
                    <xdr:col>7</xdr:col>
                    <xdr:colOff>1958340</xdr:colOff>
                    <xdr:row>110</xdr:row>
                    <xdr:rowOff>830580</xdr:rowOff>
                  </to>
                </anchor>
              </controlPr>
            </control>
          </mc:Choice>
        </mc:AlternateContent>
        <mc:AlternateContent xmlns:mc="http://schemas.openxmlformats.org/markup-compatibility/2006">
          <mc:Choice Requires="x14">
            <control shapeId="77013" r:id="rId215" name="Option Button 213">
              <controlPr defaultSize="0" autoFill="0" autoLine="0" autoPict="0">
                <anchor moveWithCells="1">
                  <from>
                    <xdr:col>7</xdr:col>
                    <xdr:colOff>114300</xdr:colOff>
                    <xdr:row>110</xdr:row>
                    <xdr:rowOff>922020</xdr:rowOff>
                  </from>
                  <to>
                    <xdr:col>7</xdr:col>
                    <xdr:colOff>1958340</xdr:colOff>
                    <xdr:row>110</xdr:row>
                    <xdr:rowOff>1120140</xdr:rowOff>
                  </to>
                </anchor>
              </controlPr>
            </control>
          </mc:Choice>
        </mc:AlternateContent>
        <mc:AlternateContent xmlns:mc="http://schemas.openxmlformats.org/markup-compatibility/2006">
          <mc:Choice Requires="x14">
            <control shapeId="77014" r:id="rId216" name="Group Box 214">
              <controlPr defaultSize="0" autoFill="0" autoPict="0">
                <anchor moveWithCells="1">
                  <from>
                    <xdr:col>7</xdr:col>
                    <xdr:colOff>0</xdr:colOff>
                    <xdr:row>110</xdr:row>
                    <xdr:rowOff>0</xdr:rowOff>
                  </from>
                  <to>
                    <xdr:col>8</xdr:col>
                    <xdr:colOff>0</xdr:colOff>
                    <xdr:row>111</xdr:row>
                    <xdr:rowOff>0</xdr:rowOff>
                  </to>
                </anchor>
              </controlPr>
            </control>
          </mc:Choice>
        </mc:AlternateContent>
        <mc:AlternateContent xmlns:mc="http://schemas.openxmlformats.org/markup-compatibility/2006">
          <mc:Choice Requires="x14">
            <control shapeId="77015" r:id="rId217" name="Option Button 215">
              <controlPr defaultSize="0" autoFill="0" autoLine="0" autoPict="0" altText="Case d'option 47">
                <anchor moveWithCells="1">
                  <from>
                    <xdr:col>7</xdr:col>
                    <xdr:colOff>106680</xdr:colOff>
                    <xdr:row>109</xdr:row>
                    <xdr:rowOff>68580</xdr:rowOff>
                  </from>
                  <to>
                    <xdr:col>7</xdr:col>
                    <xdr:colOff>1501140</xdr:colOff>
                    <xdr:row>109</xdr:row>
                    <xdr:rowOff>259080</xdr:rowOff>
                  </to>
                </anchor>
              </controlPr>
            </control>
          </mc:Choice>
        </mc:AlternateContent>
        <mc:AlternateContent xmlns:mc="http://schemas.openxmlformats.org/markup-compatibility/2006">
          <mc:Choice Requires="x14">
            <control shapeId="77016" r:id="rId218" name="Option Button 216">
              <controlPr defaultSize="0" autoFill="0" autoLine="0" autoPict="0">
                <anchor moveWithCells="1">
                  <from>
                    <xdr:col>7</xdr:col>
                    <xdr:colOff>106680</xdr:colOff>
                    <xdr:row>109</xdr:row>
                    <xdr:rowOff>304800</xdr:rowOff>
                  </from>
                  <to>
                    <xdr:col>7</xdr:col>
                    <xdr:colOff>1958340</xdr:colOff>
                    <xdr:row>109</xdr:row>
                    <xdr:rowOff>502920</xdr:rowOff>
                  </to>
                </anchor>
              </controlPr>
            </control>
          </mc:Choice>
        </mc:AlternateContent>
        <mc:AlternateContent xmlns:mc="http://schemas.openxmlformats.org/markup-compatibility/2006">
          <mc:Choice Requires="x14">
            <control shapeId="77095" r:id="rId219" name="Option Button 217">
              <controlPr defaultSize="0" autoFill="0" autoLine="0" autoPict="0">
                <anchor moveWithCells="1">
                  <from>
                    <xdr:col>7</xdr:col>
                    <xdr:colOff>106680</xdr:colOff>
                    <xdr:row>109</xdr:row>
                    <xdr:rowOff>579120</xdr:rowOff>
                  </from>
                  <to>
                    <xdr:col>7</xdr:col>
                    <xdr:colOff>1965960</xdr:colOff>
                    <xdr:row>109</xdr:row>
                    <xdr:rowOff>754380</xdr:rowOff>
                  </to>
                </anchor>
              </controlPr>
            </control>
          </mc:Choice>
        </mc:AlternateContent>
        <mc:AlternateContent xmlns:mc="http://schemas.openxmlformats.org/markup-compatibility/2006">
          <mc:Choice Requires="x14">
            <control shapeId="77018" r:id="rId220" name="Option Button 218">
              <controlPr defaultSize="0" autoFill="0" autoLine="0" autoPict="0">
                <anchor moveWithCells="1">
                  <from>
                    <xdr:col>7</xdr:col>
                    <xdr:colOff>106680</xdr:colOff>
                    <xdr:row>109</xdr:row>
                    <xdr:rowOff>822960</xdr:rowOff>
                  </from>
                  <to>
                    <xdr:col>7</xdr:col>
                    <xdr:colOff>937260</xdr:colOff>
                    <xdr:row>109</xdr:row>
                    <xdr:rowOff>1005840</xdr:rowOff>
                  </to>
                </anchor>
              </controlPr>
            </control>
          </mc:Choice>
        </mc:AlternateContent>
        <mc:AlternateContent xmlns:mc="http://schemas.openxmlformats.org/markup-compatibility/2006">
          <mc:Choice Requires="x14">
            <control shapeId="77019" r:id="rId221" name="Group Box 219">
              <controlPr defaultSize="0" autoFill="0" autoPict="0">
                <anchor moveWithCells="1">
                  <from>
                    <xdr:col>7</xdr:col>
                    <xdr:colOff>0</xdr:colOff>
                    <xdr:row>109</xdr:row>
                    <xdr:rowOff>0</xdr:rowOff>
                  </from>
                  <to>
                    <xdr:col>8</xdr:col>
                    <xdr:colOff>0</xdr:colOff>
                    <xdr:row>110</xdr:row>
                    <xdr:rowOff>0</xdr:rowOff>
                  </to>
                </anchor>
              </controlPr>
            </control>
          </mc:Choice>
        </mc:AlternateContent>
        <mc:AlternateContent xmlns:mc="http://schemas.openxmlformats.org/markup-compatibility/2006">
          <mc:Choice Requires="x14">
            <control shapeId="77020" r:id="rId222" name="Option Button 220">
              <controlPr defaultSize="0" autoFill="0" autoLine="0" autoPict="0">
                <anchor moveWithCells="1">
                  <from>
                    <xdr:col>7</xdr:col>
                    <xdr:colOff>114300</xdr:colOff>
                    <xdr:row>113</xdr:row>
                    <xdr:rowOff>144780</xdr:rowOff>
                  </from>
                  <to>
                    <xdr:col>7</xdr:col>
                    <xdr:colOff>1958340</xdr:colOff>
                    <xdr:row>113</xdr:row>
                    <xdr:rowOff>320040</xdr:rowOff>
                  </to>
                </anchor>
              </controlPr>
            </control>
          </mc:Choice>
        </mc:AlternateContent>
        <mc:AlternateContent xmlns:mc="http://schemas.openxmlformats.org/markup-compatibility/2006">
          <mc:Choice Requires="x14">
            <control shapeId="77021" r:id="rId223" name="Option Button 221">
              <controlPr defaultSize="0" autoFill="0" autoLine="0" autoPict="0">
                <anchor moveWithCells="1">
                  <from>
                    <xdr:col>7</xdr:col>
                    <xdr:colOff>114300</xdr:colOff>
                    <xdr:row>113</xdr:row>
                    <xdr:rowOff>396240</xdr:rowOff>
                  </from>
                  <to>
                    <xdr:col>7</xdr:col>
                    <xdr:colOff>1958340</xdr:colOff>
                    <xdr:row>113</xdr:row>
                    <xdr:rowOff>586740</xdr:rowOff>
                  </to>
                </anchor>
              </controlPr>
            </control>
          </mc:Choice>
        </mc:AlternateContent>
        <mc:AlternateContent xmlns:mc="http://schemas.openxmlformats.org/markup-compatibility/2006">
          <mc:Choice Requires="x14">
            <control shapeId="77022" r:id="rId224" name="Option Button 222">
              <controlPr defaultSize="0" autoFill="0" autoLine="0" autoPict="0">
                <anchor moveWithCells="1">
                  <from>
                    <xdr:col>7</xdr:col>
                    <xdr:colOff>114300</xdr:colOff>
                    <xdr:row>113</xdr:row>
                    <xdr:rowOff>640080</xdr:rowOff>
                  </from>
                  <to>
                    <xdr:col>7</xdr:col>
                    <xdr:colOff>1958340</xdr:colOff>
                    <xdr:row>113</xdr:row>
                    <xdr:rowOff>830580</xdr:rowOff>
                  </to>
                </anchor>
              </controlPr>
            </control>
          </mc:Choice>
        </mc:AlternateContent>
        <mc:AlternateContent xmlns:mc="http://schemas.openxmlformats.org/markup-compatibility/2006">
          <mc:Choice Requires="x14">
            <control shapeId="77056" r:id="rId225" name="Option Button 223">
              <controlPr defaultSize="0" autoFill="0" autoLine="0" autoPict="0">
                <anchor moveWithCells="1">
                  <from>
                    <xdr:col>7</xdr:col>
                    <xdr:colOff>114300</xdr:colOff>
                    <xdr:row>113</xdr:row>
                    <xdr:rowOff>922020</xdr:rowOff>
                  </from>
                  <to>
                    <xdr:col>7</xdr:col>
                    <xdr:colOff>1958340</xdr:colOff>
                    <xdr:row>113</xdr:row>
                    <xdr:rowOff>1120140</xdr:rowOff>
                  </to>
                </anchor>
              </controlPr>
            </control>
          </mc:Choice>
        </mc:AlternateContent>
        <mc:AlternateContent xmlns:mc="http://schemas.openxmlformats.org/markup-compatibility/2006">
          <mc:Choice Requires="x14">
            <control shapeId="77057" r:id="rId226" name="Group Box 224">
              <controlPr defaultSize="0" autoFill="0" autoPict="0">
                <anchor moveWithCells="1">
                  <from>
                    <xdr:col>7</xdr:col>
                    <xdr:colOff>0</xdr:colOff>
                    <xdr:row>113</xdr:row>
                    <xdr:rowOff>0</xdr:rowOff>
                  </from>
                  <to>
                    <xdr:col>8</xdr:col>
                    <xdr:colOff>0</xdr:colOff>
                    <xdr:row>114</xdr:row>
                    <xdr:rowOff>0</xdr:rowOff>
                  </to>
                </anchor>
              </controlPr>
            </control>
          </mc:Choice>
        </mc:AlternateContent>
        <mc:AlternateContent xmlns:mc="http://schemas.openxmlformats.org/markup-compatibility/2006">
          <mc:Choice Requires="x14">
            <control shapeId="77058" r:id="rId227" name="Option Button 225">
              <controlPr defaultSize="0" autoFill="0" autoLine="0" autoPict="0" altText="Case d'option 47">
                <anchor moveWithCells="1">
                  <from>
                    <xdr:col>7</xdr:col>
                    <xdr:colOff>114300</xdr:colOff>
                    <xdr:row>112</xdr:row>
                    <xdr:rowOff>68580</xdr:rowOff>
                  </from>
                  <to>
                    <xdr:col>7</xdr:col>
                    <xdr:colOff>1501140</xdr:colOff>
                    <xdr:row>112</xdr:row>
                    <xdr:rowOff>259080</xdr:rowOff>
                  </to>
                </anchor>
              </controlPr>
            </control>
          </mc:Choice>
        </mc:AlternateContent>
        <mc:AlternateContent xmlns:mc="http://schemas.openxmlformats.org/markup-compatibility/2006">
          <mc:Choice Requires="x14">
            <control shapeId="77059" r:id="rId228" name="Option Button 226">
              <controlPr defaultSize="0" autoFill="0" autoLine="0" autoPict="0">
                <anchor moveWithCells="1">
                  <from>
                    <xdr:col>7</xdr:col>
                    <xdr:colOff>114300</xdr:colOff>
                    <xdr:row>112</xdr:row>
                    <xdr:rowOff>304800</xdr:rowOff>
                  </from>
                  <to>
                    <xdr:col>7</xdr:col>
                    <xdr:colOff>1958340</xdr:colOff>
                    <xdr:row>112</xdr:row>
                    <xdr:rowOff>502920</xdr:rowOff>
                  </to>
                </anchor>
              </controlPr>
            </control>
          </mc:Choice>
        </mc:AlternateContent>
        <mc:AlternateContent xmlns:mc="http://schemas.openxmlformats.org/markup-compatibility/2006">
          <mc:Choice Requires="x14">
            <control shapeId="77027" r:id="rId229" name="Option Button 227">
              <controlPr defaultSize="0" autoFill="0" autoLine="0" autoPict="0">
                <anchor moveWithCells="1">
                  <from>
                    <xdr:col>7</xdr:col>
                    <xdr:colOff>114300</xdr:colOff>
                    <xdr:row>112</xdr:row>
                    <xdr:rowOff>579120</xdr:rowOff>
                  </from>
                  <to>
                    <xdr:col>7</xdr:col>
                    <xdr:colOff>1965960</xdr:colOff>
                    <xdr:row>112</xdr:row>
                    <xdr:rowOff>754380</xdr:rowOff>
                  </to>
                </anchor>
              </controlPr>
            </control>
          </mc:Choice>
        </mc:AlternateContent>
        <mc:AlternateContent xmlns:mc="http://schemas.openxmlformats.org/markup-compatibility/2006">
          <mc:Choice Requires="x14">
            <control shapeId="77028" r:id="rId230" name="Option Button 228">
              <controlPr defaultSize="0" autoFill="0" autoLine="0" autoPict="0">
                <anchor moveWithCells="1">
                  <from>
                    <xdr:col>7</xdr:col>
                    <xdr:colOff>114300</xdr:colOff>
                    <xdr:row>112</xdr:row>
                    <xdr:rowOff>822960</xdr:rowOff>
                  </from>
                  <to>
                    <xdr:col>7</xdr:col>
                    <xdr:colOff>937260</xdr:colOff>
                    <xdr:row>112</xdr:row>
                    <xdr:rowOff>1005840</xdr:rowOff>
                  </to>
                </anchor>
              </controlPr>
            </control>
          </mc:Choice>
        </mc:AlternateContent>
        <mc:AlternateContent xmlns:mc="http://schemas.openxmlformats.org/markup-compatibility/2006">
          <mc:Choice Requires="x14">
            <control shapeId="77029" r:id="rId231" name="Group Box 229">
              <controlPr defaultSize="0" autoFill="0" autoPict="0">
                <anchor moveWithCells="1">
                  <from>
                    <xdr:col>7</xdr:col>
                    <xdr:colOff>0</xdr:colOff>
                    <xdr:row>112</xdr:row>
                    <xdr:rowOff>0</xdr:rowOff>
                  </from>
                  <to>
                    <xdr:col>8</xdr:col>
                    <xdr:colOff>0</xdr:colOff>
                    <xdr:row>113</xdr:row>
                    <xdr:rowOff>0</xdr:rowOff>
                  </to>
                </anchor>
              </controlPr>
            </control>
          </mc:Choice>
        </mc:AlternateContent>
        <mc:AlternateContent xmlns:mc="http://schemas.openxmlformats.org/markup-compatibility/2006">
          <mc:Choice Requires="x14">
            <control shapeId="77030" r:id="rId232" name="Option Button 230">
              <controlPr defaultSize="0" autoFill="0" autoLine="0" autoPict="0" altText="Case d'option 47">
                <anchor moveWithCells="1">
                  <from>
                    <xdr:col>7</xdr:col>
                    <xdr:colOff>106680</xdr:colOff>
                    <xdr:row>111</xdr:row>
                    <xdr:rowOff>68580</xdr:rowOff>
                  </from>
                  <to>
                    <xdr:col>7</xdr:col>
                    <xdr:colOff>1501140</xdr:colOff>
                    <xdr:row>111</xdr:row>
                    <xdr:rowOff>259080</xdr:rowOff>
                  </to>
                </anchor>
              </controlPr>
            </control>
          </mc:Choice>
        </mc:AlternateContent>
        <mc:AlternateContent xmlns:mc="http://schemas.openxmlformats.org/markup-compatibility/2006">
          <mc:Choice Requires="x14">
            <control shapeId="77031" r:id="rId233" name="Option Button 231">
              <controlPr defaultSize="0" autoFill="0" autoLine="0" autoPict="0">
                <anchor moveWithCells="1">
                  <from>
                    <xdr:col>7</xdr:col>
                    <xdr:colOff>106680</xdr:colOff>
                    <xdr:row>111</xdr:row>
                    <xdr:rowOff>304800</xdr:rowOff>
                  </from>
                  <to>
                    <xdr:col>7</xdr:col>
                    <xdr:colOff>1958340</xdr:colOff>
                    <xdr:row>111</xdr:row>
                    <xdr:rowOff>502920</xdr:rowOff>
                  </to>
                </anchor>
              </controlPr>
            </control>
          </mc:Choice>
        </mc:AlternateContent>
        <mc:AlternateContent xmlns:mc="http://schemas.openxmlformats.org/markup-compatibility/2006">
          <mc:Choice Requires="x14">
            <control shapeId="77060" r:id="rId234" name="Option Button 232">
              <controlPr defaultSize="0" autoFill="0" autoLine="0" autoPict="0">
                <anchor moveWithCells="1">
                  <from>
                    <xdr:col>7</xdr:col>
                    <xdr:colOff>106680</xdr:colOff>
                    <xdr:row>111</xdr:row>
                    <xdr:rowOff>579120</xdr:rowOff>
                  </from>
                  <to>
                    <xdr:col>7</xdr:col>
                    <xdr:colOff>1965960</xdr:colOff>
                    <xdr:row>111</xdr:row>
                    <xdr:rowOff>754380</xdr:rowOff>
                  </to>
                </anchor>
              </controlPr>
            </control>
          </mc:Choice>
        </mc:AlternateContent>
        <mc:AlternateContent xmlns:mc="http://schemas.openxmlformats.org/markup-compatibility/2006">
          <mc:Choice Requires="x14">
            <control shapeId="77033" r:id="rId235" name="Option Button 233">
              <controlPr defaultSize="0" autoFill="0" autoLine="0" autoPict="0">
                <anchor moveWithCells="1">
                  <from>
                    <xdr:col>7</xdr:col>
                    <xdr:colOff>106680</xdr:colOff>
                    <xdr:row>111</xdr:row>
                    <xdr:rowOff>822960</xdr:rowOff>
                  </from>
                  <to>
                    <xdr:col>7</xdr:col>
                    <xdr:colOff>937260</xdr:colOff>
                    <xdr:row>111</xdr:row>
                    <xdr:rowOff>1005840</xdr:rowOff>
                  </to>
                </anchor>
              </controlPr>
            </control>
          </mc:Choice>
        </mc:AlternateContent>
        <mc:AlternateContent xmlns:mc="http://schemas.openxmlformats.org/markup-compatibility/2006">
          <mc:Choice Requires="x14">
            <control shapeId="77034" r:id="rId236" name="Group Box 234">
              <controlPr defaultSize="0" autoFill="0" autoPict="0">
                <anchor moveWithCells="1">
                  <from>
                    <xdr:col>7</xdr:col>
                    <xdr:colOff>0</xdr:colOff>
                    <xdr:row>111</xdr:row>
                    <xdr:rowOff>0</xdr:rowOff>
                  </from>
                  <to>
                    <xdr:col>8</xdr:col>
                    <xdr:colOff>0</xdr:colOff>
                    <xdr:row>112</xdr:row>
                    <xdr:rowOff>0</xdr:rowOff>
                  </to>
                </anchor>
              </controlPr>
            </control>
          </mc:Choice>
        </mc:AlternateContent>
        <mc:AlternateContent xmlns:mc="http://schemas.openxmlformats.org/markup-compatibility/2006">
          <mc:Choice Requires="x14">
            <control shapeId="77035" r:id="rId237" name="Option Button 235">
              <controlPr defaultSize="0" autoFill="0" autoLine="0" autoPict="0">
                <anchor moveWithCells="1">
                  <from>
                    <xdr:col>7</xdr:col>
                    <xdr:colOff>114300</xdr:colOff>
                    <xdr:row>115</xdr:row>
                    <xdr:rowOff>144780</xdr:rowOff>
                  </from>
                  <to>
                    <xdr:col>7</xdr:col>
                    <xdr:colOff>1958340</xdr:colOff>
                    <xdr:row>115</xdr:row>
                    <xdr:rowOff>320040</xdr:rowOff>
                  </to>
                </anchor>
              </controlPr>
            </control>
          </mc:Choice>
        </mc:AlternateContent>
        <mc:AlternateContent xmlns:mc="http://schemas.openxmlformats.org/markup-compatibility/2006">
          <mc:Choice Requires="x14">
            <control shapeId="77036" r:id="rId238" name="Option Button 236">
              <controlPr defaultSize="0" autoFill="0" autoLine="0" autoPict="0">
                <anchor moveWithCells="1">
                  <from>
                    <xdr:col>7</xdr:col>
                    <xdr:colOff>114300</xdr:colOff>
                    <xdr:row>115</xdr:row>
                    <xdr:rowOff>396240</xdr:rowOff>
                  </from>
                  <to>
                    <xdr:col>7</xdr:col>
                    <xdr:colOff>1958340</xdr:colOff>
                    <xdr:row>115</xdr:row>
                    <xdr:rowOff>586740</xdr:rowOff>
                  </to>
                </anchor>
              </controlPr>
            </control>
          </mc:Choice>
        </mc:AlternateContent>
        <mc:AlternateContent xmlns:mc="http://schemas.openxmlformats.org/markup-compatibility/2006">
          <mc:Choice Requires="x14">
            <control shapeId="77037" r:id="rId239" name="Option Button 237">
              <controlPr defaultSize="0" autoFill="0" autoLine="0" autoPict="0">
                <anchor moveWithCells="1">
                  <from>
                    <xdr:col>7</xdr:col>
                    <xdr:colOff>114300</xdr:colOff>
                    <xdr:row>115</xdr:row>
                    <xdr:rowOff>640080</xdr:rowOff>
                  </from>
                  <to>
                    <xdr:col>7</xdr:col>
                    <xdr:colOff>1958340</xdr:colOff>
                    <xdr:row>115</xdr:row>
                    <xdr:rowOff>830580</xdr:rowOff>
                  </to>
                </anchor>
              </controlPr>
            </control>
          </mc:Choice>
        </mc:AlternateContent>
        <mc:AlternateContent xmlns:mc="http://schemas.openxmlformats.org/markup-compatibility/2006">
          <mc:Choice Requires="x14">
            <control shapeId="77062" r:id="rId240" name="Option Button 238">
              <controlPr defaultSize="0" autoFill="0" autoLine="0" autoPict="0">
                <anchor moveWithCells="1">
                  <from>
                    <xdr:col>7</xdr:col>
                    <xdr:colOff>114300</xdr:colOff>
                    <xdr:row>115</xdr:row>
                    <xdr:rowOff>922020</xdr:rowOff>
                  </from>
                  <to>
                    <xdr:col>7</xdr:col>
                    <xdr:colOff>1958340</xdr:colOff>
                    <xdr:row>115</xdr:row>
                    <xdr:rowOff>1120140</xdr:rowOff>
                  </to>
                </anchor>
              </controlPr>
            </control>
          </mc:Choice>
        </mc:AlternateContent>
        <mc:AlternateContent xmlns:mc="http://schemas.openxmlformats.org/markup-compatibility/2006">
          <mc:Choice Requires="x14">
            <control shapeId="77063" r:id="rId241" name="Group Box 239">
              <controlPr defaultSize="0" autoFill="0" autoPict="0">
                <anchor moveWithCells="1">
                  <from>
                    <xdr:col>7</xdr:col>
                    <xdr:colOff>0</xdr:colOff>
                    <xdr:row>115</xdr:row>
                    <xdr:rowOff>0</xdr:rowOff>
                  </from>
                  <to>
                    <xdr:col>8</xdr:col>
                    <xdr:colOff>0</xdr:colOff>
                    <xdr:row>116</xdr:row>
                    <xdr:rowOff>0</xdr:rowOff>
                  </to>
                </anchor>
              </controlPr>
            </control>
          </mc:Choice>
        </mc:AlternateContent>
        <mc:AlternateContent xmlns:mc="http://schemas.openxmlformats.org/markup-compatibility/2006">
          <mc:Choice Requires="x14">
            <control shapeId="77064" r:id="rId242" name="Option Button 240">
              <controlPr defaultSize="0" autoFill="0" autoLine="0" autoPict="0" altText="Case d'option 47">
                <anchor moveWithCells="1">
                  <from>
                    <xdr:col>7</xdr:col>
                    <xdr:colOff>114300</xdr:colOff>
                    <xdr:row>114</xdr:row>
                    <xdr:rowOff>68580</xdr:rowOff>
                  </from>
                  <to>
                    <xdr:col>7</xdr:col>
                    <xdr:colOff>1501140</xdr:colOff>
                    <xdr:row>114</xdr:row>
                    <xdr:rowOff>259080</xdr:rowOff>
                  </to>
                </anchor>
              </controlPr>
            </control>
          </mc:Choice>
        </mc:AlternateContent>
        <mc:AlternateContent xmlns:mc="http://schemas.openxmlformats.org/markup-compatibility/2006">
          <mc:Choice Requires="x14">
            <control shapeId="77041" r:id="rId243" name="Option Button 241">
              <controlPr defaultSize="0" autoFill="0" autoLine="0" autoPict="0">
                <anchor moveWithCells="1">
                  <from>
                    <xdr:col>7</xdr:col>
                    <xdr:colOff>114300</xdr:colOff>
                    <xdr:row>114</xdr:row>
                    <xdr:rowOff>304800</xdr:rowOff>
                  </from>
                  <to>
                    <xdr:col>7</xdr:col>
                    <xdr:colOff>1958340</xdr:colOff>
                    <xdr:row>114</xdr:row>
                    <xdr:rowOff>502920</xdr:rowOff>
                  </to>
                </anchor>
              </controlPr>
            </control>
          </mc:Choice>
        </mc:AlternateContent>
        <mc:AlternateContent xmlns:mc="http://schemas.openxmlformats.org/markup-compatibility/2006">
          <mc:Choice Requires="x14">
            <control shapeId="77042" r:id="rId244" name="Option Button 242">
              <controlPr defaultSize="0" autoFill="0" autoLine="0" autoPict="0">
                <anchor moveWithCells="1">
                  <from>
                    <xdr:col>7</xdr:col>
                    <xdr:colOff>114300</xdr:colOff>
                    <xdr:row>114</xdr:row>
                    <xdr:rowOff>579120</xdr:rowOff>
                  </from>
                  <to>
                    <xdr:col>7</xdr:col>
                    <xdr:colOff>1965960</xdr:colOff>
                    <xdr:row>114</xdr:row>
                    <xdr:rowOff>754380</xdr:rowOff>
                  </to>
                </anchor>
              </controlPr>
            </control>
          </mc:Choice>
        </mc:AlternateContent>
        <mc:AlternateContent xmlns:mc="http://schemas.openxmlformats.org/markup-compatibility/2006">
          <mc:Choice Requires="x14">
            <control shapeId="77043" r:id="rId245" name="Option Button 243">
              <controlPr defaultSize="0" autoFill="0" autoLine="0" autoPict="0">
                <anchor moveWithCells="1">
                  <from>
                    <xdr:col>7</xdr:col>
                    <xdr:colOff>114300</xdr:colOff>
                    <xdr:row>114</xdr:row>
                    <xdr:rowOff>822960</xdr:rowOff>
                  </from>
                  <to>
                    <xdr:col>7</xdr:col>
                    <xdr:colOff>937260</xdr:colOff>
                    <xdr:row>114</xdr:row>
                    <xdr:rowOff>1005840</xdr:rowOff>
                  </to>
                </anchor>
              </controlPr>
            </control>
          </mc:Choice>
        </mc:AlternateContent>
        <mc:AlternateContent xmlns:mc="http://schemas.openxmlformats.org/markup-compatibility/2006">
          <mc:Choice Requires="x14">
            <control shapeId="77044" r:id="rId246" name="Group Box 244">
              <controlPr defaultSize="0" autoFill="0" autoPict="0">
                <anchor moveWithCells="1">
                  <from>
                    <xdr:col>7</xdr:col>
                    <xdr:colOff>0</xdr:colOff>
                    <xdr:row>114</xdr:row>
                    <xdr:rowOff>0</xdr:rowOff>
                  </from>
                  <to>
                    <xdr:col>8</xdr:col>
                    <xdr:colOff>0</xdr:colOff>
                    <xdr:row>115</xdr:row>
                    <xdr:rowOff>0</xdr:rowOff>
                  </to>
                </anchor>
              </controlPr>
            </control>
          </mc:Choice>
        </mc:AlternateContent>
        <mc:AlternateContent xmlns:mc="http://schemas.openxmlformats.org/markup-compatibility/2006">
          <mc:Choice Requires="x14">
            <control shapeId="77045" r:id="rId247" name="Option Button 245">
              <controlPr defaultSize="0" autoFill="0" autoLine="0" autoPict="0" altText="Case d'option 47">
                <anchor moveWithCells="1">
                  <from>
                    <xdr:col>7</xdr:col>
                    <xdr:colOff>106680</xdr:colOff>
                    <xdr:row>48</xdr:row>
                    <xdr:rowOff>60960</xdr:rowOff>
                  </from>
                  <to>
                    <xdr:col>7</xdr:col>
                    <xdr:colOff>1501140</xdr:colOff>
                    <xdr:row>48</xdr:row>
                    <xdr:rowOff>236220</xdr:rowOff>
                  </to>
                </anchor>
              </controlPr>
            </control>
          </mc:Choice>
        </mc:AlternateContent>
        <mc:AlternateContent xmlns:mc="http://schemas.openxmlformats.org/markup-compatibility/2006">
          <mc:Choice Requires="x14">
            <control shapeId="77065" r:id="rId248" name="Option Button 246">
              <controlPr defaultSize="0" autoFill="0" autoLine="0" autoPict="0">
                <anchor moveWithCells="1">
                  <from>
                    <xdr:col>7</xdr:col>
                    <xdr:colOff>106680</xdr:colOff>
                    <xdr:row>48</xdr:row>
                    <xdr:rowOff>274320</xdr:rowOff>
                  </from>
                  <to>
                    <xdr:col>7</xdr:col>
                    <xdr:colOff>1958340</xdr:colOff>
                    <xdr:row>48</xdr:row>
                    <xdr:rowOff>464820</xdr:rowOff>
                  </to>
                </anchor>
              </controlPr>
            </control>
          </mc:Choice>
        </mc:AlternateContent>
        <mc:AlternateContent xmlns:mc="http://schemas.openxmlformats.org/markup-compatibility/2006">
          <mc:Choice Requires="x14">
            <control shapeId="77047" r:id="rId249" name="Option Button 247">
              <controlPr defaultSize="0" autoFill="0" autoLine="0" autoPict="0">
                <anchor moveWithCells="1">
                  <from>
                    <xdr:col>7</xdr:col>
                    <xdr:colOff>106680</xdr:colOff>
                    <xdr:row>48</xdr:row>
                    <xdr:rowOff>533400</xdr:rowOff>
                  </from>
                  <to>
                    <xdr:col>7</xdr:col>
                    <xdr:colOff>1965960</xdr:colOff>
                    <xdr:row>48</xdr:row>
                    <xdr:rowOff>693420</xdr:rowOff>
                  </to>
                </anchor>
              </controlPr>
            </control>
          </mc:Choice>
        </mc:AlternateContent>
        <mc:AlternateContent xmlns:mc="http://schemas.openxmlformats.org/markup-compatibility/2006">
          <mc:Choice Requires="x14">
            <control shapeId="77048" r:id="rId250" name="Option Button 248">
              <controlPr defaultSize="0" autoFill="0" autoLine="0" autoPict="0">
                <anchor moveWithCells="1">
                  <from>
                    <xdr:col>7</xdr:col>
                    <xdr:colOff>106680</xdr:colOff>
                    <xdr:row>48</xdr:row>
                    <xdr:rowOff>762000</xdr:rowOff>
                  </from>
                  <to>
                    <xdr:col>7</xdr:col>
                    <xdr:colOff>937260</xdr:colOff>
                    <xdr:row>48</xdr:row>
                    <xdr:rowOff>929640</xdr:rowOff>
                  </to>
                </anchor>
              </controlPr>
            </control>
          </mc:Choice>
        </mc:AlternateContent>
        <mc:AlternateContent xmlns:mc="http://schemas.openxmlformats.org/markup-compatibility/2006">
          <mc:Choice Requires="x14">
            <control shapeId="77049" r:id="rId251" name="Group Box 249">
              <controlPr defaultSize="0" autoFill="0" autoPict="0">
                <anchor moveWithCells="1">
                  <from>
                    <xdr:col>7</xdr:col>
                    <xdr:colOff>0</xdr:colOff>
                    <xdr:row>47</xdr:row>
                    <xdr:rowOff>1645920</xdr:rowOff>
                  </from>
                  <to>
                    <xdr:col>8</xdr:col>
                    <xdr:colOff>0</xdr:colOff>
                    <xdr:row>49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AAED5-83CA-40AA-91EE-527C79341215}">
  <sheetPr codeName="Feuil14">
    <tabColor rgb="FFC00000"/>
  </sheetPr>
  <dimension ref="A1:Z111"/>
  <sheetViews>
    <sheetView showGridLines="0" showRowColHeaders="0" zoomScale="58" zoomScaleNormal="65" workbookViewId="0">
      <selection activeCell="J129" sqref="J129"/>
    </sheetView>
  </sheetViews>
  <sheetFormatPr baseColWidth="10" defaultRowHeight="14.4" x14ac:dyDescent="0.3"/>
  <cols>
    <col min="1" max="3" width="3.77734375" customWidth="1"/>
    <col min="4" max="4" width="5.77734375" customWidth="1"/>
    <col min="5" max="5" width="5.77734375" hidden="1" customWidth="1"/>
    <col min="6" max="6" width="30.5546875" customWidth="1"/>
    <col min="7" max="7" width="69.21875" customWidth="1"/>
    <col min="8" max="8" width="2.5546875" customWidth="1"/>
    <col min="9" max="16" width="4.77734375" customWidth="1"/>
    <col min="17" max="17" width="2.5546875" customWidth="1"/>
    <col min="18" max="18" width="23.88671875" style="696" customWidth="1"/>
    <col min="19" max="19" width="61" style="125" customWidth="1"/>
    <col min="20" max="20" width="2.5546875" customWidth="1"/>
    <col min="21" max="21" width="14.88671875" customWidth="1"/>
    <col min="22" max="22" width="15.21875" customWidth="1"/>
    <col min="23" max="23" width="2.5546875" customWidth="1"/>
    <col min="24" max="24" width="38.5546875" customWidth="1"/>
    <col min="25" max="25" width="5.77734375" customWidth="1"/>
    <col min="26" max="26" width="13.109375" customWidth="1"/>
    <col min="27" max="27" width="27" customWidth="1"/>
  </cols>
  <sheetData>
    <row r="1" spans="1:26" ht="17.399999999999999" customHeight="1" x14ac:dyDescent="0.3">
      <c r="A1" s="288"/>
      <c r="B1" s="288"/>
      <c r="C1" s="288"/>
      <c r="D1" s="288"/>
      <c r="E1" s="288"/>
      <c r="F1" s="288"/>
      <c r="G1" s="288"/>
      <c r="H1" s="288"/>
      <c r="I1" s="288"/>
      <c r="J1" s="288"/>
      <c r="K1" s="288"/>
      <c r="L1" s="288"/>
      <c r="M1" s="288"/>
      <c r="N1" s="288"/>
      <c r="O1" s="288"/>
      <c r="P1" s="288"/>
      <c r="Q1" s="288"/>
      <c r="R1" s="695"/>
      <c r="S1" s="288"/>
      <c r="T1" s="288"/>
      <c r="U1" s="288"/>
      <c r="V1" s="288"/>
      <c r="W1" s="288"/>
      <c r="X1" s="288"/>
      <c r="Y1" s="288"/>
      <c r="Z1" s="288"/>
    </row>
    <row r="2" spans="1:26" ht="30.6" customHeight="1" x14ac:dyDescent="0.55000000000000004">
      <c r="A2" s="288"/>
      <c r="B2" s="288"/>
      <c r="C2" s="288"/>
      <c r="D2" s="288"/>
      <c r="E2" s="288"/>
      <c r="F2" s="288"/>
      <c r="G2" s="288"/>
      <c r="H2" s="288"/>
      <c r="I2" s="288"/>
      <c r="J2" s="288"/>
      <c r="K2" s="288"/>
      <c r="L2" s="288"/>
      <c r="M2" s="288"/>
      <c r="N2" s="280" t="s">
        <v>1021</v>
      </c>
      <c r="O2" s="288"/>
      <c r="P2" s="288"/>
      <c r="Q2" s="288"/>
      <c r="R2" s="695"/>
      <c r="S2" s="288"/>
      <c r="T2" s="288"/>
      <c r="U2" s="288"/>
      <c r="V2" s="288"/>
      <c r="W2" s="288"/>
      <c r="X2" s="288"/>
      <c r="Y2" s="288"/>
      <c r="Z2" s="288"/>
    </row>
    <row r="3" spans="1:26" x14ac:dyDescent="0.3">
      <c r="A3" s="288"/>
      <c r="B3" s="288"/>
      <c r="C3" s="288"/>
      <c r="D3" s="288"/>
      <c r="E3" s="288"/>
      <c r="F3" s="288"/>
      <c r="G3" s="288"/>
      <c r="H3" s="288"/>
      <c r="I3" s="288"/>
      <c r="J3" s="288"/>
      <c r="K3" s="288"/>
      <c r="L3" s="288"/>
      <c r="M3" s="288"/>
      <c r="N3" s="288"/>
      <c r="O3" s="288"/>
      <c r="P3" s="288"/>
      <c r="Q3" s="288"/>
      <c r="R3" s="695"/>
      <c r="S3" s="288"/>
      <c r="T3" s="288"/>
      <c r="U3" s="288"/>
      <c r="V3" s="288"/>
      <c r="W3" s="288"/>
      <c r="X3" s="288"/>
      <c r="Y3" s="288"/>
      <c r="Z3" s="288"/>
    </row>
    <row r="4" spans="1:26" ht="25.8" customHeight="1" x14ac:dyDescent="0.3">
      <c r="A4" s="288"/>
      <c r="B4" s="288"/>
      <c r="C4" s="288"/>
      <c r="Z4" s="288"/>
    </row>
    <row r="5" spans="1:26" ht="29.4" customHeight="1" x14ac:dyDescent="0.3">
      <c r="A5" s="288"/>
      <c r="B5" s="288"/>
      <c r="C5" s="288"/>
      <c r="Z5" s="288"/>
    </row>
    <row r="6" spans="1:26" ht="36" x14ac:dyDescent="0.3">
      <c r="A6" s="288"/>
      <c r="B6" s="288"/>
      <c r="C6" s="288"/>
      <c r="F6" s="386" t="s">
        <v>93</v>
      </c>
      <c r="G6" s="386" t="s">
        <v>2</v>
      </c>
      <c r="H6" s="387"/>
      <c r="I6" s="386" t="s">
        <v>3</v>
      </c>
      <c r="J6" s="386" t="s">
        <v>4</v>
      </c>
      <c r="K6" s="386" t="s">
        <v>5</v>
      </c>
      <c r="L6" s="386" t="s">
        <v>6</v>
      </c>
      <c r="M6" s="386" t="s">
        <v>7</v>
      </c>
      <c r="N6" s="386" t="s">
        <v>8</v>
      </c>
      <c r="O6" s="386" t="s">
        <v>9</v>
      </c>
      <c r="P6" s="386" t="s">
        <v>1019</v>
      </c>
      <c r="Q6" s="387"/>
      <c r="R6" s="697" t="s">
        <v>10</v>
      </c>
      <c r="S6" s="386" t="s">
        <v>11</v>
      </c>
      <c r="T6" s="387"/>
      <c r="U6" s="386" t="s">
        <v>12</v>
      </c>
      <c r="V6" s="386" t="s">
        <v>1127</v>
      </c>
      <c r="Z6" s="288"/>
    </row>
    <row r="7" spans="1:26" ht="15" customHeight="1" thickBot="1" x14ac:dyDescent="0.35">
      <c r="A7" s="288"/>
      <c r="B7" s="288"/>
      <c r="C7" s="289"/>
      <c r="G7" s="83"/>
      <c r="H7" s="83"/>
      <c r="I7" s="83"/>
      <c r="J7" s="83"/>
      <c r="K7" s="83"/>
      <c r="L7" s="83"/>
      <c r="M7" s="83"/>
      <c r="N7" s="83"/>
      <c r="O7" s="83"/>
      <c r="P7" s="83"/>
      <c r="Q7" s="83"/>
      <c r="R7" s="83"/>
      <c r="S7" s="127"/>
      <c r="T7" s="83"/>
      <c r="U7" s="83"/>
      <c r="V7" s="83"/>
      <c r="W7" s="83"/>
      <c r="Z7" s="288"/>
    </row>
    <row r="8" spans="1:26" ht="33" customHeight="1" x14ac:dyDescent="0.3">
      <c r="A8" s="596" t="s">
        <v>644</v>
      </c>
      <c r="B8" s="596"/>
      <c r="C8" s="596"/>
      <c r="E8" t="str">
        <f>RIGHT(F10,1)&amp;1&amp;1</f>
        <v>111</v>
      </c>
      <c r="F8" s="367"/>
      <c r="G8" s="581" t="str">
        <f>LEFT(RIGHT($E8,2),1)&amp;" : "&amp;IFERROR(VLOOKUP($E8,BDD!$A$1:$S$580,7,FALSE),"")</f>
        <v>1 : La DSI participe à l'élaboration de la stratégie de l'entreprise.</v>
      </c>
      <c r="H8" s="124"/>
      <c r="I8" s="42" t="str">
        <f>IF(V1_Stratégie!O8="","",V1_Stratégie!O8)</f>
        <v>NE</v>
      </c>
      <c r="J8" s="42" t="str">
        <f>IF(V1_Stratégie!P8="","",V1_Stratégie!P8)</f>
        <v>NE</v>
      </c>
      <c r="K8" s="42" t="str">
        <f>IF(V1_Stratégie!Q8="","",V1_Stratégie!Q8)</f>
        <v>NE</v>
      </c>
      <c r="L8" s="42" t="str">
        <f>IF(V1_Stratégie!R8="","",V1_Stratégie!R8)</f>
        <v>NE</v>
      </c>
      <c r="M8" s="42" t="str">
        <f>IF(V1_Stratégie!S8="","",V1_Stratégie!S8)</f>
        <v>NE</v>
      </c>
      <c r="N8" s="42" t="str">
        <f>IF(V1_Stratégie!T8="","",V1_Stratégie!T8)</f>
        <v>NE</v>
      </c>
      <c r="O8" s="42" t="str">
        <f>IF(V1_Stratégie!U8="","",V1_Stratégie!U8)</f>
        <v>NE</v>
      </c>
      <c r="P8" s="389" t="str">
        <f>IF(V1_Stratégie!V8="","",V1_Stratégie!V8)</f>
        <v/>
      </c>
      <c r="Q8" s="124"/>
      <c r="R8" s="698" t="str">
        <f>IF(OR(V1_Stratégie!W8="NE",V1_Stratégie!W8=""),"",V1_Stratégie!W8)</f>
        <v>N/A</v>
      </c>
      <c r="S8" s="378" t="str">
        <f>IF(OR(V1_Stratégie!X8="NE",V1_Stratégie!X8=""),"",V1_Stratégie!X8)</f>
        <v/>
      </c>
      <c r="T8" s="124"/>
      <c r="U8" s="576">
        <f>IF(OR(V1_Stratégie!Z8="NE",V1_Stratégie!Z8=""),"",V1_Stratégie!Z8)</f>
        <v>0</v>
      </c>
      <c r="V8" s="43">
        <f>IF(OR(V1_Stratégie!AA8="NE",V1_Stratégie!AA8=""),"",V1_Stratégie!AA8)</f>
        <v>0</v>
      </c>
      <c r="W8" s="124"/>
      <c r="X8" s="274" t="str">
        <f>"Evaluation globale du "&amp;F10</f>
        <v>Evaluation globale du Vecteur 1</v>
      </c>
      <c r="Z8" s="288"/>
    </row>
    <row r="9" spans="1:26" ht="43.95" customHeight="1" x14ac:dyDescent="0.3">
      <c r="A9" s="597"/>
      <c r="B9" s="597"/>
      <c r="C9" s="597"/>
      <c r="E9" t="str">
        <f>RIGHT(F10,1)&amp;2&amp;1</f>
        <v>121</v>
      </c>
      <c r="F9" s="586"/>
      <c r="G9" s="582" t="str">
        <f>LEFT(RIGHT($E9,2),1)&amp;" : "&amp;IFERROR(VLOOKUP($E9,BDD!$A$1:$S$580,7,FALSE),"")</f>
        <v xml:space="preserve">2 : Le volet numérique du plan stratégique intègre les cibles métiers et technologiques ainsi que la planification des ressources nécessaires à leur atteinte. </v>
      </c>
      <c r="H9" s="124"/>
      <c r="I9" s="45" t="str">
        <f>IF(V1_Stratégie!O9="","",V1_Stratégie!O9)</f>
        <v>NE</v>
      </c>
      <c r="J9" s="45" t="str">
        <f>IF(V1_Stratégie!P9="","",V1_Stratégie!P9)</f>
        <v>NE</v>
      </c>
      <c r="K9" s="45" t="str">
        <f>IF(V1_Stratégie!Q9="","",V1_Stratégie!Q9)</f>
        <v>NE</v>
      </c>
      <c r="L9" s="45" t="str">
        <f>IF(V1_Stratégie!R9="","",V1_Stratégie!R9)</f>
        <v>NE</v>
      </c>
      <c r="M9" s="45" t="str">
        <f>IF(V1_Stratégie!S9="","",V1_Stratégie!S9)</f>
        <v>NE</v>
      </c>
      <c r="N9" s="45" t="str">
        <f>IF(V1_Stratégie!T9="","",V1_Stratégie!T9)</f>
        <v>NE</v>
      </c>
      <c r="O9" s="46" t="str">
        <f>IF(V1_Stratégie!U9="","",V1_Stratégie!U9)</f>
        <v>NE</v>
      </c>
      <c r="P9" s="390" t="str">
        <f>IF(V1_Stratégie!V9="","",V1_Stratégie!V9)</f>
        <v/>
      </c>
      <c r="Q9" s="124"/>
      <c r="R9" s="699" t="str">
        <f>IF(OR(V1_Stratégie!W9="NE",V1_Stratégie!W9=""),"",V1_Stratégie!W9)</f>
        <v>N/A</v>
      </c>
      <c r="S9" s="379" t="str">
        <f>IF(OR(V1_Stratégie!X9="NE",V1_Stratégie!X9=""),"",V1_Stratégie!X9)</f>
        <v/>
      </c>
      <c r="T9" s="124"/>
      <c r="U9" s="577">
        <f>IF(OR(V1_Stratégie!Z9="NE",V1_Stratégie!Z9=""),"",V1_Stratégie!Z9)</f>
        <v>0</v>
      </c>
      <c r="V9" s="47">
        <f>IF(OR(V1_Stratégie!AA9="NE",V1_Stratégie!AA9=""),"",V1_Stratégie!AA9)</f>
        <v>0</v>
      </c>
      <c r="W9" s="124"/>
      <c r="X9" s="599" t="str">
        <f>IF(OR(V1_Stratégie!N15="NE",V1_Stratégie!N15=""),"",V1_Stratégie!N15)</f>
        <v/>
      </c>
      <c r="Z9" s="288"/>
    </row>
    <row r="10" spans="1:26" ht="43.95" customHeight="1" x14ac:dyDescent="0.3">
      <c r="A10" s="597"/>
      <c r="B10" s="597"/>
      <c r="C10" s="597"/>
      <c r="E10" t="str">
        <f>RIGHT(F10,1)&amp;3&amp;1</f>
        <v>131</v>
      </c>
      <c r="F10" s="585" t="s">
        <v>65</v>
      </c>
      <c r="G10" s="581" t="str">
        <f>LEFT(RIGHT($E10,2),1)&amp;" : "&amp;IFERROR(VLOOKUP($E10,BDD!$A$1:$S$580,7,FALSE),"")</f>
        <v>3 : Le volet numérique est communiqué conjointement avec le plan stratégique de l’organisation pour en faciliter la compréhension et susciter l’adhésion des métiers.</v>
      </c>
      <c r="H10" s="124"/>
      <c r="I10" s="42" t="str">
        <f>IF(V1_Stratégie!O10="","",V1_Stratégie!O10)</f>
        <v>NE</v>
      </c>
      <c r="J10" s="42" t="str">
        <f>IF(V1_Stratégie!P10="","",V1_Stratégie!P10)</f>
        <v>NE</v>
      </c>
      <c r="K10" s="42" t="str">
        <f>IF(V1_Stratégie!Q10="","",V1_Stratégie!Q10)</f>
        <v>NE</v>
      </c>
      <c r="L10" s="49" t="str">
        <f>IF(V1_Stratégie!R10="","",V1_Stratégie!R10)</f>
        <v>NE</v>
      </c>
      <c r="M10" s="358" t="str">
        <f>IF(V1_Stratégie!S10="","",V1_Stratégie!S10)</f>
        <v/>
      </c>
      <c r="N10" s="358" t="str">
        <f>IF(V1_Stratégie!T10="","",V1_Stratégie!T10)</f>
        <v/>
      </c>
      <c r="O10" s="360" t="str">
        <f>IF(V1_Stratégie!U10="","",V1_Stratégie!U10)</f>
        <v/>
      </c>
      <c r="P10" s="360" t="str">
        <f>IF(V1_Stratégie!V10="","",V1_Stratégie!V10)</f>
        <v/>
      </c>
      <c r="Q10" s="124"/>
      <c r="R10" s="698" t="str">
        <f>IF(OR(V1_Stratégie!W10="NE",V1_Stratégie!W10=""),"",V1_Stratégie!W10)</f>
        <v>N/A</v>
      </c>
      <c r="S10" s="378" t="str">
        <f>IF(OR(V1_Stratégie!X10="NE",V1_Stratégie!X10=""),"",V1_Stratégie!X10)</f>
        <v/>
      </c>
      <c r="T10" s="124"/>
      <c r="U10" s="576">
        <f>IF(OR(V1_Stratégie!Z10="NE",V1_Stratégie!Z10=""),"",V1_Stratégie!Z10)</f>
        <v>0</v>
      </c>
      <c r="V10" s="43">
        <f>IF(OR(V1_Stratégie!AA10="NE",V1_Stratégie!AA10=""),"",V1_Stratégie!AA10)</f>
        <v>0</v>
      </c>
      <c r="W10" s="124"/>
      <c r="X10" s="599" t="str">
        <f>IF(OR(V1_Stratégie!AC10="NE",V1_Stratégie!AC10=""),"",V1_Stratégie!AC10)</f>
        <v/>
      </c>
      <c r="Z10" s="288"/>
    </row>
    <row r="11" spans="1:26" ht="43.95" customHeight="1" x14ac:dyDescent="0.3">
      <c r="A11" s="597"/>
      <c r="B11" s="597"/>
      <c r="C11" s="597"/>
      <c r="E11" t="str">
        <f>RIGHT(F10,1)&amp;4&amp;1</f>
        <v>141</v>
      </c>
      <c r="F11" s="584" t="str">
        <f>VLOOKUP(E11,BDD!$A$1:$C$667,3,FALSE)</f>
        <v>Stratégies</v>
      </c>
      <c r="G11" s="582" t="str">
        <f>LEFT(RIGHT($E11,2),1)&amp;" : "&amp;IFERROR(VLOOKUP($E11,BDD!$A$1:$S$580,7,FALSE),"")</f>
        <v xml:space="preserve">4 : Des indicateurs financiers et non financiers sont définis afin de mesurer la contribution du numérique à la stratégie de l’organisation. </v>
      </c>
      <c r="H11" s="124"/>
      <c r="I11" s="45" t="str">
        <f>IF(V1_Stratégie!O11="","",V1_Stratégie!O11)</f>
        <v>NE</v>
      </c>
      <c r="J11" s="45" t="str">
        <f>IF(V1_Stratégie!P11="","",V1_Stratégie!P11)</f>
        <v>NE</v>
      </c>
      <c r="K11" s="45" t="str">
        <f>IF(V1_Stratégie!Q11="","",V1_Stratégie!Q11)</f>
        <v>NE</v>
      </c>
      <c r="L11" s="45" t="str">
        <f>IF(V1_Stratégie!R11="","",V1_Stratégie!R11)</f>
        <v>NE</v>
      </c>
      <c r="M11" s="45" t="str">
        <f>IF(V1_Stratégie!S11="","",V1_Stratégie!S11)</f>
        <v>NE</v>
      </c>
      <c r="N11" s="45" t="str">
        <f>IF(V1_Stratégie!T11="","",V1_Stratégie!T11)</f>
        <v>NE</v>
      </c>
      <c r="O11" s="359" t="str">
        <f>IF(V1_Stratégie!U11="","",V1_Stratégie!U11)</f>
        <v/>
      </c>
      <c r="P11" s="359" t="str">
        <f>IF(V1_Stratégie!V11="","",V1_Stratégie!V11)</f>
        <v/>
      </c>
      <c r="Q11" s="124"/>
      <c r="R11" s="699" t="str">
        <f>IF(OR(V1_Stratégie!W11="NE",V1_Stratégie!W11=""),"",V1_Stratégie!W11)</f>
        <v>N/A</v>
      </c>
      <c r="S11" s="379" t="str">
        <f>IF(OR(V1_Stratégie!X11="NE",V1_Stratégie!X11=""),"",V1_Stratégie!X11)</f>
        <v/>
      </c>
      <c r="T11" s="124"/>
      <c r="U11" s="577">
        <f>IF(OR(V1_Stratégie!Z11="NE",V1_Stratégie!Z11=""),"",V1_Stratégie!Z11)</f>
        <v>0</v>
      </c>
      <c r="V11" s="47">
        <f>IF(OR(V1_Stratégie!AA11="NE",V1_Stratégie!AA11=""),"",V1_Stratégie!AA11)</f>
        <v>0</v>
      </c>
      <c r="W11" s="124"/>
      <c r="X11" s="599" t="str">
        <f>IF(OR(V1_Stratégie!AC11="NE",V1_Stratégie!AC11=""),"",V1_Stratégie!AC11)</f>
        <v/>
      </c>
      <c r="Z11" s="288"/>
    </row>
    <row r="12" spans="1:26" ht="43.95" customHeight="1" thickBot="1" x14ac:dyDescent="0.45">
      <c r="A12" s="597"/>
      <c r="B12" s="597"/>
      <c r="C12" s="597"/>
      <c r="E12" t="str">
        <f>RIGHT(F10,1)&amp;5&amp;1</f>
        <v>151</v>
      </c>
      <c r="F12" s="371"/>
      <c r="G12" s="581" t="str">
        <f>LEFT(RIGHT($E12,2),1)&amp;" : "&amp;IFERROR(VLOOKUP($E12,BDD!$A$1:$S$580,7,FALSE),"")</f>
        <v>5 : Une instance de pilotage stratégique du SI est mise en place au niveau de la direction générale afin de valider le volet numérique du plan stratégique, rendre les arbitrages nécessaires et assurer le suivi de sa mise en œuvre.</v>
      </c>
      <c r="H12" s="124"/>
      <c r="I12" s="42" t="str">
        <f>IF(V1_Stratégie!O12="","",V1_Stratégie!O12)</f>
        <v>NE</v>
      </c>
      <c r="J12" s="42" t="str">
        <f>IF(V1_Stratégie!P12="","",V1_Stratégie!P12)</f>
        <v>NE</v>
      </c>
      <c r="K12" s="42" t="str">
        <f>IF(V1_Stratégie!Q12="","",V1_Stratégie!Q12)</f>
        <v>NE</v>
      </c>
      <c r="L12" s="42" t="str">
        <f>IF(V1_Stratégie!R12="","",V1_Stratégie!R12)</f>
        <v>NE</v>
      </c>
      <c r="M12" s="42" t="str">
        <f>IF(V1_Stratégie!S12="","",V1_Stratégie!S12)</f>
        <v>NE</v>
      </c>
      <c r="N12" s="358" t="str">
        <f>IF(V1_Stratégie!T12="","",V1_Stratégie!T12)</f>
        <v/>
      </c>
      <c r="O12" s="360" t="str">
        <f>IF(V1_Stratégie!U12="","",V1_Stratégie!U12)</f>
        <v/>
      </c>
      <c r="P12" s="360" t="str">
        <f>IF(V1_Stratégie!V12="","",V1_Stratégie!V12)</f>
        <v/>
      </c>
      <c r="Q12" s="124"/>
      <c r="R12" s="698" t="str">
        <f>IF(OR(V1_Stratégie!W12="NE",V1_Stratégie!W12=""),"",V1_Stratégie!W12)</f>
        <v>N/A</v>
      </c>
      <c r="S12" s="378" t="str">
        <f>IF(OR(V1_Stratégie!X12="NE",V1_Stratégie!X12=""),"",V1_Stratégie!X12)</f>
        <v/>
      </c>
      <c r="T12" s="124"/>
      <c r="U12" s="576">
        <f>IF(OR(V1_Stratégie!Z12="NE",V1_Stratégie!Z12=""),"",V1_Stratégie!Z12)</f>
        <v>0</v>
      </c>
      <c r="V12" s="43">
        <f>IF(OR(V1_Stratégie!AA12="NE",V1_Stratégie!AA12=""),"",V1_Stratégie!AA12)</f>
        <v>0</v>
      </c>
      <c r="W12" s="124"/>
      <c r="X12" s="600" t="str">
        <f>IF(OR(V1_Stratégie!AC12="NE",V1_Stratégie!AC12=""),"",V1_Stratégie!AC12)</f>
        <v/>
      </c>
      <c r="Z12" s="288"/>
    </row>
    <row r="13" spans="1:26" ht="43.95" customHeight="1" thickBot="1" x14ac:dyDescent="0.45">
      <c r="A13" s="597"/>
      <c r="B13" s="597"/>
      <c r="C13" s="597"/>
      <c r="F13" s="372"/>
      <c r="G13" s="380"/>
      <c r="P13" s="388"/>
      <c r="R13" s="700" t="str">
        <f>IF(OR(V1_Stratégie!W15="NE",V1_Stratégie!W15=""),"",V1_Stratégie!W15)</f>
        <v>N/A</v>
      </c>
      <c r="S13" s="383" t="str">
        <f>IF(OR(V1_Stratégie!X15="NE",V1_Stratégie!X15=""),"",V1_Stratégie!X15)</f>
        <v/>
      </c>
      <c r="U13" s="578">
        <f>V1_Stratégie!Z15</f>
        <v>0</v>
      </c>
      <c r="V13" s="366">
        <f>V1_Stratégie!AA15</f>
        <v>0</v>
      </c>
      <c r="X13" s="392"/>
      <c r="Z13" s="288"/>
    </row>
    <row r="14" spans="1:26" ht="25.05" customHeight="1" x14ac:dyDescent="0.4">
      <c r="A14" s="597"/>
      <c r="B14" s="597"/>
      <c r="C14" s="597"/>
      <c r="F14" s="372"/>
      <c r="G14" s="380"/>
      <c r="I14" s="129" t="s">
        <v>3</v>
      </c>
      <c r="J14" s="129" t="s">
        <v>4</v>
      </c>
      <c r="K14" s="129" t="s">
        <v>5</v>
      </c>
      <c r="L14" s="129" t="s">
        <v>6</v>
      </c>
      <c r="M14" s="129" t="s">
        <v>7</v>
      </c>
      <c r="N14" s="129" t="s">
        <v>8</v>
      </c>
      <c r="O14" s="129" t="s">
        <v>9</v>
      </c>
      <c r="P14" s="129" t="s">
        <v>1019</v>
      </c>
      <c r="R14" s="703"/>
      <c r="X14" s="392"/>
      <c r="Z14" s="288"/>
    </row>
    <row r="15" spans="1:26" ht="33" customHeight="1" x14ac:dyDescent="0.3">
      <c r="A15" s="597"/>
      <c r="B15" s="597"/>
      <c r="C15" s="597"/>
      <c r="E15" t="str">
        <f>RIGHT(F17,1)&amp;1&amp;1</f>
        <v>211</v>
      </c>
      <c r="F15" s="367"/>
      <c r="G15" s="581" t="str">
        <f>LEFT(RIGHT($E15,2),1)&amp;" : "&amp;IFERROR(VLOOKUP($E15,BDD!$A$1:$S$580,7,FALSE),"")</f>
        <v>1 : Une vision globale de l’innovation portée par la direction générale est diffusée au sein de l’organisation.</v>
      </c>
      <c r="H15" s="124"/>
      <c r="I15" s="42" t="str">
        <f>IF(V2_Innovation!O8="","",V2_Innovation!O8)</f>
        <v>NE</v>
      </c>
      <c r="J15" s="42" t="str">
        <f>IF(V2_Innovation!P8="","",V2_Innovation!P8)</f>
        <v>NE</v>
      </c>
      <c r="K15" s="358" t="str">
        <f>IF(V2_Innovation!Q8="","",V2_Innovation!Q8)</f>
        <v/>
      </c>
      <c r="L15" s="358" t="str">
        <f>IF(V2_Innovation!R8="","",V2_Innovation!R8)</f>
        <v/>
      </c>
      <c r="M15" s="358" t="str">
        <f>IF(V2_Innovation!S8="","",V2_Innovation!S8)</f>
        <v/>
      </c>
      <c r="N15" s="358" t="str">
        <f>IF(V2_Innovation!T8="","",V2_Innovation!T8)</f>
        <v/>
      </c>
      <c r="O15" s="358" t="str">
        <f>IF(V2_Innovation!U8="","",V2_Innovation!U8)</f>
        <v/>
      </c>
      <c r="P15" s="358" t="str">
        <f>IF(V2_Innovation!V8="","",V2_Innovation!V8)</f>
        <v/>
      </c>
      <c r="Q15" s="124" t="str">
        <f>IF(OR(V2_Innovation!V8="NE",V2_Innovation!V8=""),"",V2_Innovation!V8)</f>
        <v/>
      </c>
      <c r="R15" s="698" t="str">
        <f>IF(OR(V2_Innovation!W8="NE",V2_Innovation!W8=""),"",V2_Innovation!W8)</f>
        <v>N/A</v>
      </c>
      <c r="S15" s="378" t="str">
        <f>IF(OR(V2_Innovation!X8="NE",V2_Innovation!X8=""),"",V2_Innovation!X8)</f>
        <v/>
      </c>
      <c r="T15" s="124"/>
      <c r="U15" s="576">
        <f>IF(OR(V2_Innovation!Z8="NE",V2_Innovation!Z8=""),"",V2_Innovation!Z8)</f>
        <v>0</v>
      </c>
      <c r="V15" s="43">
        <f>IF(OR(V2_Innovation!AA8="NE",V2_Innovation!AA8=""),"",V2_Innovation!AA8)</f>
        <v>0</v>
      </c>
      <c r="W15" s="124"/>
      <c r="X15" s="274" t="str">
        <f>"Evaluation globale du "&amp;F17</f>
        <v>Evaluation globale du Vecteur 2</v>
      </c>
      <c r="Z15" s="288"/>
    </row>
    <row r="16" spans="1:26" ht="33" customHeight="1" x14ac:dyDescent="0.4">
      <c r="A16" s="597"/>
      <c r="B16" s="597"/>
      <c r="C16" s="597"/>
      <c r="E16" t="str">
        <f>RIGHT(F17,1)&amp;2&amp;1</f>
        <v>221</v>
      </c>
      <c r="F16" s="370"/>
      <c r="G16" s="582" t="str">
        <f>LEFT(RIGHT($E16,2),1)&amp;" : "&amp;IFERROR(VLOOKUP($E16,BDD!$A$1:$S$580,7,FALSE),"")</f>
        <v>2 : Les efforts d'innovation sont encadrés par une politique d'innovation et une gouvernance adaptées.</v>
      </c>
      <c r="H16" s="124"/>
      <c r="I16" s="45" t="str">
        <f>IF(V2_Innovation!O9="","",V2_Innovation!O9)</f>
        <v>NE</v>
      </c>
      <c r="J16" s="45" t="str">
        <f>IF(V2_Innovation!P9="","",V2_Innovation!P9)</f>
        <v>NE</v>
      </c>
      <c r="K16" s="45" t="str">
        <f>IF(V2_Innovation!Q9="","",V2_Innovation!Q9)</f>
        <v>NE</v>
      </c>
      <c r="L16" s="45" t="str">
        <f>IF(V2_Innovation!R9="","",V2_Innovation!R9)</f>
        <v>NE</v>
      </c>
      <c r="M16" s="45" t="str">
        <f>IF(V2_Innovation!S9="","",V2_Innovation!S9)</f>
        <v>NE</v>
      </c>
      <c r="N16" s="45" t="str">
        <f>IF(V2_Innovation!T9="","",V2_Innovation!T9)</f>
        <v>NE</v>
      </c>
      <c r="O16" s="359" t="str">
        <f>IF(V2_Innovation!U9="","",V2_Innovation!U9)</f>
        <v/>
      </c>
      <c r="P16" s="359" t="str">
        <f>IF(V2_Innovation!V9="","",V2_Innovation!V9)</f>
        <v/>
      </c>
      <c r="Q16" s="124" t="str">
        <f>IF(OR(V2_Innovation!V9="NE",V2_Innovation!V9=""),"",V2_Innovation!V9)</f>
        <v/>
      </c>
      <c r="R16" s="699" t="str">
        <f>IF(OR(V2_Innovation!W9="NE",V2_Innovation!W9=""),"",V2_Innovation!W9)</f>
        <v>N/A</v>
      </c>
      <c r="S16" s="379" t="str">
        <f>IF(OR(V2_Innovation!X9="NE",V2_Innovation!X9=""),"",V2_Innovation!X9)</f>
        <v/>
      </c>
      <c r="T16" s="124"/>
      <c r="U16" s="577">
        <f>IF(OR(V2_Innovation!Z9="NE",V2_Innovation!Z9=""),"",V2_Innovation!Z9)</f>
        <v>0</v>
      </c>
      <c r="V16" s="47">
        <f>IF(OR(V2_Innovation!AA9="NE",V2_Innovation!AA9=""),"",V2_Innovation!AA9)</f>
        <v>0</v>
      </c>
      <c r="W16" s="124"/>
      <c r="X16" s="601" t="str">
        <f>IF(OR(V2_Innovation!N16="NE",V2_Innovation!N16=""),"",V2_Innovation!N16)</f>
        <v/>
      </c>
      <c r="Z16" s="288"/>
    </row>
    <row r="17" spans="1:26" ht="33" customHeight="1" x14ac:dyDescent="0.3">
      <c r="A17" s="597"/>
      <c r="B17" s="597"/>
      <c r="C17" s="597"/>
      <c r="E17" t="str">
        <f>RIGHT(F17,1)&amp;3&amp;1</f>
        <v>231</v>
      </c>
      <c r="F17" s="585" t="s">
        <v>66</v>
      </c>
      <c r="G17" s="581" t="str">
        <f>LEFT(RIGHT($E17,2),1)&amp;" : "&amp;IFERROR(VLOOKUP($E17,BDD!$A$1:$S$580,7,FALSE),"")</f>
        <v>3 : La veille est organisée pour éclairer les efforts d’innovation et la stratégie de l’organisation.</v>
      </c>
      <c r="H17" s="124"/>
      <c r="I17" s="42" t="str">
        <f>IF(V2_Innovation!O10="","",V2_Innovation!O10)</f>
        <v>NE</v>
      </c>
      <c r="J17" s="42" t="str">
        <f>IF(V2_Innovation!P10="","",V2_Innovation!P10)</f>
        <v>NE</v>
      </c>
      <c r="K17" s="42" t="str">
        <f>IF(V2_Innovation!Q10="","",V2_Innovation!Q10)</f>
        <v>NE</v>
      </c>
      <c r="L17" s="49" t="str">
        <f>IF(V2_Innovation!R10="","",V2_Innovation!R10)</f>
        <v>NE</v>
      </c>
      <c r="M17" s="358" t="str">
        <f>IF(V2_Innovation!S10="","",V2_Innovation!S10)</f>
        <v/>
      </c>
      <c r="N17" s="358" t="str">
        <f>IF(V2_Innovation!T10="","",V2_Innovation!T10)</f>
        <v/>
      </c>
      <c r="O17" s="360" t="str">
        <f>IF(V2_Innovation!U10="","",V2_Innovation!U10)</f>
        <v/>
      </c>
      <c r="P17" s="360" t="str">
        <f>IF(V2_Innovation!V10="","",V2_Innovation!V10)</f>
        <v/>
      </c>
      <c r="Q17" s="124" t="str">
        <f>IF(OR(V2_Innovation!V10="NE",V2_Innovation!V10=""),"",V2_Innovation!V10)</f>
        <v/>
      </c>
      <c r="R17" s="698" t="str">
        <f>IF(OR(V2_Innovation!W10="NE",V2_Innovation!W10=""),"",V2_Innovation!W10)</f>
        <v>N/A</v>
      </c>
      <c r="S17" s="378" t="str">
        <f>IF(OR(V2_Innovation!X10="NE",V2_Innovation!X10=""),"",V2_Innovation!X10)</f>
        <v/>
      </c>
      <c r="T17" s="124"/>
      <c r="U17" s="576">
        <f>IF(OR(V2_Innovation!Z10="NE",V2_Innovation!Z10=""),"",V2_Innovation!Z10)</f>
        <v>0</v>
      </c>
      <c r="V17" s="43">
        <f>IF(OR(V2_Innovation!AA10="NE",V2_Innovation!AA10=""),"",V2_Innovation!AA10)</f>
        <v>0</v>
      </c>
      <c r="W17" s="124"/>
      <c r="X17" s="602" t="str">
        <f>IF(OR(V2_Innovation!AC10="NE",V2_Innovation!AC10=""),"",V2_Innovation!AC10)</f>
        <v/>
      </c>
      <c r="Z17" s="288"/>
    </row>
    <row r="18" spans="1:26" ht="33" customHeight="1" x14ac:dyDescent="0.3">
      <c r="A18" s="597"/>
      <c r="B18" s="597"/>
      <c r="C18" s="597"/>
      <c r="E18" t="str">
        <f>RIGHT(F17,1)&amp;4&amp;1</f>
        <v>241</v>
      </c>
      <c r="F18" s="367" t="str">
        <f>VLOOKUP(E18,BDD!$A$1:$C$667,3,FALSE)</f>
        <v>Innovation</v>
      </c>
      <c r="G18" s="582" t="str">
        <f>LEFT(RIGHT($E18,2),1)&amp;" : "&amp;IFERROR(VLOOKUP($E18,BDD!$A$1:$S$580,7,FALSE),"")</f>
        <v xml:space="preserve">4 : L’organisation est structurée de façon à prendre en compte et à traiter les initiatives d’innovation de manière agile.  </v>
      </c>
      <c r="H18" s="124"/>
      <c r="I18" s="45" t="str">
        <f>IF(V2_Innovation!O11="","",V2_Innovation!O11)</f>
        <v>NE</v>
      </c>
      <c r="J18" s="45" t="str">
        <f>IF(V2_Innovation!P11="","",V2_Innovation!P11)</f>
        <v>NE</v>
      </c>
      <c r="K18" s="45" t="str">
        <f>IF(V2_Innovation!Q11="","",V2_Innovation!Q11)</f>
        <v>NE</v>
      </c>
      <c r="L18" s="45" t="str">
        <f>IF(V2_Innovation!R11="","",V2_Innovation!R11)</f>
        <v>NE</v>
      </c>
      <c r="M18" s="45" t="str">
        <f>IF(V2_Innovation!S11="","",V2_Innovation!S11)</f>
        <v>NE</v>
      </c>
      <c r="N18" s="361" t="str">
        <f>IF(V2_Innovation!T11="","",V2_Innovation!T11)</f>
        <v/>
      </c>
      <c r="O18" s="359" t="str">
        <f>IF(V2_Innovation!U11="","",V2_Innovation!U11)</f>
        <v/>
      </c>
      <c r="P18" s="359" t="str">
        <f>IF(V2_Innovation!V11="","",V2_Innovation!V11)</f>
        <v/>
      </c>
      <c r="Q18" s="124" t="str">
        <f>IF(OR(V2_Innovation!V11="NE",V2_Innovation!V11=""),"",V2_Innovation!V11)</f>
        <v/>
      </c>
      <c r="R18" s="699" t="str">
        <f>IF(OR(V2_Innovation!W11="NE",V2_Innovation!W11=""),"",V2_Innovation!W11)</f>
        <v>N/A</v>
      </c>
      <c r="S18" s="379" t="str">
        <f>IF(OR(V2_Innovation!X11="NE",V2_Innovation!X11=""),"",V2_Innovation!X11)</f>
        <v/>
      </c>
      <c r="T18" s="124"/>
      <c r="U18" s="577">
        <f>IF(OR(V2_Innovation!Z11="NE",V2_Innovation!Z11=""),"",V2_Innovation!Z11)</f>
        <v>0</v>
      </c>
      <c r="V18" s="47">
        <f>IF(OR(V2_Innovation!AA11="NE",V2_Innovation!AA11=""),"",V2_Innovation!AA11)</f>
        <v>0</v>
      </c>
      <c r="W18" s="124"/>
      <c r="X18" s="602" t="str">
        <f>IF(OR(V2_Innovation!AC11="NE",V2_Innovation!AC11=""),"",V2_Innovation!AC11)</f>
        <v/>
      </c>
      <c r="Z18" s="288"/>
    </row>
    <row r="19" spans="1:26" ht="33" customHeight="1" x14ac:dyDescent="0.4">
      <c r="A19" s="597"/>
      <c r="B19" s="597"/>
      <c r="C19" s="597"/>
      <c r="E19" t="str">
        <f>RIGHT(F17,1)&amp;5&amp;1</f>
        <v>251</v>
      </c>
      <c r="F19" s="371"/>
      <c r="G19" s="581" t="str">
        <f>LEFT(RIGHT($E19,2),1)&amp;" : "&amp;IFERROR(VLOOKUP($E19,BDD!$A$1:$S$580,7,FALSE),"")</f>
        <v>5 : La performance du processus d'innovation fait l’objet d’un suivi dans une logique d'amélioration continue.</v>
      </c>
      <c r="H19" s="124"/>
      <c r="I19" s="42" t="str">
        <f>IF(V2_Innovation!O12="","",V2_Innovation!O12)</f>
        <v>NE</v>
      </c>
      <c r="J19" s="42" t="str">
        <f>IF(V2_Innovation!P12="","",V2_Innovation!P12)</f>
        <v>NE</v>
      </c>
      <c r="K19" s="42" t="str">
        <f>IF(V2_Innovation!Q12="","",V2_Innovation!Q12)</f>
        <v>NE</v>
      </c>
      <c r="L19" s="42" t="str">
        <f>IF(V2_Innovation!R12="","",V2_Innovation!R12)</f>
        <v>NE</v>
      </c>
      <c r="M19" s="358" t="str">
        <f>IF(V2_Innovation!S12="","",V2_Innovation!S12)</f>
        <v/>
      </c>
      <c r="N19" s="358" t="str">
        <f>IF(V2_Innovation!T12="","",V2_Innovation!T12)</f>
        <v/>
      </c>
      <c r="O19" s="360" t="str">
        <f>IF(V2_Innovation!U12="","",V2_Innovation!U12)</f>
        <v/>
      </c>
      <c r="P19" s="360" t="str">
        <f>IF(V2_Innovation!V12="","",V2_Innovation!V12)</f>
        <v/>
      </c>
      <c r="Q19" s="124" t="str">
        <f>IF(OR(V2_Innovation!V12="NE",V2_Innovation!V12=""),"",V2_Innovation!V12)</f>
        <v/>
      </c>
      <c r="R19" s="698" t="str">
        <f>IF(OR(V2_Innovation!W12="NE",V2_Innovation!W12=""),"",V2_Innovation!W12)</f>
        <v>N/A</v>
      </c>
      <c r="S19" s="378" t="str">
        <f>IF(OR(V2_Innovation!X12="NE",V2_Innovation!X12=""),"",V2_Innovation!X12)</f>
        <v/>
      </c>
      <c r="T19" s="124"/>
      <c r="U19" s="576">
        <f>IF(OR(V2_Innovation!Z12="NE",V2_Innovation!Z12=""),"",V2_Innovation!Z12)</f>
        <v>0</v>
      </c>
      <c r="V19" s="43">
        <f>IF(OR(V2_Innovation!AA12="NE",V2_Innovation!AA12=""),"",V2_Innovation!AA12)</f>
        <v>0</v>
      </c>
      <c r="W19" s="124"/>
      <c r="X19" s="602" t="str">
        <f>IF(OR(V2_Innovation!AC12="NE",V2_Innovation!AC12=""),"",V2_Innovation!AC12)</f>
        <v/>
      </c>
      <c r="Z19" s="288"/>
    </row>
    <row r="20" spans="1:26" ht="33" customHeight="1" thickBot="1" x14ac:dyDescent="0.35">
      <c r="A20" s="597"/>
      <c r="B20" s="597"/>
      <c r="C20" s="597"/>
      <c r="E20" t="str">
        <f>RIGHT(F17,1)&amp;6&amp;1</f>
        <v>261</v>
      </c>
      <c r="F20" s="367"/>
      <c r="G20" s="582" t="str">
        <f>LEFT(RIGHT($E20,2),1)&amp;" : "&amp;IFERROR(VLOOKUP($E20,BDD!$A$1:$S$580,7,FALSE),"")</f>
        <v>6 : L’innovation fait l’objet d’une communication clairement définie.</v>
      </c>
      <c r="H20" s="124"/>
      <c r="I20" s="45" t="str">
        <f>IF(V2_Innovation!O13="","",V2_Innovation!O13)</f>
        <v>NE</v>
      </c>
      <c r="J20" s="45" t="str">
        <f>IF(V2_Innovation!P13="","",V2_Innovation!P13)</f>
        <v>NE</v>
      </c>
      <c r="K20" s="45" t="str">
        <f>IF(V2_Innovation!Q13="","",V2_Innovation!Q13)</f>
        <v>NE</v>
      </c>
      <c r="L20" s="45" t="str">
        <f>IF(V2_Innovation!R13="","",V2_Innovation!R13)</f>
        <v>NE</v>
      </c>
      <c r="M20" s="361" t="str">
        <f>IF(V2_Innovation!S13="","",V2_Innovation!S13)</f>
        <v/>
      </c>
      <c r="N20" s="361" t="str">
        <f>IF(V2_Innovation!T13="","",V2_Innovation!T13)</f>
        <v/>
      </c>
      <c r="O20" s="359" t="str">
        <f>IF(V2_Innovation!U13="","",V2_Innovation!U13)</f>
        <v/>
      </c>
      <c r="P20" s="359" t="str">
        <f>IF(V2_Innovation!V13="","",V2_Innovation!V13)</f>
        <v/>
      </c>
      <c r="Q20" s="124" t="str">
        <f>IF(OR(V2_Innovation!V13="NE",V2_Innovation!V13=""),"",V2_Innovation!V13)</f>
        <v/>
      </c>
      <c r="R20" s="699" t="str">
        <f>IF(OR(V2_Innovation!W13="NE",V2_Innovation!W13=""),"",V2_Innovation!W13)</f>
        <v>N/A</v>
      </c>
      <c r="S20" s="379" t="str">
        <f>IF(OR(V2_Innovation!X13="NE",V2_Innovation!X13=""),"",V2_Innovation!X13)</f>
        <v/>
      </c>
      <c r="T20" s="124"/>
      <c r="U20" s="577">
        <f>IF(OR(V2_Innovation!Z13="NE",V2_Innovation!Z13=""),"",V2_Innovation!Z13)</f>
        <v>0</v>
      </c>
      <c r="V20" s="47">
        <f>IF(OR(V2_Innovation!AA13="NE",V2_Innovation!AA13=""),"",V2_Innovation!AA13)</f>
        <v>0</v>
      </c>
      <c r="W20" s="124"/>
      <c r="X20" s="603" t="str">
        <f>IF(OR(V2_Innovation!AC13="NE",V2_Innovation!AC13=""),"",V2_Innovation!AC13)</f>
        <v/>
      </c>
      <c r="Z20" s="288"/>
    </row>
    <row r="21" spans="1:26" ht="43.95" customHeight="1" thickBot="1" x14ac:dyDescent="0.45">
      <c r="A21" s="597"/>
      <c r="B21" s="597"/>
      <c r="C21" s="597"/>
      <c r="F21" s="372"/>
      <c r="G21" s="583"/>
      <c r="R21" s="700" t="str">
        <f>IF(OR(V2_Innovation!W16="NE",V2_Innovation!W16=""),"",V2_Innovation!W16)</f>
        <v>N/A</v>
      </c>
      <c r="S21" s="383" t="str">
        <f>IF(OR(V2_Innovation!X16="NE",V2_Innovation!X16=""),"",V2_Innovation!X16)</f>
        <v/>
      </c>
      <c r="U21" s="578">
        <f>V2_Innovation!Z16</f>
        <v>0</v>
      </c>
      <c r="V21" s="366">
        <f>V2_Innovation!AA16</f>
        <v>0</v>
      </c>
      <c r="X21" s="392"/>
      <c r="Z21" s="288"/>
    </row>
    <row r="22" spans="1:26" ht="25.05" customHeight="1" x14ac:dyDescent="0.4">
      <c r="A22" s="597"/>
      <c r="B22" s="597"/>
      <c r="C22" s="597"/>
      <c r="F22" s="372"/>
      <c r="G22" s="583"/>
      <c r="I22" s="129" t="s">
        <v>3</v>
      </c>
      <c r="J22" s="129" t="s">
        <v>4</v>
      </c>
      <c r="K22" s="129" t="s">
        <v>5</v>
      </c>
      <c r="L22" s="129" t="s">
        <v>6</v>
      </c>
      <c r="M22" s="129" t="s">
        <v>7</v>
      </c>
      <c r="N22" s="129" t="s">
        <v>8</v>
      </c>
      <c r="O22" s="129" t="s">
        <v>9</v>
      </c>
      <c r="P22" s="129" t="s">
        <v>1019</v>
      </c>
      <c r="R22" s="703"/>
      <c r="X22" s="392"/>
      <c r="Z22" s="288"/>
    </row>
    <row r="23" spans="1:26" ht="72" x14ac:dyDescent="0.3">
      <c r="A23" s="597"/>
      <c r="B23" s="597"/>
      <c r="C23" s="597"/>
      <c r="E23" t="str">
        <f>RIGHT(F26,1)&amp;1&amp;1</f>
        <v>311</v>
      </c>
      <c r="F23" s="367"/>
      <c r="G23" s="581" t="str">
        <f>LEFT(RIGHT($E23,2),1)&amp;" : "&amp;IFERROR(VLOOKUP($E23,BDD!$A$1:$S$580,7,FALSE),"")</f>
        <v>1 : Il existe un processus itératif de gestion standardisé et intégré des risques numériques, incluant les pratiques et les procédures pour communiquer, consulter, établir le contexte, identifier, analyser, évaluer, traiter, piloter et réviser les risques. Ce processus est intégré à la gestion des risques de l'organisation.</v>
      </c>
      <c r="H23" s="124"/>
      <c r="I23" s="42" t="str">
        <f>IF('V3_ Risques&amp;Conformité'!O7="","",'V3_ Risques&amp;Conformité'!O7)</f>
        <v>NE</v>
      </c>
      <c r="J23" s="42" t="str">
        <f>IF('V3_ Risques&amp;Conformité'!P7="","",'V3_ Risques&amp;Conformité'!P7)</f>
        <v>NE</v>
      </c>
      <c r="K23" s="42" t="str">
        <f>IF('V3_ Risques&amp;Conformité'!Q7="","",'V3_ Risques&amp;Conformité'!Q7)</f>
        <v>NE</v>
      </c>
      <c r="L23" s="42" t="str">
        <f>IF('V3_ Risques&amp;Conformité'!R7="","",'V3_ Risques&amp;Conformité'!R7)</f>
        <v>NE</v>
      </c>
      <c r="M23" s="42" t="str">
        <f>IF('V3_ Risques&amp;Conformité'!S7="","",'V3_ Risques&amp;Conformité'!S7)</f>
        <v>NE</v>
      </c>
      <c r="N23" s="42" t="str">
        <f>IF('V3_ Risques&amp;Conformité'!T7="","",'V3_ Risques&amp;Conformité'!T7)</f>
        <v>NE</v>
      </c>
      <c r="O23" s="42" t="str">
        <f>IF('V3_ Risques&amp;Conformité'!U7="","",'V3_ Risques&amp;Conformité'!U7)</f>
        <v>NE</v>
      </c>
      <c r="P23" s="389" t="str">
        <f>IF('V3_ Risques&amp;Conformité'!V7="","",'V3_ Risques&amp;Conformité'!V7)</f>
        <v/>
      </c>
      <c r="Q23" s="124"/>
      <c r="R23" s="698" t="str">
        <f>IF(OR('V3_ Risques&amp;Conformité'!W7="NE",'V3_ Risques&amp;Conformité'!W7=""),"",'V3_ Risques&amp;Conformité'!W7)</f>
        <v>N/A</v>
      </c>
      <c r="S23" s="378" t="str">
        <f>IF(OR('V3_ Risques&amp;Conformité'!X7="NE",'V3_ Risques&amp;Conformité'!X7=""),"",'V3_ Risques&amp;Conformité'!X7)</f>
        <v/>
      </c>
      <c r="T23" s="124"/>
      <c r="U23" s="576">
        <f>IF(OR('V3_ Risques&amp;Conformité'!Z7="NE",'V3_ Risques&amp;Conformité'!Z7=""),"",'V3_ Risques&amp;Conformité'!Z7)</f>
        <v>0</v>
      </c>
      <c r="V23" s="43">
        <f>IF(OR('V3_ Risques&amp;Conformité'!AA7="NE",'V3_ Risques&amp;Conformité'!AA7=""),"",'V3_ Risques&amp;Conformité'!AA7)</f>
        <v>0</v>
      </c>
      <c r="W23" s="124"/>
      <c r="X23" s="273" t="str">
        <f>"Evaluation globale du "&amp;F26</f>
        <v>Evaluation globale du Vecteur 3</v>
      </c>
      <c r="Z23" s="288"/>
    </row>
    <row r="24" spans="1:26" ht="43.2" x14ac:dyDescent="0.4">
      <c r="A24" s="597"/>
      <c r="B24" s="597"/>
      <c r="C24" s="597"/>
      <c r="E24" t="str">
        <f>RIGHT(F26,1)&amp;2&amp;1</f>
        <v>321</v>
      </c>
      <c r="F24" s="370"/>
      <c r="G24" s="582" t="str">
        <f>LEFT(RIGHT($E24,2),1)&amp;" : "&amp;IFERROR(VLOOKUP($E24,BDD!$A$1:$S$580,7,FALSE),"")</f>
        <v xml:space="preserve">2 : La DSI procède à une identification et à une évaluation des risques numériques conjointement avec l'ensemble des directions concernées en prenant en compte les enjeux majeurs pour l’organisation. </v>
      </c>
      <c r="H24" s="124"/>
      <c r="I24" s="45" t="str">
        <f>IF('V3_ Risques&amp;Conformité'!O8="","",'V3_ Risques&amp;Conformité'!O8)</f>
        <v>NE</v>
      </c>
      <c r="J24" s="45" t="str">
        <f>IF('V3_ Risques&amp;Conformité'!P8="","",'V3_ Risques&amp;Conformité'!P8)</f>
        <v>NE</v>
      </c>
      <c r="K24" s="45" t="str">
        <f>IF('V3_ Risques&amp;Conformité'!Q8="","",'V3_ Risques&amp;Conformité'!Q8)</f>
        <v>NE</v>
      </c>
      <c r="L24" s="45" t="str">
        <f>IF('V3_ Risques&amp;Conformité'!R8="","",'V3_ Risques&amp;Conformité'!R8)</f>
        <v>NE</v>
      </c>
      <c r="M24" s="45" t="str">
        <f>IF('V3_ Risques&amp;Conformité'!S8="","",'V3_ Risques&amp;Conformité'!S8)</f>
        <v>NE</v>
      </c>
      <c r="N24" s="45" t="str">
        <f>IF('V3_ Risques&amp;Conformité'!T8="","",'V3_ Risques&amp;Conformité'!T8)</f>
        <v>NE</v>
      </c>
      <c r="O24" s="46" t="str">
        <f>IF('V3_ Risques&amp;Conformité'!U8="","",'V3_ Risques&amp;Conformité'!U8)</f>
        <v>NE</v>
      </c>
      <c r="P24" s="390" t="str">
        <f>IF('V3_ Risques&amp;Conformité'!V8="","",'V3_ Risques&amp;Conformité'!V8)</f>
        <v/>
      </c>
      <c r="Q24" s="124"/>
      <c r="R24" s="699" t="str">
        <f>IF(OR('V3_ Risques&amp;Conformité'!W8="NE",'V3_ Risques&amp;Conformité'!W8=""),"",'V3_ Risques&amp;Conformité'!W8)</f>
        <v>N/A</v>
      </c>
      <c r="S24" s="379" t="str">
        <f>IF(OR('V3_ Risques&amp;Conformité'!X8="NE",'V3_ Risques&amp;Conformité'!X8=""),"",'V3_ Risques&amp;Conformité'!X8)</f>
        <v/>
      </c>
      <c r="T24" s="124"/>
      <c r="U24" s="577">
        <f>IF(OR('V3_ Risques&amp;Conformité'!Z8="NE",'V3_ Risques&amp;Conformité'!Z8=""),"",'V3_ Risques&amp;Conformité'!Z8)</f>
        <v>0</v>
      </c>
      <c r="V24" s="47">
        <f>IF(OR('V3_ Risques&amp;Conformité'!AA8="NE",'V3_ Risques&amp;Conformité'!AA8=""),"",'V3_ Risques&amp;Conformité'!AA8)</f>
        <v>0</v>
      </c>
      <c r="W24" s="124"/>
      <c r="X24" s="604" t="str">
        <f>IF(OR('V3_ Risques&amp;Conformité'!N17="NE",'V3_ Risques&amp;Conformité'!N17=""),"",'V3_ Risques&amp;Conformité'!N17)</f>
        <v/>
      </c>
      <c r="Z24" s="288"/>
    </row>
    <row r="25" spans="1:26" ht="43.2" x14ac:dyDescent="0.4">
      <c r="A25" s="597"/>
      <c r="B25" s="597"/>
      <c r="C25" s="597"/>
      <c r="E25" t="str">
        <f>RIGHT(F26,1)&amp;3&amp;1</f>
        <v>331</v>
      </c>
      <c r="F25" s="370"/>
      <c r="G25" s="581" t="str">
        <f>LEFT(RIGHT($E25,2),1)&amp;" : "&amp;IFERROR(VLOOKUP($E25,BDD!$A$1:$S$580,7,FALSE),"")</f>
        <v>3 : L’organisation réalise et communique régulièrement une évaluation de l’efficacité des contrôles SI, en regard des enjeux stratégiques, financiers, commerciaux, réglementaires, industriels ou d’innovation.</v>
      </c>
      <c r="H25" s="124"/>
      <c r="I25" s="42" t="str">
        <f>IF('V3_ Risques&amp;Conformité'!O9="","",'V3_ Risques&amp;Conformité'!O9)</f>
        <v>NE</v>
      </c>
      <c r="J25" s="42" t="str">
        <f>IF('V3_ Risques&amp;Conformité'!P9="","",'V3_ Risques&amp;Conformité'!P9)</f>
        <v>NE</v>
      </c>
      <c r="K25" s="42" t="str">
        <f>IF('V3_ Risques&amp;Conformité'!Q9="","",'V3_ Risques&amp;Conformité'!Q9)</f>
        <v>NE</v>
      </c>
      <c r="L25" s="362" t="str">
        <f>IF('V3_ Risques&amp;Conformité'!R9="","",'V3_ Risques&amp;Conformité'!R9)</f>
        <v/>
      </c>
      <c r="M25" s="358" t="str">
        <f>IF('V3_ Risques&amp;Conformité'!S9="","",'V3_ Risques&amp;Conformité'!S9)</f>
        <v/>
      </c>
      <c r="N25" s="358" t="str">
        <f>IF('V3_ Risques&amp;Conformité'!T9="","",'V3_ Risques&amp;Conformité'!T9)</f>
        <v/>
      </c>
      <c r="O25" s="360" t="str">
        <f>IF('V3_ Risques&amp;Conformité'!U9="","",'V3_ Risques&amp;Conformité'!U9)</f>
        <v/>
      </c>
      <c r="P25" s="391" t="str">
        <f>IF('V3_ Risques&amp;Conformité'!V9="","",'V3_ Risques&amp;Conformité'!V9)</f>
        <v/>
      </c>
      <c r="Q25" s="124"/>
      <c r="R25" s="698" t="str">
        <f>IF(OR('V3_ Risques&amp;Conformité'!W9="NE",'V3_ Risques&amp;Conformité'!W9=""),"",'V3_ Risques&amp;Conformité'!W9)</f>
        <v>N/A</v>
      </c>
      <c r="S25" s="378" t="str">
        <f>IF(OR('V3_ Risques&amp;Conformité'!X9="NE",'V3_ Risques&amp;Conformité'!X9=""),"",'V3_ Risques&amp;Conformité'!X9)</f>
        <v/>
      </c>
      <c r="T25" s="124"/>
      <c r="U25" s="576">
        <f>IF(OR('V3_ Risques&amp;Conformité'!Z9="NE",'V3_ Risques&amp;Conformité'!Z9=""),"",'V3_ Risques&amp;Conformité'!Z9)</f>
        <v>0</v>
      </c>
      <c r="V25" s="43">
        <f>IF(OR('V3_ Risques&amp;Conformité'!AA9="NE",'V3_ Risques&amp;Conformité'!AA9=""),"",'V3_ Risques&amp;Conformité'!AA9)</f>
        <v>0</v>
      </c>
      <c r="W25" s="124"/>
      <c r="X25" s="604" t="str">
        <f>IF(OR('V3_ Risques&amp;Conformité'!AC9="NE",'V3_ Risques&amp;Conformité'!AC9=""),"",'V3_ Risques&amp;Conformité'!AC9)</f>
        <v/>
      </c>
      <c r="Z25" s="288"/>
    </row>
    <row r="26" spans="1:26" ht="43.05" customHeight="1" x14ac:dyDescent="0.3">
      <c r="A26" s="597"/>
      <c r="B26" s="597"/>
      <c r="C26" s="597"/>
      <c r="E26" t="str">
        <f>RIGHT(F26,1)&amp;4&amp;1</f>
        <v>341</v>
      </c>
      <c r="F26" s="585" t="s">
        <v>67</v>
      </c>
      <c r="G26" s="582" t="str">
        <f>LEFT(RIGHT($E26,2),1)&amp;" : "&amp;IFERROR(VLOOKUP($E26,BDD!$A$1:$S$580,7,FALSE),"")</f>
        <v>4 : La DSI a défini et a mis en œuvre des dispositifs de protection de l'organisation contre les cyberattaques (rançongiciels, fuite de données, etc.)</v>
      </c>
      <c r="H26" s="124"/>
      <c r="I26" s="45" t="str">
        <f>IF('V3_ Risques&amp;Conformité'!O10="","",'V3_ Risques&amp;Conformité'!O10)</f>
        <v>NE</v>
      </c>
      <c r="J26" s="45" t="str">
        <f>IF('V3_ Risques&amp;Conformité'!P10="","",'V3_ Risques&amp;Conformité'!P10)</f>
        <v>NE</v>
      </c>
      <c r="K26" s="45" t="str">
        <f>IF('V3_ Risques&amp;Conformité'!Q10="","",'V3_ Risques&amp;Conformité'!Q10)</f>
        <v>NE</v>
      </c>
      <c r="L26" s="45" t="str">
        <f>IF('V3_ Risques&amp;Conformité'!R10="","",'V3_ Risques&amp;Conformité'!R10)</f>
        <v>NE</v>
      </c>
      <c r="M26" s="45" t="str">
        <f>IF('V3_ Risques&amp;Conformité'!S10="","",'V3_ Risques&amp;Conformité'!S10)</f>
        <v>NE</v>
      </c>
      <c r="N26" s="45" t="str">
        <f>IF('V3_ Risques&amp;Conformité'!T10="","",'V3_ Risques&amp;Conformité'!T10)</f>
        <v>NE</v>
      </c>
      <c r="O26" s="359" t="str">
        <f>IF('V3_ Risques&amp;Conformité'!U10="","",'V3_ Risques&amp;Conformité'!U10)</f>
        <v/>
      </c>
      <c r="P26" s="390" t="str">
        <f>IF('V3_ Risques&amp;Conformité'!V10="","",'V3_ Risques&amp;Conformité'!V10)</f>
        <v/>
      </c>
      <c r="Q26" s="124"/>
      <c r="R26" s="699" t="str">
        <f>IF(OR('V3_ Risques&amp;Conformité'!W10="NE",'V3_ Risques&amp;Conformité'!W10=""),"",'V3_ Risques&amp;Conformité'!W10)</f>
        <v>N/A</v>
      </c>
      <c r="S26" s="379" t="str">
        <f>IF(OR('V3_ Risques&amp;Conformité'!X10="NE",'V3_ Risques&amp;Conformité'!X10=""),"",'V3_ Risques&amp;Conformité'!X10)</f>
        <v/>
      </c>
      <c r="T26" s="124"/>
      <c r="U26" s="577">
        <f>IF(OR('V3_ Risques&amp;Conformité'!Z10="NE",'V3_ Risques&amp;Conformité'!Z10=""),"",'V3_ Risques&amp;Conformité'!Z10)</f>
        <v>0</v>
      </c>
      <c r="V26" s="47">
        <f>IF(OR('V3_ Risques&amp;Conformité'!AA10="NE",'V3_ Risques&amp;Conformité'!AA10=""),"",'V3_ Risques&amp;Conformité'!AA10)</f>
        <v>0</v>
      </c>
      <c r="W26" s="124"/>
      <c r="X26" s="604" t="str">
        <f>IF(OR('V3_ Risques&amp;Conformité'!AC10="NE",'V3_ Risques&amp;Conformité'!AC10=""),"",'V3_ Risques&amp;Conformité'!AC10)</f>
        <v/>
      </c>
      <c r="Z26" s="288"/>
    </row>
    <row r="27" spans="1:26" ht="30" customHeight="1" x14ac:dyDescent="0.3">
      <c r="A27" s="597"/>
      <c r="B27" s="597"/>
      <c r="C27" s="597"/>
      <c r="E27" t="str">
        <f>RIGHT(F26,1)&amp;5&amp;1</f>
        <v>351</v>
      </c>
      <c r="F27" s="584" t="str">
        <f>VLOOKUP(E27,BDD!$A$1:$C$667,3,FALSE)</f>
        <v>Risques &amp; conformité</v>
      </c>
      <c r="G27" s="581" t="str">
        <f>LEFT(RIGHT($E27,2),1)&amp;" : "&amp;IFERROR(VLOOKUP($E27,BDD!$A$1:$S$580,7,FALSE),"")</f>
        <v>5 : La DSI a défini et mis en œuvre une stratégie relative à la protection des infrastructures numériques et elle en contrôle la bonne exécution.</v>
      </c>
      <c r="H27" s="124"/>
      <c r="I27" s="42" t="str">
        <f>IF('V3_ Risques&amp;Conformité'!O11="","",'V3_ Risques&amp;Conformité'!O11)</f>
        <v>NE</v>
      </c>
      <c r="J27" s="42" t="str">
        <f>IF('V3_ Risques&amp;Conformité'!P11="","",'V3_ Risques&amp;Conformité'!P11)</f>
        <v>NE</v>
      </c>
      <c r="K27" s="42" t="str">
        <f>IF('V3_ Risques&amp;Conformité'!Q11="","",'V3_ Risques&amp;Conformité'!Q11)</f>
        <v>NE</v>
      </c>
      <c r="L27" s="42" t="str">
        <f>IF('V3_ Risques&amp;Conformité'!R11="","",'V3_ Risques&amp;Conformité'!R11)</f>
        <v>NE</v>
      </c>
      <c r="M27" s="42" t="str">
        <f>IF('V3_ Risques&amp;Conformité'!S11="","",'V3_ Risques&amp;Conformité'!S11)</f>
        <v>NE</v>
      </c>
      <c r="N27" s="358" t="str">
        <f>IF('V3_ Risques&amp;Conformité'!T11="","",'V3_ Risques&amp;Conformité'!T11)</f>
        <v/>
      </c>
      <c r="O27" s="360" t="str">
        <f>IF('V3_ Risques&amp;Conformité'!U11="","",'V3_ Risques&amp;Conformité'!U11)</f>
        <v/>
      </c>
      <c r="P27" s="391" t="str">
        <f>IF('V3_ Risques&amp;Conformité'!V11="","",'V3_ Risques&amp;Conformité'!V11)</f>
        <v/>
      </c>
      <c r="Q27" s="124"/>
      <c r="R27" s="698" t="str">
        <f>IF(OR('V3_ Risques&amp;Conformité'!W11="NE",'V3_ Risques&amp;Conformité'!W11=""),"",'V3_ Risques&amp;Conformité'!W11)</f>
        <v>N/A</v>
      </c>
      <c r="S27" s="378" t="str">
        <f>IF(OR('V3_ Risques&amp;Conformité'!X11="NE",'V3_ Risques&amp;Conformité'!X11=""),"",'V3_ Risques&amp;Conformité'!X11)</f>
        <v/>
      </c>
      <c r="T27" s="124"/>
      <c r="U27" s="576">
        <f>IF(OR('V3_ Risques&amp;Conformité'!Z11="NE",'V3_ Risques&amp;Conformité'!Z11=""),"",'V3_ Risques&amp;Conformité'!Z11)</f>
        <v>0</v>
      </c>
      <c r="V27" s="43">
        <f>IF(OR('V3_ Risques&amp;Conformité'!AA11="NE",'V3_ Risques&amp;Conformité'!AA11=""),"",'V3_ Risques&amp;Conformité'!AA11)</f>
        <v>0</v>
      </c>
      <c r="W27" s="124"/>
      <c r="X27" s="604" t="str">
        <f>IF(OR('V3_ Risques&amp;Conformité'!AC11="NE",'V3_ Risques&amp;Conformité'!AC11=""),"",'V3_ Risques&amp;Conformité'!AC11)</f>
        <v/>
      </c>
      <c r="Z27" s="288"/>
    </row>
    <row r="28" spans="1:26" ht="43.2" x14ac:dyDescent="0.4">
      <c r="A28" s="597"/>
      <c r="B28" s="597"/>
      <c r="C28" s="597"/>
      <c r="E28" t="str">
        <f>RIGHT(F26,1)&amp;6&amp;1</f>
        <v>361</v>
      </c>
      <c r="F28" s="370"/>
      <c r="G28" s="582" t="str">
        <f>LEFT(RIGHT($E28,2),1)&amp;" : "&amp;IFERROR(VLOOKUP($E28,BDD!$A$1:$S$580,7,FALSE),"")</f>
        <v xml:space="preserve">6 : L'organisation est capable de réagir, efficacement et dans les délais impartis, à des incidents majeurs ayant un impact significatif sur les métiers et sur l'activité de l'organisation. </v>
      </c>
      <c r="H28" s="124"/>
      <c r="I28" s="45" t="str">
        <f>IF('V3_ Risques&amp;Conformité'!O12="","",'V3_ Risques&amp;Conformité'!O12)</f>
        <v>NE</v>
      </c>
      <c r="J28" s="45" t="str">
        <f>IF('V3_ Risques&amp;Conformité'!P12="","",'V3_ Risques&amp;Conformité'!P12)</f>
        <v>NE</v>
      </c>
      <c r="K28" s="45" t="str">
        <f>IF('V3_ Risques&amp;Conformité'!Q12="","",'V3_ Risques&amp;Conformité'!Q12)</f>
        <v>NE</v>
      </c>
      <c r="L28" s="45" t="str">
        <f>IF('V3_ Risques&amp;Conformité'!R12="","",'V3_ Risques&amp;Conformité'!R12)</f>
        <v>NE</v>
      </c>
      <c r="M28" s="45" t="str">
        <f>IF('V3_ Risques&amp;Conformité'!S12="","",'V3_ Risques&amp;Conformité'!S12)</f>
        <v>NE</v>
      </c>
      <c r="N28" s="361" t="str">
        <f>IF('V3_ Risques&amp;Conformité'!T12="","",'V3_ Risques&amp;Conformité'!T12)</f>
        <v/>
      </c>
      <c r="O28" s="359" t="str">
        <f>IF('V3_ Risques&amp;Conformité'!U12="","",'V3_ Risques&amp;Conformité'!U12)</f>
        <v/>
      </c>
      <c r="P28" s="390" t="str">
        <f>IF('V3_ Risques&amp;Conformité'!V12="","",'V3_ Risques&amp;Conformité'!V12)</f>
        <v/>
      </c>
      <c r="Q28" s="124"/>
      <c r="R28" s="699" t="str">
        <f>IF(OR('V3_ Risques&amp;Conformité'!W12="NE",'V3_ Risques&amp;Conformité'!W12=""),"",'V3_ Risques&amp;Conformité'!W12)</f>
        <v>N/A</v>
      </c>
      <c r="S28" s="379" t="str">
        <f>IF(OR('V3_ Risques&amp;Conformité'!X12="NE",'V3_ Risques&amp;Conformité'!X12=""),"",'V3_ Risques&amp;Conformité'!X12)</f>
        <v/>
      </c>
      <c r="T28" s="124"/>
      <c r="U28" s="577">
        <f>IF(OR('V3_ Risques&amp;Conformité'!Z12="NE",'V3_ Risques&amp;Conformité'!Z12=""),"",'V3_ Risques&amp;Conformité'!Z12)</f>
        <v>0</v>
      </c>
      <c r="V28" s="47">
        <f>IF(OR('V3_ Risques&amp;Conformité'!AA12="NE",'V3_ Risques&amp;Conformité'!AA12=""),"",'V3_ Risques&amp;Conformité'!AA12)</f>
        <v>0</v>
      </c>
      <c r="W28" s="124"/>
      <c r="X28" s="604" t="str">
        <f>IF(OR('V3_ Risques&amp;Conformité'!AC12="NE",'V3_ Risques&amp;Conformité'!AC12=""),"",'V3_ Risques&amp;Conformité'!AC12)</f>
        <v/>
      </c>
      <c r="Z28" s="288"/>
    </row>
    <row r="29" spans="1:26" ht="43.2" x14ac:dyDescent="0.4">
      <c r="A29" s="597"/>
      <c r="B29" s="597"/>
      <c r="C29" s="597"/>
      <c r="E29" t="str">
        <f>RIGHT(F26,1)&amp;7&amp;1</f>
        <v>371</v>
      </c>
      <c r="F29" s="371"/>
      <c r="G29" s="581" t="str">
        <f>LEFT(RIGHT($E29,2),1)&amp;" : "&amp;IFERROR(VLOOKUP($E29,BDD!$A$1:$S$580,7,FALSE),"")</f>
        <v xml:space="preserve">7 : Les données de l'organisation sont protégées avec un niveau de sécurité adapté et leur qualité permet d'alimenter sans risque les systèmes numériques. </v>
      </c>
      <c r="H29" s="124"/>
      <c r="I29" s="42" t="str">
        <f>IF('V3_ Risques&amp;Conformité'!O13="","",'V3_ Risques&amp;Conformité'!O13)</f>
        <v>NE</v>
      </c>
      <c r="J29" s="42" t="str">
        <f>IF('V3_ Risques&amp;Conformité'!P13="","",'V3_ Risques&amp;Conformité'!P13)</f>
        <v>NE</v>
      </c>
      <c r="K29" s="42" t="str">
        <f>IF('V3_ Risques&amp;Conformité'!Q13="","",'V3_ Risques&amp;Conformité'!Q13)</f>
        <v>NE</v>
      </c>
      <c r="L29" s="42" t="str">
        <f>IF('V3_ Risques&amp;Conformité'!R13="","",'V3_ Risques&amp;Conformité'!R13)</f>
        <v>NE</v>
      </c>
      <c r="M29" s="42" t="str">
        <f>IF('V3_ Risques&amp;Conformité'!S13="","",'V3_ Risques&amp;Conformité'!S13)</f>
        <v>NE</v>
      </c>
      <c r="N29" s="358" t="str">
        <f>IF('V3_ Risques&amp;Conformité'!T13="","",'V3_ Risques&amp;Conformité'!T13)</f>
        <v/>
      </c>
      <c r="O29" s="360" t="str">
        <f>IF('V3_ Risques&amp;Conformité'!U13="","",'V3_ Risques&amp;Conformité'!U13)</f>
        <v/>
      </c>
      <c r="P29" s="391" t="str">
        <f>IF('V3_ Risques&amp;Conformité'!V13="","",'V3_ Risques&amp;Conformité'!V13)</f>
        <v/>
      </c>
      <c r="Q29" s="124"/>
      <c r="R29" s="698" t="str">
        <f>IF(OR('V3_ Risques&amp;Conformité'!W13="NE",'V3_ Risques&amp;Conformité'!W13=""),"",'V3_ Risques&amp;Conformité'!W13)</f>
        <v>N/A</v>
      </c>
      <c r="S29" s="378" t="str">
        <f>IF(OR('V3_ Risques&amp;Conformité'!X13="NE",'V3_ Risques&amp;Conformité'!X13=""),"",'V3_ Risques&amp;Conformité'!X13)</f>
        <v/>
      </c>
      <c r="T29" s="124"/>
      <c r="U29" s="576">
        <f>IF(OR('V3_ Risques&amp;Conformité'!Z13="NE",'V3_ Risques&amp;Conformité'!Z13=""),"",'V3_ Risques&amp;Conformité'!Z13)</f>
        <v>0</v>
      </c>
      <c r="V29" s="43">
        <f>IF(OR('V3_ Risques&amp;Conformité'!AA13="NE",'V3_ Risques&amp;Conformité'!AA13=""),"",'V3_ Risques&amp;Conformité'!AA13)</f>
        <v>0</v>
      </c>
      <c r="W29" s="124"/>
      <c r="X29" s="604" t="str">
        <f>IF(OR('V3_ Risques&amp;Conformité'!AC13="NE",'V3_ Risques&amp;Conformité'!AC13=""),"",'V3_ Risques&amp;Conformité'!AC13)</f>
        <v/>
      </c>
      <c r="Z29" s="288"/>
    </row>
    <row r="30" spans="1:26" ht="60" customHeight="1" thickBot="1" x14ac:dyDescent="0.45">
      <c r="A30" s="597"/>
      <c r="B30" s="597"/>
      <c r="C30" s="597"/>
      <c r="E30" t="str">
        <f>RIGHT(F26,1)&amp;8&amp;1</f>
        <v>381</v>
      </c>
      <c r="F30" s="371"/>
      <c r="G30" s="582" t="str">
        <f>LEFT(RIGHT($E30,2),1)&amp;" : "&amp;IFERROR(VLOOKUP($E30,BDD!$A$1:$S$580,7,FALSE),"")</f>
        <v>8 : La DSI assure la conformité aux réglementations numériques et contribue au dispositif de gestion de la conformité réglementaire, contractuelle ainsi que la conformité aux référentiels internes de l’organisation.</v>
      </c>
      <c r="H30" s="124"/>
      <c r="I30" s="45" t="str">
        <f>IF('V3_ Risques&amp;Conformité'!O14="","",'V3_ Risques&amp;Conformité'!O14)</f>
        <v>NE</v>
      </c>
      <c r="J30" s="45" t="str">
        <f>IF('V3_ Risques&amp;Conformité'!P14="","",'V3_ Risques&amp;Conformité'!P14)</f>
        <v>NE</v>
      </c>
      <c r="K30" s="45" t="str">
        <f>IF('V3_ Risques&amp;Conformité'!Q14="","",'V3_ Risques&amp;Conformité'!Q14)</f>
        <v>NE</v>
      </c>
      <c r="L30" s="45" t="str">
        <f>IF('V3_ Risques&amp;Conformité'!R14="","",'V3_ Risques&amp;Conformité'!R14)</f>
        <v>NE</v>
      </c>
      <c r="M30" s="45" t="str">
        <f>IF('V3_ Risques&amp;Conformité'!S14="","",'V3_ Risques&amp;Conformité'!S14)</f>
        <v>NE</v>
      </c>
      <c r="N30" s="45" t="str">
        <f>IF('V3_ Risques&amp;Conformité'!T14="","",'V3_ Risques&amp;Conformité'!T14)</f>
        <v>NE</v>
      </c>
      <c r="O30" s="46" t="str">
        <f>IF('V3_ Risques&amp;Conformité'!U14="","",'V3_ Risques&amp;Conformité'!U14)</f>
        <v>NE</v>
      </c>
      <c r="P30" s="390" t="str">
        <f>IF('V3_ Risques&amp;Conformité'!V14="","",'V3_ Risques&amp;Conformité'!V14)</f>
        <v/>
      </c>
      <c r="Q30" s="124"/>
      <c r="R30" s="699" t="str">
        <f>IF(OR('V3_ Risques&amp;Conformité'!W14="NE",'V3_ Risques&amp;Conformité'!W14=""),"",'V3_ Risques&amp;Conformité'!W14)</f>
        <v>N/A</v>
      </c>
      <c r="S30" s="379" t="str">
        <f>IF(OR('V3_ Risques&amp;Conformité'!X14="NE",'V3_ Risques&amp;Conformité'!X14=""),"",'V3_ Risques&amp;Conformité'!X14)</f>
        <v/>
      </c>
      <c r="T30" s="124"/>
      <c r="U30" s="577">
        <f>IF(OR('V3_ Risques&amp;Conformité'!Z14="NE",'V3_ Risques&amp;Conformité'!Z14=""),"",'V3_ Risques&amp;Conformité'!Z14)</f>
        <v>0</v>
      </c>
      <c r="V30" s="47">
        <f>IF(OR('V3_ Risques&amp;Conformité'!AA14="NE",'V3_ Risques&amp;Conformité'!AA14=""),"",'V3_ Risques&amp;Conformité'!AA14)</f>
        <v>0</v>
      </c>
      <c r="W30" s="124"/>
      <c r="X30" s="605" t="str">
        <f>IF(OR('V3_ Risques&amp;Conformité'!AC14="NE",'V3_ Risques&amp;Conformité'!AC14=""),"",'V3_ Risques&amp;Conformité'!AC14)</f>
        <v/>
      </c>
      <c r="Z30" s="288"/>
    </row>
    <row r="31" spans="1:26" ht="34.950000000000003" customHeight="1" thickBot="1" x14ac:dyDescent="0.45">
      <c r="A31" s="597"/>
      <c r="B31" s="597"/>
      <c r="C31" s="597"/>
      <c r="F31" s="372"/>
      <c r="G31" s="583"/>
      <c r="R31" s="700" t="str">
        <f>IF(OR('V3_ Risques&amp;Conformité'!W17="NE",'V3_ Risques&amp;Conformité'!W17=""),"",'V3_ Risques&amp;Conformité'!W17)</f>
        <v>N/A</v>
      </c>
      <c r="S31" s="383" t="str">
        <f>IF(OR('V3_ Risques&amp;Conformité'!X17="NE",'V3_ Risques&amp;Conformité'!X17=""),"",'V3_ Risques&amp;Conformité'!X17)</f>
        <v/>
      </c>
      <c r="U31" s="578">
        <f>IF(OR('V3_ Risques&amp;Conformité'!Z17="NE",'V3_ Risques&amp;Conformité'!Z17=""),"",'V3_ Risques&amp;Conformité'!Z17)</f>
        <v>0</v>
      </c>
      <c r="V31" s="366">
        <f>IF(OR('V3_ Risques&amp;Conformité'!AA17="NE",'V3_ Risques&amp;Conformité'!AA17=""),"",'V3_ Risques&amp;Conformité'!AA17)</f>
        <v>0</v>
      </c>
      <c r="X31" s="392"/>
      <c r="Z31" s="288"/>
    </row>
    <row r="32" spans="1:26" ht="25.05" customHeight="1" x14ac:dyDescent="0.4">
      <c r="A32" s="597"/>
      <c r="B32" s="597"/>
      <c r="C32" s="597"/>
      <c r="F32" s="372"/>
      <c r="G32" s="583"/>
      <c r="I32" s="129" t="s">
        <v>3</v>
      </c>
      <c r="J32" s="129" t="s">
        <v>4</v>
      </c>
      <c r="K32" s="129" t="s">
        <v>5</v>
      </c>
      <c r="L32" s="129" t="s">
        <v>6</v>
      </c>
      <c r="M32" s="129" t="s">
        <v>7</v>
      </c>
      <c r="N32" s="129" t="s">
        <v>8</v>
      </c>
      <c r="O32" s="129" t="s">
        <v>9</v>
      </c>
      <c r="P32" s="129" t="s">
        <v>1019</v>
      </c>
      <c r="R32" s="703"/>
      <c r="X32" s="392"/>
      <c r="Z32" s="288"/>
    </row>
    <row r="33" spans="1:26" ht="30" customHeight="1" x14ac:dyDescent="0.3">
      <c r="A33" s="597"/>
      <c r="B33" s="597"/>
      <c r="C33" s="597"/>
      <c r="E33" t="str">
        <f>RIGHT(F34,1)&amp;1&amp;1</f>
        <v>411</v>
      </c>
      <c r="F33" s="367"/>
      <c r="G33" s="581" t="str">
        <f>LEFT(RIGHT($E33,2),1)&amp;" : "&amp;IFERROR(VLOOKUP($E33,BDD!$A$1:$S$580,7,FALSE),"")</f>
        <v xml:space="preserve">1 : Une gouvernance RSE incluant les sujets numériques est mise en place au niveau de l'organisation. </v>
      </c>
      <c r="H33" s="124"/>
      <c r="I33" s="49" t="str">
        <f>IF(V4_RSE!O8="","",V4_RSE!O8)</f>
        <v>NE</v>
      </c>
      <c r="J33" s="42" t="str">
        <f>IF(V4_RSE!P8="","",V4_RSE!P8)</f>
        <v>NE</v>
      </c>
      <c r="K33" s="42" t="str">
        <f>IF(V4_RSE!Q8="","",V4_RSE!Q8)</f>
        <v>NE</v>
      </c>
      <c r="L33" s="358" t="str">
        <f>IF(V4_RSE!R8="","",V4_RSE!R8)</f>
        <v/>
      </c>
      <c r="M33" s="358" t="str">
        <f>IF(V4_RSE!S8="","",V4_RSE!S8)</f>
        <v/>
      </c>
      <c r="N33" s="358" t="str">
        <f>IF(V4_RSE!T8="","",V4_RSE!T8)</f>
        <v/>
      </c>
      <c r="O33" s="358" t="str">
        <f>IF(V4_RSE!U8="","",V4_RSE!U8)</f>
        <v/>
      </c>
      <c r="P33" s="358" t="str">
        <f>IF(V4_RSE!V8="","",V4_RSE!V8)</f>
        <v/>
      </c>
      <c r="Q33" s="124"/>
      <c r="R33" s="698" t="str">
        <f>IF(OR(V4_RSE!W8="NE",V4_RSE!W8=""),"",V4_RSE!W8)</f>
        <v>N/A</v>
      </c>
      <c r="S33" s="378" t="str">
        <f>IF(OR(V4_RSE!X8="NE",V4_RSE!X8=""),"",V4_RSE!X8)</f>
        <v/>
      </c>
      <c r="T33" s="124"/>
      <c r="U33" s="576">
        <f>IF(OR(V4_RSE!Z8="NE",V4_RSE!Z8=""),"",V4_RSE!Z8)</f>
        <v>0</v>
      </c>
      <c r="V33" s="43">
        <f>IF(OR(V4_RSE!AA8="NE",V4_RSE!AA8=""),"",V4_RSE!AA8)</f>
        <v>0</v>
      </c>
      <c r="W33" s="124"/>
      <c r="X33" s="272" t="str">
        <f>"Evaluation globale du "&amp;F34</f>
        <v>Evaluation globale du Vecteur 4</v>
      </c>
      <c r="Z33" s="288"/>
    </row>
    <row r="34" spans="1:26" ht="43.2" x14ac:dyDescent="0.4">
      <c r="A34" s="597"/>
      <c r="B34" s="597"/>
      <c r="C34" s="597"/>
      <c r="E34" t="str">
        <f>RIGHT(F34,1)&amp;2&amp;1</f>
        <v>421</v>
      </c>
      <c r="F34" s="368" t="s">
        <v>68</v>
      </c>
      <c r="G34" s="582" t="str">
        <f>LEFT(RIGHT($E34,2),1)&amp;" : "&amp;IFERROR(VLOOKUP($E34,BDD!$A$1:$S$580,7,FALSE),"")</f>
        <v>2 : L’organisation  met en œuvre un programme structuré de sensibilisation et de formation à la RSE et au numérique responsable, soutenu par des référents identifiés. Elle en mesure l’impact par des actions régulières.</v>
      </c>
      <c r="H34" s="124"/>
      <c r="I34" s="45" t="str">
        <f>IF(V4_RSE!O9="","",V4_RSE!O9)</f>
        <v>NE</v>
      </c>
      <c r="J34" s="45" t="str">
        <f>IF(V4_RSE!P9="","",V4_RSE!P9)</f>
        <v>NE</v>
      </c>
      <c r="K34" s="45" t="str">
        <f>IF(V4_RSE!Q9="","",V4_RSE!Q9)</f>
        <v>NE</v>
      </c>
      <c r="L34" s="361" t="str">
        <f>IF(V4_RSE!R9="","",V4_RSE!R9)</f>
        <v/>
      </c>
      <c r="M34" s="361" t="str">
        <f>IF(V4_RSE!S9="","",V4_RSE!S9)</f>
        <v/>
      </c>
      <c r="N34" s="361" t="str">
        <f>IF(V4_RSE!T9="","",V4_RSE!T9)</f>
        <v/>
      </c>
      <c r="O34" s="359" t="str">
        <f>IF(V4_RSE!U9="","",V4_RSE!U9)</f>
        <v/>
      </c>
      <c r="P34" s="359" t="str">
        <f>IF(V4_RSE!V9="","",V4_RSE!V9)</f>
        <v/>
      </c>
      <c r="Q34" s="124"/>
      <c r="R34" s="699" t="str">
        <f>IF(OR(V4_RSE!W9="NE",V4_RSE!W9=""),"",V4_RSE!W9)</f>
        <v>N/A</v>
      </c>
      <c r="S34" s="379" t="str">
        <f>IF(OR(V4_RSE!X9="NE",V4_RSE!X9=""),"",V4_RSE!X9)</f>
        <v/>
      </c>
      <c r="T34" s="124"/>
      <c r="U34" s="577">
        <f>IF(OR(V4_RSE!Z9="NE",V4_RSE!Z9=""),"",V4_RSE!Z9)</f>
        <v>0</v>
      </c>
      <c r="V34" s="47">
        <f>IF(OR(V4_RSE!AA9="NE",V4_RSE!AA9=""),"",V4_RSE!AA9)</f>
        <v>0</v>
      </c>
      <c r="W34" s="124"/>
      <c r="X34" s="606" t="str">
        <f>IF(OR(V4_RSE!N15="NE",V4_RSE!N15=""),"",V4_RSE!N15)</f>
        <v/>
      </c>
      <c r="Z34" s="288"/>
    </row>
    <row r="35" spans="1:26" ht="30" customHeight="1" x14ac:dyDescent="0.4">
      <c r="A35" s="597"/>
      <c r="B35" s="597"/>
      <c r="C35" s="597"/>
      <c r="E35" t="str">
        <f>RIGHT(F34,1)&amp;3&amp;1</f>
        <v>431</v>
      </c>
      <c r="F35" s="369" t="str">
        <f>VLOOKUP(E36,BDD!$A$1:$C$667,3,FALSE)</f>
        <v>RSE</v>
      </c>
      <c r="G35" s="581" t="str">
        <f>LEFT(RIGHT($E35,2),1)&amp;" : "&amp;IFERROR(VLOOKUP($E35,BDD!$A$1:$S$580,7,FALSE),"")</f>
        <v>3 : Les enjeux RSE sont intégrés dès la conception des services et des produits numériques et tout au long de leur cycle de vie.</v>
      </c>
      <c r="H35" s="124"/>
      <c r="I35" s="42" t="str">
        <f>IF(V4_RSE!O10="","",V4_RSE!O10)</f>
        <v>NE</v>
      </c>
      <c r="J35" s="42" t="str">
        <f>IF(V4_RSE!P10="","",V4_RSE!P10)</f>
        <v>NE</v>
      </c>
      <c r="K35" s="42" t="str">
        <f>IF(V4_RSE!Q10="","",V4_RSE!Q10)</f>
        <v>NE</v>
      </c>
      <c r="L35" s="49" t="str">
        <f>IF(V4_RSE!R10="","",V4_RSE!R10)</f>
        <v>NE</v>
      </c>
      <c r="M35" s="42" t="str">
        <f>IF(V4_RSE!S10="","",V4_RSE!S10)</f>
        <v>NE</v>
      </c>
      <c r="N35" s="42" t="str">
        <f>IF(V4_RSE!T10="","",V4_RSE!T10)</f>
        <v>NE</v>
      </c>
      <c r="O35" s="50" t="str">
        <f>IF(V4_RSE!U10="","",V4_RSE!U10)</f>
        <v>NE</v>
      </c>
      <c r="P35" s="50" t="str">
        <f>IF(V4_RSE!V10="","",V4_RSE!V10)</f>
        <v/>
      </c>
      <c r="Q35" s="124"/>
      <c r="R35" s="698" t="str">
        <f>IF(OR(V4_RSE!W10="NE",V4_RSE!W10=""),"",V4_RSE!W10)</f>
        <v>N/A</v>
      </c>
      <c r="S35" s="378" t="str">
        <f>IF(OR(V4_RSE!X10="NE",V4_RSE!X10=""),"",V4_RSE!X10)</f>
        <v/>
      </c>
      <c r="T35" s="124"/>
      <c r="U35" s="576">
        <f>IF(OR(V4_RSE!Z10="NE",V4_RSE!Z10=""),"",V4_RSE!Z10)</f>
        <v>0</v>
      </c>
      <c r="V35" s="43">
        <f>IF(OR(V4_RSE!AA10="NE",V4_RSE!AA10=""),"",V4_RSE!AA10)</f>
        <v>0</v>
      </c>
      <c r="W35" s="124"/>
      <c r="X35" s="606" t="str">
        <f>IF(OR(V4_RSE!AC10="NE",V4_RSE!AC10=""),"",V4_RSE!AC10)</f>
        <v/>
      </c>
      <c r="Z35" s="288"/>
    </row>
    <row r="36" spans="1:26" ht="30" customHeight="1" x14ac:dyDescent="0.4">
      <c r="A36" s="597"/>
      <c r="B36" s="597"/>
      <c r="C36" s="597"/>
      <c r="E36" t="str">
        <f>RIGHT(F34,1)&amp;4&amp;1</f>
        <v>441</v>
      </c>
      <c r="F36" s="370"/>
      <c r="G36" s="582" t="str">
        <f>LEFT(RIGHT($E36,2),1)&amp;" : "&amp;IFERROR(VLOOKUP($E36,BDD!$A$1:$S$580,7,FALSE),"")</f>
        <v>4 : La DSI mène une politique d'achats responsables.</v>
      </c>
      <c r="H36" s="124"/>
      <c r="I36" s="45" t="str">
        <f>IF(V4_RSE!O11="","",V4_RSE!O11)</f>
        <v>NE</v>
      </c>
      <c r="J36" s="45" t="str">
        <f>IF(V4_RSE!P11="","",V4_RSE!P11)</f>
        <v>NE</v>
      </c>
      <c r="K36" s="361" t="str">
        <f>IF(V4_RSE!Q11="","",V4_RSE!Q11)</f>
        <v/>
      </c>
      <c r="L36" s="361" t="str">
        <f>IF(V4_RSE!R11="","",V4_RSE!R11)</f>
        <v/>
      </c>
      <c r="M36" s="361" t="str">
        <f>IF(V4_RSE!S11="","",V4_RSE!S11)</f>
        <v/>
      </c>
      <c r="N36" s="361" t="str">
        <f>IF(V4_RSE!T11="","",V4_RSE!T11)</f>
        <v/>
      </c>
      <c r="O36" s="359" t="str">
        <f>IF(V4_RSE!U11="","",V4_RSE!U11)</f>
        <v/>
      </c>
      <c r="P36" s="359" t="str">
        <f>IF(V4_RSE!V11="","",V4_RSE!V11)</f>
        <v/>
      </c>
      <c r="Q36" s="124"/>
      <c r="R36" s="699" t="str">
        <f>IF(OR(V4_RSE!W11="NE",V4_RSE!W11=""),"",V4_RSE!W11)</f>
        <v>N/A</v>
      </c>
      <c r="S36" s="379" t="str">
        <f>IF(OR(V4_RSE!X11="NE",V4_RSE!X11=""),"",V4_RSE!X11)</f>
        <v/>
      </c>
      <c r="T36" s="124"/>
      <c r="U36" s="577">
        <f>IF(OR(V4_RSE!Z11="NE",V4_RSE!Z11=""),"",V4_RSE!Z11)</f>
        <v>0</v>
      </c>
      <c r="V36" s="47">
        <f>IF(OR(V4_RSE!AA11="NE",V4_RSE!AA11=""),"",V4_RSE!AA11)</f>
        <v>0</v>
      </c>
      <c r="W36" s="124"/>
      <c r="X36" s="606" t="str">
        <f>IF(OR(V4_RSE!AC11="NE",V4_RSE!AC11=""),"",V4_RSE!AC11)</f>
        <v/>
      </c>
      <c r="Z36" s="288"/>
    </row>
    <row r="37" spans="1:26" ht="30" customHeight="1" thickBot="1" x14ac:dyDescent="0.45">
      <c r="A37" s="598"/>
      <c r="B37" s="598"/>
      <c r="C37" s="598"/>
      <c r="E37" t="str">
        <f>RIGHT(F34,1)&amp;5&amp;1</f>
        <v>451</v>
      </c>
      <c r="F37" s="371"/>
      <c r="G37" s="581" t="str">
        <f>LEFT(RIGHT($E37,2),1)&amp;" : "&amp;IFERROR(VLOOKUP($E37,BDD!$A$1:$S$580,7,FALSE),"")</f>
        <v>5 : La filière numérique mesure et pilote sa contribution à la RSE de l'organisation.</v>
      </c>
      <c r="H37" s="124"/>
      <c r="I37" s="42" t="str">
        <f>IF(V4_RSE!O12="","",V4_RSE!O12)</f>
        <v>NE</v>
      </c>
      <c r="J37" s="42" t="str">
        <f>IF(V4_RSE!P12="","",V4_RSE!P12)</f>
        <v>NE</v>
      </c>
      <c r="K37" s="42" t="str">
        <f>IF(V4_RSE!Q12="","",V4_RSE!Q12)</f>
        <v>NE</v>
      </c>
      <c r="L37" s="358" t="str">
        <f>IF(V4_RSE!R12="","",V4_RSE!R12)</f>
        <v/>
      </c>
      <c r="M37" s="358" t="str">
        <f>IF(V4_RSE!S12="","",V4_RSE!S12)</f>
        <v/>
      </c>
      <c r="N37" s="358" t="str">
        <f>IF(V4_RSE!T12="","",V4_RSE!T12)</f>
        <v/>
      </c>
      <c r="O37" s="360" t="str">
        <f>IF(V4_RSE!U12="","",V4_RSE!U12)</f>
        <v/>
      </c>
      <c r="P37" s="360" t="str">
        <f>IF(V4_RSE!V12="","",V4_RSE!V12)</f>
        <v/>
      </c>
      <c r="Q37" s="124"/>
      <c r="R37" s="698" t="str">
        <f>IF(OR(V4_RSE!W12="NE",V4_RSE!W12=""),"",V4_RSE!W12)</f>
        <v>N/A</v>
      </c>
      <c r="S37" s="378" t="str">
        <f>IF(OR(V4_RSE!X12="NE",V4_RSE!X12=""),"",V4_RSE!X12)</f>
        <v/>
      </c>
      <c r="T37" s="124"/>
      <c r="U37" s="576">
        <f>IF(OR(V4_RSE!Z12="NE",V4_RSE!Z12=""),"",V4_RSE!Z12)</f>
        <v>0</v>
      </c>
      <c r="V37" s="43">
        <f>IF(OR(V4_RSE!AA12="NE",V4_RSE!AA12=""),"",V4_RSE!AA12)</f>
        <v>0</v>
      </c>
      <c r="W37" s="124"/>
      <c r="X37" s="607" t="str">
        <f>IF(OR(V4_RSE!AC12="NE",V4_RSE!AC12=""),"",V4_RSE!AC12)</f>
        <v/>
      </c>
      <c r="Z37" s="288"/>
    </row>
    <row r="38" spans="1:26" ht="34.950000000000003" customHeight="1" thickBot="1" x14ac:dyDescent="0.45">
      <c r="A38" s="288"/>
      <c r="B38" s="288"/>
      <c r="C38" s="289"/>
      <c r="F38" s="372"/>
      <c r="G38" s="583"/>
      <c r="R38" s="700" t="str">
        <f>IF(OR(V4_RSE!W15="NE",V4_RSE!W15=""),"",V4_RSE!W15)</f>
        <v>N/A</v>
      </c>
      <c r="S38" s="383" t="str">
        <f>IF(OR(V4_RSE!X15="NE",V4_RSE!X15=""),"",V4_RSE!X15)</f>
        <v/>
      </c>
      <c r="U38" s="578">
        <f>IF(OR(V4_RSE!Z15="NE",V4_RSE!Z15=""),"",V4_RSE!Z15)</f>
        <v>0</v>
      </c>
      <c r="V38" s="366">
        <f>IF(OR(V4_RSE!AA15="NE",V4_RSE!AA15=""),"",V4_RSE!AA15)</f>
        <v>0</v>
      </c>
      <c r="X38" s="392"/>
      <c r="Z38" s="288"/>
    </row>
    <row r="39" spans="1:26" ht="25.05" customHeight="1" thickBot="1" x14ac:dyDescent="0.45">
      <c r="A39" s="288"/>
      <c r="B39" s="288"/>
      <c r="C39" s="289"/>
      <c r="F39" s="372"/>
      <c r="G39" s="583"/>
      <c r="I39" s="129" t="s">
        <v>3</v>
      </c>
      <c r="J39" s="129" t="s">
        <v>4</v>
      </c>
      <c r="K39" s="129" t="s">
        <v>5</v>
      </c>
      <c r="L39" s="129" t="s">
        <v>6</v>
      </c>
      <c r="M39" s="129" t="s">
        <v>7</v>
      </c>
      <c r="N39" s="129" t="s">
        <v>8</v>
      </c>
      <c r="O39" s="129" t="s">
        <v>9</v>
      </c>
      <c r="P39" s="129" t="s">
        <v>1019</v>
      </c>
      <c r="R39" s="703"/>
      <c r="X39" s="392"/>
      <c r="Z39" s="288"/>
    </row>
    <row r="40" spans="1:26" ht="43.2" customHeight="1" x14ac:dyDescent="0.3">
      <c r="A40" s="615" t="s">
        <v>645</v>
      </c>
      <c r="B40" s="615"/>
      <c r="C40" s="615"/>
      <c r="E40" t="str">
        <f>RIGHT(F41,1)&amp;1&amp;1</f>
        <v>511</v>
      </c>
      <c r="F40" s="373"/>
      <c r="G40" s="581" t="str">
        <f>LEFT(RIGHT($E40,2),1)&amp;" : "&amp;IFERROR(VLOOKUP($E40,BDD!$A$1:$S$580,7,FALSE),"")</f>
        <v>1 : L'organisation dispose d'une stratégie claire pour la gestion des données et d'un cadre de gouvernance associé visant à traiter les données comme un actif majeur. Cette stratégie inclut l'usage de l'IA.</v>
      </c>
      <c r="H40" s="97"/>
      <c r="I40" s="49" t="str">
        <f>IF('V5_Données&amp;IA'!O8="","",'V5_Données&amp;IA'!O8)</f>
        <v>NE</v>
      </c>
      <c r="J40" s="42" t="str">
        <f>IF('V5_Données&amp;IA'!P8="","",'V5_Données&amp;IA'!P8)</f>
        <v>NE</v>
      </c>
      <c r="K40" s="42" t="str">
        <f>IF('V5_Données&amp;IA'!Q8="","",'V5_Données&amp;IA'!Q8)</f>
        <v>NE</v>
      </c>
      <c r="L40" s="42" t="str">
        <f>IF('V5_Données&amp;IA'!R8="","",'V5_Données&amp;IA'!R8)</f>
        <v>NE</v>
      </c>
      <c r="M40" s="42" t="str">
        <f>IF('V5_Données&amp;IA'!S8="","",'V5_Données&amp;IA'!S8)</f>
        <v>NE</v>
      </c>
      <c r="N40" s="358" t="str">
        <f>IF('V5_Données&amp;IA'!T8="","",'V5_Données&amp;IA'!T8)</f>
        <v/>
      </c>
      <c r="O40" s="358" t="str">
        <f>IF('V5_Données&amp;IA'!U8="","",'V5_Données&amp;IA'!U8)</f>
        <v/>
      </c>
      <c r="P40" s="389" t="str">
        <f>IF('V5_Données&amp;IA'!V8="","",'V5_Données&amp;IA'!V8)</f>
        <v/>
      </c>
      <c r="Q40" s="97"/>
      <c r="R40" s="698" t="str">
        <f>IF(OR('V5_Données&amp;IA'!W8="NE",'V5_Données&amp;IA'!W8=""),"",'V5_Données&amp;IA'!W8)</f>
        <v>N/A</v>
      </c>
      <c r="S40" s="378" t="str">
        <f>IF(OR('V5_Données&amp;IA'!X8="NE",'V5_Données&amp;IA'!X8=""),"",'V5_Données&amp;IA'!X8)</f>
        <v/>
      </c>
      <c r="T40" s="97"/>
      <c r="U40" s="576">
        <f>IF(OR('V5_Données&amp;IA'!Z8="NE",'V5_Données&amp;IA'!Z8=""),"",'V5_Données&amp;IA'!Z8)</f>
        <v>0</v>
      </c>
      <c r="V40" s="43">
        <f>IF(OR('V5_Données&amp;IA'!AA8="NE",'V5_Données&amp;IA'!AA8=""),"",'V5_Données&amp;IA'!AA8)</f>
        <v>0</v>
      </c>
      <c r="W40" s="97"/>
      <c r="X40" s="275" t="str">
        <f>"Evaluation globale du "&amp;F41</f>
        <v>Evaluation globale du Vecteur 5</v>
      </c>
      <c r="Z40" s="288"/>
    </row>
    <row r="41" spans="1:26" ht="30" customHeight="1" x14ac:dyDescent="0.4">
      <c r="A41" s="616"/>
      <c r="B41" s="616"/>
      <c r="C41" s="616"/>
      <c r="E41" t="str">
        <f>RIGHT(F41,1)&amp;2&amp;1</f>
        <v>521</v>
      </c>
      <c r="F41" s="587" t="s">
        <v>69</v>
      </c>
      <c r="G41" s="582" t="str">
        <f>LEFT(RIGHT($E41,2),1)&amp;" : "&amp;IFERROR(VLOOKUP($E41,BDD!$A$1:$S$580,7,FALSE),"")</f>
        <v>2 : L'organisation dispose d'un processus de gestion de la donnée.</v>
      </c>
      <c r="H41" s="97"/>
      <c r="I41" s="45" t="str">
        <f>IF('V5_Données&amp;IA'!O9="","",'V5_Données&amp;IA'!O9)</f>
        <v>NE</v>
      </c>
      <c r="J41" s="45" t="str">
        <f>IF('V5_Données&amp;IA'!P9="","",'V5_Données&amp;IA'!P9)</f>
        <v>NE</v>
      </c>
      <c r="K41" s="45" t="str">
        <f>IF('V5_Données&amp;IA'!Q9="","",'V5_Données&amp;IA'!Q9)</f>
        <v>NE</v>
      </c>
      <c r="L41" s="45" t="str">
        <f>IF('V5_Données&amp;IA'!R9="","",'V5_Données&amp;IA'!R9)</f>
        <v>NE</v>
      </c>
      <c r="M41" s="45" t="str">
        <f>IF('V5_Données&amp;IA'!S9="","",'V5_Données&amp;IA'!S9)</f>
        <v>NE</v>
      </c>
      <c r="N41" s="45" t="str">
        <f>IF('V5_Données&amp;IA'!T9="","",'V5_Données&amp;IA'!T9)</f>
        <v>NE</v>
      </c>
      <c r="O41" s="46" t="str">
        <f>IF('V5_Données&amp;IA'!U9="","",'V5_Données&amp;IA'!U9)</f>
        <v>NE</v>
      </c>
      <c r="P41" s="390" t="str">
        <f>IF('V5_Données&amp;IA'!V9="","",'V5_Données&amp;IA'!V9)</f>
        <v/>
      </c>
      <c r="Q41" s="97"/>
      <c r="R41" s="699" t="str">
        <f>IF(OR('V5_Données&amp;IA'!W9="NE",'V5_Données&amp;IA'!W9=""),"",'V5_Données&amp;IA'!W9)</f>
        <v>N/A</v>
      </c>
      <c r="S41" s="379" t="str">
        <f>IF(OR('V5_Données&amp;IA'!X9="NE",'V5_Données&amp;IA'!X9=""),"",'V5_Données&amp;IA'!X9)</f>
        <v/>
      </c>
      <c r="T41" s="97"/>
      <c r="U41" s="577">
        <f>IF(OR('V5_Données&amp;IA'!Z9="NE",'V5_Données&amp;IA'!Z9=""),"",'V5_Données&amp;IA'!Z9)</f>
        <v>0</v>
      </c>
      <c r="V41" s="47">
        <f>IF(OR('V5_Données&amp;IA'!AA9="NE",'V5_Données&amp;IA'!AA9=""),"",'V5_Données&amp;IA'!AA9)</f>
        <v>0</v>
      </c>
      <c r="W41" s="97"/>
      <c r="X41" s="599" t="str">
        <f>IF(OR('V5_Données&amp;IA'!N15="NE",'V5_Données&amp;IA'!N15=""),"",'V5_Données&amp;IA'!N15)</f>
        <v/>
      </c>
      <c r="Z41" s="288"/>
    </row>
    <row r="42" spans="1:26" ht="43.2" x14ac:dyDescent="0.4">
      <c r="A42" s="616"/>
      <c r="B42" s="616"/>
      <c r="C42" s="616"/>
      <c r="E42" t="str">
        <f>RIGHT(F41,1)&amp;3&amp;1</f>
        <v>531</v>
      </c>
      <c r="F42" s="588" t="str">
        <f>VLOOKUP(E43,BDD!$A$1:$C$667,3,FALSE)</f>
        <v>Données &amp; IA</v>
      </c>
      <c r="G42" s="581" t="str">
        <f>LEFT(RIGHT($E42,2),1)&amp;" : "&amp;IFERROR(VLOOKUP($E42,BDD!$A$1:$S$580,7,FALSE),"")</f>
        <v xml:space="preserve">3 : L'organisation met en place les dispositifs nécessaires pour atteindre les objectifs stratégiques liés aux données, en s’appuyant sur la cartographie réalisée. </v>
      </c>
      <c r="H42" s="97"/>
      <c r="I42" s="42" t="str">
        <f>IF('V5_Données&amp;IA'!O10="","",'V5_Données&amp;IA'!O10)</f>
        <v>NE</v>
      </c>
      <c r="J42" s="42" t="str">
        <f>IF('V5_Données&amp;IA'!P10="","",'V5_Données&amp;IA'!P10)</f>
        <v>NE</v>
      </c>
      <c r="K42" s="42" t="str">
        <f>IF('V5_Données&amp;IA'!Q10="","",'V5_Données&amp;IA'!Q10)</f>
        <v>NE</v>
      </c>
      <c r="L42" s="49" t="str">
        <f>IF('V5_Données&amp;IA'!R10="","",'V5_Données&amp;IA'!R10)</f>
        <v>NE</v>
      </c>
      <c r="M42" s="42" t="str">
        <f>IF('V5_Données&amp;IA'!S10="","",'V5_Données&amp;IA'!S10)</f>
        <v>NE</v>
      </c>
      <c r="N42" s="358" t="str">
        <f>IF('V5_Données&amp;IA'!T10="","",'V5_Données&amp;IA'!T10)</f>
        <v/>
      </c>
      <c r="O42" s="360" t="str">
        <f>IF('V5_Données&amp;IA'!U10="","",'V5_Données&amp;IA'!U10)</f>
        <v/>
      </c>
      <c r="P42" s="391" t="str">
        <f>IF('V5_Données&amp;IA'!V10="","",'V5_Données&amp;IA'!V10)</f>
        <v/>
      </c>
      <c r="Q42" s="97"/>
      <c r="R42" s="698" t="str">
        <f>IF(OR('V5_Données&amp;IA'!W10="NE",'V5_Données&amp;IA'!W10=""),"",'V5_Données&amp;IA'!W10)</f>
        <v>N/A</v>
      </c>
      <c r="S42" s="378" t="str">
        <f>IF(OR('V5_Données&amp;IA'!X10="NE",'V5_Données&amp;IA'!X10=""),"",'V5_Données&amp;IA'!X10)</f>
        <v/>
      </c>
      <c r="T42" s="97"/>
      <c r="U42" s="576">
        <f>IF(OR('V5_Données&amp;IA'!Z10="NE",'V5_Données&amp;IA'!Z10=""),"",'V5_Données&amp;IA'!Z10)</f>
        <v>0</v>
      </c>
      <c r="V42" s="43">
        <f>IF(OR('V5_Données&amp;IA'!AA10="NE",'V5_Données&amp;IA'!AA10=""),"",'V5_Données&amp;IA'!AA10)</f>
        <v>0</v>
      </c>
      <c r="W42" s="97"/>
      <c r="X42" s="599" t="str">
        <f>IF(OR('V5_Données&amp;IA'!AC10="NE",'V5_Données&amp;IA'!AC10=""),"",'V5_Données&amp;IA'!AC10)</f>
        <v/>
      </c>
      <c r="Z42" s="288"/>
    </row>
    <row r="43" spans="1:26" ht="30" customHeight="1" x14ac:dyDescent="0.4">
      <c r="A43" s="616"/>
      <c r="B43" s="616"/>
      <c r="C43" s="616"/>
      <c r="E43" t="str">
        <f>RIGHT(F41,1)&amp;4&amp;1</f>
        <v>541</v>
      </c>
      <c r="F43" s="374"/>
      <c r="G43" s="582" t="str">
        <f>LEFT(RIGHT($E43,2),1)&amp;" : "&amp;IFERROR(VLOOKUP($E43,BDD!$A$1:$S$580,7,FALSE),"")</f>
        <v>4 : L’organisation a mis en place un dispositif pour protéger ses données.</v>
      </c>
      <c r="H43" s="97"/>
      <c r="I43" s="45" t="str">
        <f>IF('V5_Données&amp;IA'!O11="","",'V5_Données&amp;IA'!O11)</f>
        <v>NE</v>
      </c>
      <c r="J43" s="45" t="str">
        <f>IF('V5_Données&amp;IA'!P11="","",'V5_Données&amp;IA'!P11)</f>
        <v>NE</v>
      </c>
      <c r="K43" s="45" t="str">
        <f>IF('V5_Données&amp;IA'!Q11="","",'V5_Données&amp;IA'!Q11)</f>
        <v>NE</v>
      </c>
      <c r="L43" s="45" t="str">
        <f>IF('V5_Données&amp;IA'!R11="","",'V5_Données&amp;IA'!R11)</f>
        <v>NE</v>
      </c>
      <c r="M43" s="45" t="str">
        <f>IF('V5_Données&amp;IA'!S11="","",'V5_Données&amp;IA'!S11)</f>
        <v>NE</v>
      </c>
      <c r="N43" s="361" t="str">
        <f>IF('V5_Données&amp;IA'!T11="","",'V5_Données&amp;IA'!T11)</f>
        <v/>
      </c>
      <c r="O43" s="359" t="str">
        <f>IF('V5_Données&amp;IA'!U11="","",'V5_Données&amp;IA'!U11)</f>
        <v/>
      </c>
      <c r="P43" s="390" t="str">
        <f>IF('V5_Données&amp;IA'!V11="","",'V5_Données&amp;IA'!V11)</f>
        <v/>
      </c>
      <c r="Q43" s="97"/>
      <c r="R43" s="699" t="str">
        <f>IF(OR('V5_Données&amp;IA'!W11="NE",'V5_Données&amp;IA'!W11=""),"",'V5_Données&amp;IA'!W11)</f>
        <v>N/A</v>
      </c>
      <c r="S43" s="379" t="str">
        <f>IF(OR('V5_Données&amp;IA'!X11="NE",'V5_Données&amp;IA'!X11=""),"",'V5_Données&amp;IA'!X11)</f>
        <v/>
      </c>
      <c r="T43" s="97"/>
      <c r="U43" s="577">
        <f>IF(OR('V5_Données&amp;IA'!Z11="NE",'V5_Données&amp;IA'!Z11=""),"",'V5_Données&amp;IA'!Z11)</f>
        <v>0</v>
      </c>
      <c r="V43" s="47">
        <f>IF(OR('V5_Données&amp;IA'!AA11="NE",'V5_Données&amp;IA'!AA11=""),"",'V5_Données&amp;IA'!AA11)</f>
        <v>0</v>
      </c>
      <c r="W43" s="97"/>
      <c r="X43" s="599" t="str">
        <f>IF(OR('V5_Données&amp;IA'!AC11="NE",'V5_Données&amp;IA'!AC11=""),"",'V5_Données&amp;IA'!AC11)</f>
        <v/>
      </c>
      <c r="Z43" s="288"/>
    </row>
    <row r="44" spans="1:26" ht="30" customHeight="1" thickBot="1" x14ac:dyDescent="0.45">
      <c r="A44" s="616"/>
      <c r="B44" s="616"/>
      <c r="C44" s="616"/>
      <c r="E44" t="str">
        <f>RIGHT(F41,1)&amp;5&amp;1</f>
        <v>551</v>
      </c>
      <c r="F44" s="374"/>
      <c r="G44" s="581" t="str">
        <f>LEFT(RIGHT($E44,2),1)&amp;" : "&amp;IFERROR(VLOOKUP($E44,BDD!$A$1:$S$580,7,FALSE),"")</f>
        <v>5 : L'organisation maîtrise l'exploitation de ses données par l'IA pour atteindre ses objectifs stratégiques.</v>
      </c>
      <c r="H44" s="97"/>
      <c r="I44" s="42" t="str">
        <f>IF('V5_Données&amp;IA'!O12="","",'V5_Données&amp;IA'!O12)</f>
        <v>NE</v>
      </c>
      <c r="J44" s="42" t="str">
        <f>IF('V5_Données&amp;IA'!P12="","",'V5_Données&amp;IA'!P12)</f>
        <v>NE</v>
      </c>
      <c r="K44" s="42" t="str">
        <f>IF('V5_Données&amp;IA'!Q12="","",'V5_Données&amp;IA'!Q12)</f>
        <v>NE</v>
      </c>
      <c r="L44" s="42" t="str">
        <f>IF('V5_Données&amp;IA'!R12="","",'V5_Données&amp;IA'!R12)</f>
        <v>NE</v>
      </c>
      <c r="M44" s="42" t="str">
        <f>IF('V5_Données&amp;IA'!S12="","",'V5_Données&amp;IA'!S12)</f>
        <v>NE</v>
      </c>
      <c r="N44" s="42" t="str">
        <f>IF('V5_Données&amp;IA'!T12="","",'V5_Données&amp;IA'!T12)</f>
        <v>NE</v>
      </c>
      <c r="O44" s="50" t="str">
        <f>IF('V5_Données&amp;IA'!U12="","",'V5_Données&amp;IA'!U12)</f>
        <v>NE</v>
      </c>
      <c r="P44" s="391" t="str">
        <f>IF('V5_Données&amp;IA'!V12="","",'V5_Données&amp;IA'!V12)</f>
        <v/>
      </c>
      <c r="Q44" s="97"/>
      <c r="R44" s="698" t="str">
        <f>IF(OR('V5_Données&amp;IA'!W12="NE",'V5_Données&amp;IA'!W12=""),"",'V5_Données&amp;IA'!W12)</f>
        <v>N/A</v>
      </c>
      <c r="S44" s="378" t="str">
        <f>IF(OR('V5_Données&amp;IA'!X12="NE",'V5_Données&amp;IA'!X12=""),"",'V5_Données&amp;IA'!X12)</f>
        <v/>
      </c>
      <c r="T44" s="97"/>
      <c r="U44" s="576">
        <f>IF(OR('V5_Données&amp;IA'!Z12="NE",'V5_Données&amp;IA'!Z12=""),"",'V5_Données&amp;IA'!Z12)</f>
        <v>0</v>
      </c>
      <c r="V44" s="43">
        <f>IF(OR('V5_Données&amp;IA'!AA12="NE",'V5_Données&amp;IA'!AA12=""),"",'V5_Données&amp;IA'!AA12)</f>
        <v>0</v>
      </c>
      <c r="W44" s="97"/>
      <c r="X44" s="600" t="str">
        <f>IF(OR('V5_Données&amp;IA'!AC12="NE",'V5_Données&amp;IA'!AC12=""),"",'V5_Données&amp;IA'!AC12)</f>
        <v/>
      </c>
      <c r="Z44" s="288"/>
    </row>
    <row r="45" spans="1:26" ht="34.950000000000003" customHeight="1" thickBot="1" x14ac:dyDescent="0.45">
      <c r="A45" s="616"/>
      <c r="B45" s="616"/>
      <c r="C45" s="616"/>
      <c r="F45" s="372"/>
      <c r="G45" s="583"/>
      <c r="R45" s="701" t="str">
        <f>IF(OR('V5_Données&amp;IA'!W15="NE",'V5_Données&amp;IA'!W15=""),"",'V5_Données&amp;IA'!W15)</f>
        <v>N/A</v>
      </c>
      <c r="S45" s="384" t="str">
        <f>IF(OR('V5_Données&amp;IA'!X15="NE",'V5_Données&amp;IA'!X15=""),"",'V5_Données&amp;IA'!X15)</f>
        <v/>
      </c>
      <c r="U45" s="579">
        <f>IF(OR('V5_Données&amp;IA'!Z15="NE",'V5_Données&amp;IA'!Z15=""),"",'V5_Données&amp;IA'!Z15)</f>
        <v>0</v>
      </c>
      <c r="V45" s="381">
        <f>IF(OR('V5_Données&amp;IA'!AA15="NE",'V5_Données&amp;IA'!AA15=""),"",'V5_Données&amp;IA'!AA15)</f>
        <v>0</v>
      </c>
      <c r="X45" s="392"/>
      <c r="Z45" s="288"/>
    </row>
    <row r="46" spans="1:26" ht="25.05" customHeight="1" x14ac:dyDescent="0.4">
      <c r="A46" s="616"/>
      <c r="B46" s="616"/>
      <c r="C46" s="616"/>
      <c r="F46" s="372"/>
      <c r="G46" s="583"/>
      <c r="I46" s="129" t="s">
        <v>3</v>
      </c>
      <c r="J46" s="129" t="s">
        <v>4</v>
      </c>
      <c r="K46" s="129" t="s">
        <v>5</v>
      </c>
      <c r="L46" s="129" t="s">
        <v>6</v>
      </c>
      <c r="M46" s="129" t="s">
        <v>7</v>
      </c>
      <c r="N46" s="129" t="s">
        <v>8</v>
      </c>
      <c r="O46" s="129" t="s">
        <v>9</v>
      </c>
      <c r="P46" s="129" t="s">
        <v>1019</v>
      </c>
      <c r="R46" s="703"/>
      <c r="X46" s="392"/>
      <c r="Z46" s="288"/>
    </row>
    <row r="47" spans="1:26" ht="21" x14ac:dyDescent="0.3">
      <c r="A47" s="616"/>
      <c r="B47" s="616"/>
      <c r="C47" s="616"/>
      <c r="E47" t="str">
        <f>RIGHT(F49,1)&amp;1&amp;1</f>
        <v>611</v>
      </c>
      <c r="F47" s="373"/>
      <c r="G47" s="581"/>
      <c r="H47" s="97"/>
      <c r="I47" s="49" t="str">
        <f>IF(V6_Architecture!O8="","",V6_Architecture!O8)</f>
        <v>NE</v>
      </c>
      <c r="J47" s="42" t="str">
        <f>IF(V6_Architecture!P8="","",V6_Architecture!P8)</f>
        <v>NE</v>
      </c>
      <c r="K47" s="42" t="str">
        <f>IF(V6_Architecture!Q8="","",V6_Architecture!Q8)</f>
        <v>NE</v>
      </c>
      <c r="L47" s="42" t="str">
        <f>IF(V6_Architecture!R8="","",V6_Architecture!R8)</f>
        <v>NE</v>
      </c>
      <c r="M47" s="358" t="str">
        <f>IF(V6_Architecture!S8="","",V6_Architecture!S8)</f>
        <v/>
      </c>
      <c r="N47" s="358" t="str">
        <f>IF(V6_Architecture!T8="","",V6_Architecture!T8)</f>
        <v/>
      </c>
      <c r="O47" s="358" t="str">
        <f>IF(V6_Architecture!U8="","",V6_Architecture!U8)</f>
        <v/>
      </c>
      <c r="P47" s="358" t="str">
        <f>IF(V6_Architecture!V8="","",V6_Architecture!V8)</f>
        <v/>
      </c>
      <c r="Q47" s="97"/>
      <c r="R47" s="698" t="str">
        <f>IF(OR(V6_Architecture!W8="NE",V6_Architecture!W8=""),"",V6_Architecture!W8)</f>
        <v>N/A</v>
      </c>
      <c r="S47" s="378" t="str">
        <f>IF(OR(V6_Architecture!X8="NE",V6_Architecture!X8=""),"",V6_Architecture!X8)</f>
        <v/>
      </c>
      <c r="T47" s="97"/>
      <c r="U47" s="576">
        <f>IF(OR(V6_Architecture!Z8="NE",V6_Architecture!Z8=""),"",V6_Architecture!Z8)</f>
        <v>0</v>
      </c>
      <c r="V47" s="43">
        <f>IF(OR(V6_Architecture!AA8="NE",V6_Architecture!AA8=""),"",V6_Architecture!AA8)</f>
        <v>0</v>
      </c>
      <c r="W47" s="97"/>
      <c r="X47" s="275" t="str">
        <f>"Evaluation globale du "&amp;F49</f>
        <v>Evaluation globale du Vecteur 6</v>
      </c>
      <c r="Z47" s="288"/>
    </row>
    <row r="48" spans="1:26" ht="57.6" x14ac:dyDescent="0.4">
      <c r="A48" s="616"/>
      <c r="B48" s="616"/>
      <c r="C48" s="616"/>
      <c r="E48" t="str">
        <f>RIGHT(F49,1)&amp;2&amp;1</f>
        <v>621</v>
      </c>
      <c r="F48" s="374"/>
      <c r="G48" s="582" t="str">
        <f>LEFT(RIGHT($E48,2),1)&amp;" : "&amp;IFERROR(VLOOKUP($E48,BDD!$A$1:$S$580,7,FALSE),"")</f>
        <v xml:space="preserve">2 : Le volet numérique du plan stratégique de l’organisation se décline dans une feuille de route (ou schéma directeur SI), co-construite avec les métiers, qui s’appuie sur la cartographie, le schéma d’urbanisation s'il existe, ou à défaut, sur le patrimoine applicatif et sur l’organisation des données. </v>
      </c>
      <c r="H48" s="97"/>
      <c r="I48" s="45" t="str">
        <f>IF(V6_Architecture!O9="","",V6_Architecture!O9)</f>
        <v>NE</v>
      </c>
      <c r="J48" s="45" t="str">
        <f>IF(V6_Architecture!P9="","",V6_Architecture!P9)</f>
        <v>NE</v>
      </c>
      <c r="K48" s="45" t="str">
        <f>IF(V6_Architecture!Q9="","",V6_Architecture!Q9)</f>
        <v>NE</v>
      </c>
      <c r="L48" s="45" t="str">
        <f>IF(V6_Architecture!R9="","",V6_Architecture!R9)</f>
        <v>NE</v>
      </c>
      <c r="M48" s="361" t="str">
        <f>IF(V6_Architecture!S9="","",V6_Architecture!S9)</f>
        <v/>
      </c>
      <c r="N48" s="361" t="str">
        <f>IF(V6_Architecture!T9="","",V6_Architecture!T9)</f>
        <v/>
      </c>
      <c r="O48" s="359" t="str">
        <f>IF(V6_Architecture!U9="","",V6_Architecture!U9)</f>
        <v/>
      </c>
      <c r="P48" s="359" t="str">
        <f>IF(V6_Architecture!V9="","",V6_Architecture!V9)</f>
        <v/>
      </c>
      <c r="Q48" s="97"/>
      <c r="R48" s="699" t="str">
        <f>IF(OR(V6_Architecture!W9="NE",V6_Architecture!W9=""),"",V6_Architecture!W9)</f>
        <v>N/A</v>
      </c>
      <c r="S48" s="379" t="str">
        <f>IF(OR(V6_Architecture!X9="NE",V6_Architecture!X9=""),"",V6_Architecture!X9)</f>
        <v/>
      </c>
      <c r="T48" s="97"/>
      <c r="U48" s="577">
        <f>IF(OR(V6_Architecture!Z9="NE",V6_Architecture!Z9=""),"",V6_Architecture!Z9)</f>
        <v>0</v>
      </c>
      <c r="V48" s="47">
        <f>IF(OR(V6_Architecture!AA9="NE",V6_Architecture!AA9=""),"",V6_Architecture!AA9)</f>
        <v>0</v>
      </c>
      <c r="W48" s="97"/>
      <c r="X48" s="601" t="str">
        <f>IF(OR(V6_Architecture!N16="NE",V6_Architecture!N16=""),"",V6_Architecture!N16)</f>
        <v/>
      </c>
      <c r="Z48" s="288"/>
    </row>
    <row r="49" spans="1:26" ht="43.2" x14ac:dyDescent="0.4">
      <c r="A49" s="616"/>
      <c r="B49" s="616"/>
      <c r="C49" s="616"/>
      <c r="E49" t="str">
        <f>RIGHT(F49,1)&amp;3&amp;1</f>
        <v>631</v>
      </c>
      <c r="F49" s="587" t="s">
        <v>70</v>
      </c>
      <c r="G49" s="581" t="str">
        <f>LEFT(RIGHT($E49,2),1)&amp;" : "&amp;IFERROR(VLOOKUP($E49,BDD!$A$1:$S$580,7,FALSE),"")</f>
        <v>3 : La feuille de route du SI décline une architecture modulaire permettant la coexistence de systèmes d’information aux exigences hétérogènes et l’intégration de solutions diversifiées.</v>
      </c>
      <c r="H49" s="97"/>
      <c r="I49" s="42" t="str">
        <f>IF(V6_Architecture!O10="","",V6_Architecture!O10)</f>
        <v>NE</v>
      </c>
      <c r="J49" s="42" t="str">
        <f>IF(V6_Architecture!P10="","",V6_Architecture!P10)</f>
        <v>NE</v>
      </c>
      <c r="K49" s="42" t="str">
        <f>IF(V6_Architecture!Q10="","",V6_Architecture!Q10)</f>
        <v>NE</v>
      </c>
      <c r="L49" s="49" t="str">
        <f>IF(V6_Architecture!R10="","",V6_Architecture!R10)</f>
        <v>NE</v>
      </c>
      <c r="M49" s="42" t="str">
        <f>IF(V6_Architecture!S10="","",V6_Architecture!S10)</f>
        <v>NE</v>
      </c>
      <c r="N49" s="358" t="str">
        <f>IF(V6_Architecture!T10="","",V6_Architecture!T10)</f>
        <v/>
      </c>
      <c r="O49" s="360" t="str">
        <f>IF(V6_Architecture!U10="","",V6_Architecture!U10)</f>
        <v/>
      </c>
      <c r="P49" s="360" t="str">
        <f>IF(V6_Architecture!V10="","",V6_Architecture!V10)</f>
        <v/>
      </c>
      <c r="Q49" s="97"/>
      <c r="R49" s="698" t="str">
        <f>IF(OR(V6_Architecture!W10="NE",V6_Architecture!W10=""),"",V6_Architecture!W10)</f>
        <v>N/A</v>
      </c>
      <c r="S49" s="378" t="str">
        <f>IF(OR(V6_Architecture!X10="NE",V6_Architecture!X10=""),"",V6_Architecture!X10)</f>
        <v/>
      </c>
      <c r="T49" s="97"/>
      <c r="U49" s="576">
        <f>IF(OR(V6_Architecture!Z10="NE",V6_Architecture!Z10=""),"",V6_Architecture!Z10)</f>
        <v>0</v>
      </c>
      <c r="V49" s="43">
        <f>IF(OR(V6_Architecture!AA10="NE",V6_Architecture!AA10=""),"",V6_Architecture!AA10)</f>
        <v>0</v>
      </c>
      <c r="W49" s="97"/>
      <c r="X49" s="602" t="str">
        <f>IF(OR(V6_Architecture!AC10="NE",V6_Architecture!AC10=""),"",V6_Architecture!AC10)</f>
        <v/>
      </c>
      <c r="Z49" s="288"/>
    </row>
    <row r="50" spans="1:26" ht="57.6" x14ac:dyDescent="0.4">
      <c r="A50" s="616"/>
      <c r="B50" s="616"/>
      <c r="C50" s="616"/>
      <c r="E50" t="str">
        <f>RIGHT(F49,1)&amp;4&amp;1</f>
        <v>641</v>
      </c>
      <c r="F50" s="588" t="str">
        <f>VLOOKUP(E50,BDD!$A$1:$C$667,3,FALSE)</f>
        <v>Architecture</v>
      </c>
      <c r="G50" s="582" t="str">
        <f>LEFT(RIGHT($E50,2),1)&amp;" : "&amp;IFERROR(VLOOKUP($E50,BDD!$A$1:$S$580,7,FALSE),"")</f>
        <v>4 : Les enjeux d’architecture sont explicités et partagés au moyen d’un vocabulaire accessible et de schémas explicatifs. Les métiers sont impliqués et responsabilisés dans leurs choix d’investissements, sur la base d’une identification claire des impacts sur leurs processus.</v>
      </c>
      <c r="H50" s="97"/>
      <c r="I50" s="45" t="str">
        <f>IF(V6_Architecture!O11="","",V6_Architecture!O11)</f>
        <v>NE</v>
      </c>
      <c r="J50" s="45" t="str">
        <f>IF(V6_Architecture!P11="","",V6_Architecture!P11)</f>
        <v>NE</v>
      </c>
      <c r="K50" s="45" t="str">
        <f>IF(V6_Architecture!Q11="","",V6_Architecture!Q11)</f>
        <v>NE</v>
      </c>
      <c r="L50" s="45" t="str">
        <f>IF(V6_Architecture!R11="","",V6_Architecture!R11)</f>
        <v>NE</v>
      </c>
      <c r="M50" s="361" t="str">
        <f>IF(V6_Architecture!S11="","",V6_Architecture!S11)</f>
        <v/>
      </c>
      <c r="N50" s="361" t="str">
        <f>IF(V6_Architecture!T11="","",V6_Architecture!T11)</f>
        <v/>
      </c>
      <c r="O50" s="359" t="str">
        <f>IF(V6_Architecture!U11="","",V6_Architecture!U11)</f>
        <v/>
      </c>
      <c r="P50" s="359" t="str">
        <f>IF(V6_Architecture!V11="","",V6_Architecture!V11)</f>
        <v/>
      </c>
      <c r="Q50" s="97"/>
      <c r="R50" s="699" t="str">
        <f>IF(OR(V6_Architecture!W11="NE",V6_Architecture!W11=""),"",V6_Architecture!W11)</f>
        <v>N/A</v>
      </c>
      <c r="S50" s="379" t="str">
        <f>IF(OR(V6_Architecture!X11="NE",V6_Architecture!X11=""),"",V6_Architecture!X11)</f>
        <v/>
      </c>
      <c r="T50" s="97"/>
      <c r="U50" s="577">
        <f>IF(OR(V6_Architecture!Z11="NE",V6_Architecture!Z11=""),"",V6_Architecture!Z11)</f>
        <v>0</v>
      </c>
      <c r="V50" s="47">
        <f>IF(OR(V6_Architecture!AA11="NE",V6_Architecture!AA11=""),"",V6_Architecture!AA11)</f>
        <v>0</v>
      </c>
      <c r="W50" s="97"/>
      <c r="X50" s="602" t="str">
        <f>IF(OR(V6_Architecture!AC11="NE",V6_Architecture!AC11=""),"",V6_Architecture!AC11)</f>
        <v/>
      </c>
      <c r="Z50" s="288"/>
    </row>
    <row r="51" spans="1:26" ht="57.6" x14ac:dyDescent="0.4">
      <c r="A51" s="616"/>
      <c r="B51" s="616"/>
      <c r="C51" s="616"/>
      <c r="E51" t="str">
        <f>RIGHT(F49,1)&amp;5&amp;1</f>
        <v>651</v>
      </c>
      <c r="F51" s="374"/>
      <c r="G51" s="581" t="str">
        <f>LEFT(RIGHT($E51,2),1)&amp;" : "&amp;IFERROR(VLOOKUP($E51,BDD!$A$1:$S$580,7,FALSE),"")</f>
        <v xml:space="preserve">5 : Les règles et principes d’architecture sont édictés avec des modalités d’application adaptées aux enjeux et aux risques. Elles constituent un référentiel sur lequel s’appuient les équipes de projets, les responsables applicatifs et les métiers. </v>
      </c>
      <c r="H51" s="97"/>
      <c r="I51" s="42" t="str">
        <f>IF(V6_Architecture!O12="","",V6_Architecture!O12)</f>
        <v>NE</v>
      </c>
      <c r="J51" s="42" t="str">
        <f>IF(V6_Architecture!P12="","",V6_Architecture!P12)</f>
        <v>NE</v>
      </c>
      <c r="K51" s="42" t="str">
        <f>IF(V6_Architecture!Q12="","",V6_Architecture!Q12)</f>
        <v>NE</v>
      </c>
      <c r="L51" s="42" t="str">
        <f>IF(V6_Architecture!R12="","",V6_Architecture!R12)</f>
        <v>NE</v>
      </c>
      <c r="M51" s="42" t="str">
        <f>IF(V6_Architecture!S12="","",V6_Architecture!S12)</f>
        <v>NE</v>
      </c>
      <c r="N51" s="42" t="str">
        <f>IF(V6_Architecture!T12="","",V6_Architecture!T12)</f>
        <v>NE</v>
      </c>
      <c r="O51" s="360" t="str">
        <f>IF(V6_Architecture!U12="","",V6_Architecture!U12)</f>
        <v/>
      </c>
      <c r="P51" s="360" t="str">
        <f>IF(V6_Architecture!V12="","",V6_Architecture!V12)</f>
        <v/>
      </c>
      <c r="Q51" s="97"/>
      <c r="R51" s="698" t="str">
        <f>IF(OR(V6_Architecture!W12="NE",V6_Architecture!W12=""),"",V6_Architecture!W12)</f>
        <v>N/A</v>
      </c>
      <c r="S51" s="378" t="str">
        <f>IF(OR(V6_Architecture!X12="NE",V6_Architecture!X12=""),"",V6_Architecture!X12)</f>
        <v/>
      </c>
      <c r="T51" s="97"/>
      <c r="U51" s="576">
        <f>IF(OR(V6_Architecture!Z12="NE",V6_Architecture!Z12=""),"",V6_Architecture!Z12)</f>
        <v>0</v>
      </c>
      <c r="V51" s="43">
        <f>IF(OR(V6_Architecture!AA12="NE",V6_Architecture!AA12=""),"",V6_Architecture!AA12)</f>
        <v>0</v>
      </c>
      <c r="W51" s="97"/>
      <c r="X51" s="602" t="str">
        <f>IF(OR(V6_Architecture!AC12="NE",V6_Architecture!AC12=""),"",V6_Architecture!AC12)</f>
        <v/>
      </c>
      <c r="Z51" s="288"/>
    </row>
    <row r="52" spans="1:26" ht="58.2" thickBot="1" x14ac:dyDescent="0.45">
      <c r="A52" s="616"/>
      <c r="B52" s="616"/>
      <c r="C52" s="616"/>
      <c r="E52" t="str">
        <f>RIGHT(F49,1)&amp;6&amp;1</f>
        <v>661</v>
      </c>
      <c r="F52" s="374"/>
      <c r="G52" s="582" t="str">
        <f>LEFT(RIGHT($E52,2),1)&amp;" : "&amp;IFERROR(VLOOKUP($E52,BDD!$A$1:$S$580,7,FALSE),"")</f>
        <v>6 : Une organisation est mise en place pour assurer l’application du cadre de référence et piloter son évolution afin de répondre aux besoins de l'organisation et de prendre en compte les évolutions technologiques et méthodologiques (nouvelles pratiques).</v>
      </c>
      <c r="H52" s="97"/>
      <c r="I52" s="45" t="str">
        <f>IF(V6_Architecture!O13="","",V6_Architecture!O13)</f>
        <v>NE</v>
      </c>
      <c r="J52" s="45" t="str">
        <f>IF(V6_Architecture!P13="","",V6_Architecture!P13)</f>
        <v>NE</v>
      </c>
      <c r="K52" s="45" t="str">
        <f>IF(V6_Architecture!Q13="","",V6_Architecture!Q13)</f>
        <v>NE</v>
      </c>
      <c r="L52" s="45" t="str">
        <f>IF(V6_Architecture!R13="","",V6_Architecture!R13)</f>
        <v>NE</v>
      </c>
      <c r="M52" s="45" t="str">
        <f>IF(V6_Architecture!S13="","",V6_Architecture!S13)</f>
        <v>NE</v>
      </c>
      <c r="N52" s="45" t="str">
        <f>IF(V6_Architecture!T13="","",V6_Architecture!T13)</f>
        <v>NE</v>
      </c>
      <c r="O52" s="46" t="str">
        <f>IF(V6_Architecture!U13="","",V6_Architecture!U13)</f>
        <v>NE</v>
      </c>
      <c r="P52" s="390" t="str">
        <f>IF(V6_Architecture!V13="","",V6_Architecture!V13)</f>
        <v/>
      </c>
      <c r="Q52" s="97"/>
      <c r="R52" s="699" t="str">
        <f>IF(OR(V6_Architecture!W13="NE",V6_Architecture!W13=""),"",V6_Architecture!W13)</f>
        <v>N/A</v>
      </c>
      <c r="S52" s="379" t="str">
        <f>IF(OR(V6_Architecture!X13="NE",V6_Architecture!X13=""),"",V6_Architecture!X13)</f>
        <v/>
      </c>
      <c r="T52" s="97"/>
      <c r="U52" s="577">
        <f>IF(OR(V6_Architecture!Z13="NE",V6_Architecture!Z13=""),"",V6_Architecture!Z13)</f>
        <v>0</v>
      </c>
      <c r="V52" s="47">
        <f>IF(OR(V6_Architecture!AA13="NE",V6_Architecture!AA13=""),"",V6_Architecture!AA13)</f>
        <v>0</v>
      </c>
      <c r="W52" s="97"/>
      <c r="X52" s="603" t="str">
        <f>IF(OR(V6_Architecture!AC13="NE",V6_Architecture!AC13=""),"",V6_Architecture!AC13)</f>
        <v/>
      </c>
      <c r="Z52" s="288"/>
    </row>
    <row r="53" spans="1:26" ht="34.950000000000003" customHeight="1" thickBot="1" x14ac:dyDescent="0.45">
      <c r="A53" s="616"/>
      <c r="B53" s="616"/>
      <c r="C53" s="616"/>
      <c r="F53" s="372"/>
      <c r="G53" s="583"/>
      <c r="R53" s="701" t="str">
        <f>IF(OR(V6_Architecture!W16="NE",V6_Architecture!W16=""),"",V6_Architecture!W16)</f>
        <v>N/A</v>
      </c>
      <c r="S53" s="384" t="str">
        <f>IF(OR(V6_Architecture!X16="NE",V6_Architecture!X16=""),"",V6_Architecture!X16)</f>
        <v/>
      </c>
      <c r="U53" s="579">
        <f>IF(OR(V6_Architecture!Z16="NE",V6_Architecture!Z16=""),"",V6_Architecture!Z16)</f>
        <v>0</v>
      </c>
      <c r="V53" s="381">
        <f>IF(OR(V6_Architecture!AA16="NE",V6_Architecture!AA16=""),"",V6_Architecture!AA16)</f>
        <v>0</v>
      </c>
      <c r="X53" s="392"/>
      <c r="Z53" s="288"/>
    </row>
    <row r="54" spans="1:26" ht="25.05" customHeight="1" x14ac:dyDescent="0.4">
      <c r="A54" s="616"/>
      <c r="B54" s="616"/>
      <c r="C54" s="616"/>
      <c r="F54" s="372"/>
      <c r="G54" s="583"/>
      <c r="I54" s="129" t="s">
        <v>3</v>
      </c>
      <c r="J54" s="129" t="s">
        <v>4</v>
      </c>
      <c r="K54" s="129" t="s">
        <v>5</v>
      </c>
      <c r="L54" s="129" t="s">
        <v>6</v>
      </c>
      <c r="M54" s="129" t="s">
        <v>7</v>
      </c>
      <c r="N54" s="129" t="s">
        <v>8</v>
      </c>
      <c r="O54" s="129" t="s">
        <v>9</v>
      </c>
      <c r="P54" s="129" t="s">
        <v>1019</v>
      </c>
      <c r="R54" s="703"/>
      <c r="X54" s="392"/>
      <c r="Z54" s="288"/>
    </row>
    <row r="55" spans="1:26" ht="30" customHeight="1" x14ac:dyDescent="0.3">
      <c r="A55" s="616"/>
      <c r="B55" s="616"/>
      <c r="C55" s="616"/>
      <c r="E55" t="str">
        <f>RIGHT(F57,1)&amp;1&amp;1</f>
        <v>711</v>
      </c>
      <c r="F55" s="373"/>
      <c r="G55" s="581" t="str">
        <f>LEFT(RIGHT($E55,2),1)&amp;" : "&amp;IFERROR(VLOOKUP($E55,BDD!$A$1:$S$580,7,FALSE),"")</f>
        <v>1 : Tous les projets sont répertoriés dans un référentiel unique pouvant être structuré en programmes afin de faciliter leur gestion  globale.</v>
      </c>
      <c r="H55" s="97"/>
      <c r="I55" s="49" t="str">
        <f>IF(V7_Portefeuille!O8="","",V7_Portefeuille!O8)</f>
        <v>NE</v>
      </c>
      <c r="J55" s="42" t="str">
        <f>IF(V7_Portefeuille!P8="","",V7_Portefeuille!P8)</f>
        <v>NE</v>
      </c>
      <c r="K55" s="42" t="str">
        <f>IF(V7_Portefeuille!Q8="","",V7_Portefeuille!Q8)</f>
        <v>NE</v>
      </c>
      <c r="L55" s="42" t="str">
        <f>IF(V7_Portefeuille!R8="","",V7_Portefeuille!R8)</f>
        <v>NE</v>
      </c>
      <c r="M55" s="358" t="str">
        <f>IF(V7_Portefeuille!S8="","",V7_Portefeuille!S8)</f>
        <v/>
      </c>
      <c r="N55" s="358" t="str">
        <f>IF(V7_Portefeuille!T8="","",V7_Portefeuille!T8)</f>
        <v/>
      </c>
      <c r="O55" s="358" t="str">
        <f>IF(V7_Portefeuille!U8="","",V7_Portefeuille!U8)</f>
        <v/>
      </c>
      <c r="P55" s="358" t="str">
        <f>IF(V7_Portefeuille!V8="","",V7_Portefeuille!V8)</f>
        <v/>
      </c>
      <c r="Q55" s="97"/>
      <c r="R55" s="698" t="str">
        <f>IF(OR(V7_Portefeuille!W8="NE",V7_Portefeuille!W8=""),"",V7_Portefeuille!W8)</f>
        <v>N/A</v>
      </c>
      <c r="S55" s="378" t="str">
        <f>IF(OR(V7_Portefeuille!X8="NE",V7_Portefeuille!X8=""),"",V7_Portefeuille!X8)</f>
        <v/>
      </c>
      <c r="T55" s="97"/>
      <c r="U55" s="576">
        <f>IF(OR(V7_Portefeuille!Z8="NE",V7_Portefeuille!Z8=""),"",V7_Portefeuille!Z8)</f>
        <v>0</v>
      </c>
      <c r="V55" s="43">
        <f>IF(OR(V7_Portefeuille!AA8="NE",V7_Portefeuille!AA8=""),"",V7_Portefeuille!AA8)</f>
        <v>0</v>
      </c>
      <c r="W55" s="97"/>
      <c r="X55" s="276" t="str">
        <f>"Evaluation globale du "&amp;F57</f>
        <v>Evaluation globale du Vecteur 7</v>
      </c>
      <c r="Z55" s="288"/>
    </row>
    <row r="56" spans="1:26" ht="30" customHeight="1" x14ac:dyDescent="0.4">
      <c r="A56" s="616"/>
      <c r="B56" s="616"/>
      <c r="C56" s="616"/>
      <c r="E56" t="str">
        <f>RIGHT(F57,1)&amp;2&amp;1</f>
        <v>721</v>
      </c>
      <c r="F56" s="374"/>
      <c r="G56" s="582" t="str">
        <f>LEFT(RIGHT($E56,2),1)&amp;" : "&amp;IFERROR(VLOOKUP($E56,BDD!$A$1:$S$580,7,FALSE),"")</f>
        <v>2 : Les métiers élaborent un business case avec l’aide de la DSI, pour chaque projet ayant un volet numérique significatif.</v>
      </c>
      <c r="H56" s="97"/>
      <c r="I56" s="45" t="str">
        <f>IF(V7_Portefeuille!O9="","",V7_Portefeuille!O9)</f>
        <v>NE</v>
      </c>
      <c r="J56" s="45" t="str">
        <f>IF(V7_Portefeuille!P9="","",V7_Portefeuille!P9)</f>
        <v>NE</v>
      </c>
      <c r="K56" s="45" t="str">
        <f>IF(V7_Portefeuille!Q9="","",V7_Portefeuille!Q9)</f>
        <v>NE</v>
      </c>
      <c r="L56" s="45" t="str">
        <f>IF(V7_Portefeuille!R9="","",V7_Portefeuille!R9)</f>
        <v>NE</v>
      </c>
      <c r="M56" s="45" t="str">
        <f>IF(V7_Portefeuille!S9="","",V7_Portefeuille!S9)</f>
        <v>NE</v>
      </c>
      <c r="N56" s="45" t="str">
        <f>IF(V7_Portefeuille!T9="","",V7_Portefeuille!T9)</f>
        <v>NE</v>
      </c>
      <c r="O56" s="359" t="str">
        <f>IF(V7_Portefeuille!U9="","",V7_Portefeuille!U9)</f>
        <v/>
      </c>
      <c r="P56" s="359" t="str">
        <f>IF(V7_Portefeuille!V9="","",V7_Portefeuille!V9)</f>
        <v/>
      </c>
      <c r="Q56" s="97"/>
      <c r="R56" s="699" t="str">
        <f>IF(OR(V7_Portefeuille!W9="NE",V7_Portefeuille!W9=""),"",V7_Portefeuille!W9)</f>
        <v>N/A</v>
      </c>
      <c r="S56" s="379" t="str">
        <f>IF(OR(V7_Portefeuille!X9="NE",V7_Portefeuille!X9=""),"",V7_Portefeuille!X9)</f>
        <v/>
      </c>
      <c r="T56" s="97"/>
      <c r="U56" s="577">
        <f>IF(OR(V7_Portefeuille!Z9="NE",V7_Portefeuille!Z9=""),"",V7_Portefeuille!Z9)</f>
        <v>0</v>
      </c>
      <c r="V56" s="47">
        <f>IF(OR(V7_Portefeuille!AA9="NE",V7_Portefeuille!AA9=""),"",V7_Portefeuille!AA9)</f>
        <v>0</v>
      </c>
      <c r="W56" s="97"/>
      <c r="X56" s="604" t="str">
        <f>IF(OR(V7_Portefeuille!N16="NE",V7_Portefeuille!N16=""),"",V7_Portefeuille!N16)</f>
        <v/>
      </c>
      <c r="Z56" s="288"/>
    </row>
    <row r="57" spans="1:26" ht="30" customHeight="1" x14ac:dyDescent="0.4">
      <c r="A57" s="616"/>
      <c r="B57" s="616"/>
      <c r="C57" s="616"/>
      <c r="E57" t="str">
        <f>RIGHT(F57,1)&amp;3&amp;1</f>
        <v>731</v>
      </c>
      <c r="F57" s="587" t="s">
        <v>71</v>
      </c>
      <c r="G57" s="581" t="str">
        <f>LEFT(RIGHT($E57,2),1)&amp;" : "&amp;IFERROR(VLOOKUP($E57,BDD!$A$1:$S$580,7,FALSE),"")</f>
        <v>3 : Le portefeuille de projets intègre les projets d’industrialisation des initiatives d’innovation (PoC, MVP, Labs et autres travaux de R&amp;D).</v>
      </c>
      <c r="H57" s="97"/>
      <c r="I57" s="42" t="str">
        <f>IF(V7_Portefeuille!O10="","",V7_Portefeuille!O10)</f>
        <v>NE</v>
      </c>
      <c r="J57" s="42" t="str">
        <f>IF(V7_Portefeuille!P10="","",V7_Portefeuille!P10)</f>
        <v>NE</v>
      </c>
      <c r="K57" s="358" t="str">
        <f>IF(V7_Portefeuille!Q10="","",V7_Portefeuille!Q10)</f>
        <v/>
      </c>
      <c r="L57" s="362" t="str">
        <f>IF(V7_Portefeuille!R10="","",V7_Portefeuille!R10)</f>
        <v/>
      </c>
      <c r="M57" s="358" t="str">
        <f>IF(V7_Portefeuille!S10="","",V7_Portefeuille!S10)</f>
        <v/>
      </c>
      <c r="N57" s="358" t="str">
        <f>IF(V7_Portefeuille!T10="","",V7_Portefeuille!T10)</f>
        <v/>
      </c>
      <c r="O57" s="360" t="str">
        <f>IF(V7_Portefeuille!U10="","",V7_Portefeuille!U10)</f>
        <v/>
      </c>
      <c r="P57" s="360" t="str">
        <f>IF(V7_Portefeuille!V10="","",V7_Portefeuille!V10)</f>
        <v/>
      </c>
      <c r="Q57" s="97"/>
      <c r="R57" s="698" t="str">
        <f>IF(OR(V7_Portefeuille!W10="NE",V7_Portefeuille!W10=""),"",V7_Portefeuille!W10)</f>
        <v>N/A</v>
      </c>
      <c r="S57" s="378" t="str">
        <f>IF(OR(V7_Portefeuille!X10="NE",V7_Portefeuille!X10=""),"",V7_Portefeuille!X10)</f>
        <v/>
      </c>
      <c r="T57" s="97"/>
      <c r="U57" s="576">
        <f>IF(OR(V7_Portefeuille!Z10="NE",V7_Portefeuille!Z10=""),"",V7_Portefeuille!Z10)</f>
        <v>0</v>
      </c>
      <c r="V57" s="43">
        <f>IF(OR(V7_Portefeuille!AA10="NE",V7_Portefeuille!AA10=""),"",V7_Portefeuille!AA10)</f>
        <v>0</v>
      </c>
      <c r="W57" s="97"/>
      <c r="X57" s="604" t="str">
        <f>IF(OR(V7_Portefeuille!AC10="NE",V7_Portefeuille!AC10=""),"",V7_Portefeuille!AC10)</f>
        <v/>
      </c>
      <c r="Z57" s="288"/>
    </row>
    <row r="58" spans="1:26" ht="43.2" x14ac:dyDescent="0.4">
      <c r="A58" s="616"/>
      <c r="B58" s="616"/>
      <c r="C58" s="616"/>
      <c r="E58" t="str">
        <f>RIGHT(F57,1)&amp;4&amp;1</f>
        <v>741</v>
      </c>
      <c r="F58" s="588" t="str">
        <f>VLOOKUP(E58,BDD!$A$1:$C$667,3,FALSE)</f>
        <v>Portefeuille de projets</v>
      </c>
      <c r="G58" s="582" t="str">
        <f>LEFT(RIGHT($E58,2),1)&amp;" : "&amp;IFERROR(VLOOKUP($E58,BDD!$A$1:$S$580,7,FALSE),"")</f>
        <v>4 : Un processus de gestion des priorités de lancement (inter-projets) basé sur les business cases est mis en place et implique les directions métiers au niveau du Comité de direction pour les projets clés.</v>
      </c>
      <c r="H58" s="97"/>
      <c r="I58" s="45" t="str">
        <f>IF(V7_Portefeuille!O11="","",V7_Portefeuille!O11)</f>
        <v>NE</v>
      </c>
      <c r="J58" s="45" t="str">
        <f>IF(V7_Portefeuille!P11="","",V7_Portefeuille!P11)</f>
        <v>NE</v>
      </c>
      <c r="K58" s="45" t="str">
        <f>IF(V7_Portefeuille!Q11="","",V7_Portefeuille!Q11)</f>
        <v>NE</v>
      </c>
      <c r="L58" s="45" t="str">
        <f>IF(V7_Portefeuille!R11="","",V7_Portefeuille!R11)</f>
        <v>NE</v>
      </c>
      <c r="M58" s="45" t="str">
        <f>IF(V7_Portefeuille!S11="","",V7_Portefeuille!S11)</f>
        <v>NE</v>
      </c>
      <c r="N58" s="361" t="str">
        <f>IF(V7_Portefeuille!T11="","",V7_Portefeuille!T11)</f>
        <v/>
      </c>
      <c r="O58" s="359" t="str">
        <f>IF(V7_Portefeuille!U11="","",V7_Portefeuille!U11)</f>
        <v/>
      </c>
      <c r="P58" s="359" t="str">
        <f>IF(V7_Portefeuille!V11="","",V7_Portefeuille!V11)</f>
        <v/>
      </c>
      <c r="Q58" s="97"/>
      <c r="R58" s="699" t="str">
        <f>IF(OR(V7_Portefeuille!W11="NE",V7_Portefeuille!W11=""),"",V7_Portefeuille!W11)</f>
        <v>N/A</v>
      </c>
      <c r="S58" s="379" t="str">
        <f>IF(OR(V7_Portefeuille!X11="NE",V7_Portefeuille!X11=""),"",V7_Portefeuille!X11)</f>
        <v/>
      </c>
      <c r="T58" s="97"/>
      <c r="U58" s="577">
        <f>IF(OR(V7_Portefeuille!Z11="NE",V7_Portefeuille!Z11=""),"",V7_Portefeuille!Z11)</f>
        <v>0</v>
      </c>
      <c r="V58" s="47">
        <f>IF(OR(V7_Portefeuille!AA11="NE",V7_Portefeuille!AA11=""),"",V7_Portefeuille!AA11)</f>
        <v>0</v>
      </c>
      <c r="W58" s="97"/>
      <c r="X58" s="604" t="str">
        <f>IF(OR(V7_Portefeuille!AC11="NE",V7_Portefeuille!AC11=""),"",V7_Portefeuille!AC11)</f>
        <v/>
      </c>
      <c r="Z58" s="288"/>
    </row>
    <row r="59" spans="1:26" ht="43.2" x14ac:dyDescent="0.4">
      <c r="A59" s="616"/>
      <c r="B59" s="616"/>
      <c r="C59" s="616"/>
      <c r="E59" t="str">
        <f>RIGHT(F57,1)&amp;5&amp;1</f>
        <v>751</v>
      </c>
      <c r="F59" s="588"/>
      <c r="G59" s="581" t="str">
        <f>LEFT(RIGHT($E59,2),1)&amp;" : "&amp;IFERROR(VLOOKUP($E59,BDD!$A$1:$S$580,7,FALSE),"")</f>
        <v>5 : Des projets, impliquant les directions métiers, permet de suivre, recadrer, revoir la priorité ou arrêter les projets en cours, sur la base d’un reporting fiable et exhaustif, le cas échéant en actualisant les business cases.</v>
      </c>
      <c r="H59" s="97"/>
      <c r="I59" s="42" t="str">
        <f>IF(V7_Portefeuille!O12="","",V7_Portefeuille!O12)</f>
        <v>NE</v>
      </c>
      <c r="J59" s="42" t="str">
        <f>IF(V7_Portefeuille!P12="","",V7_Portefeuille!P12)</f>
        <v>NE</v>
      </c>
      <c r="K59" s="42" t="str">
        <f>IF(V7_Portefeuille!Q12="","",V7_Portefeuille!Q12)</f>
        <v>NE</v>
      </c>
      <c r="L59" s="42" t="str">
        <f>IF(V7_Portefeuille!R12="","",V7_Portefeuille!R12)</f>
        <v>NE</v>
      </c>
      <c r="M59" s="358" t="str">
        <f>IF(V7_Portefeuille!S12="","",V7_Portefeuille!S12)</f>
        <v/>
      </c>
      <c r="N59" s="358" t="str">
        <f>IF(V7_Portefeuille!T12="","",V7_Portefeuille!T12)</f>
        <v/>
      </c>
      <c r="O59" s="360" t="str">
        <f>IF(V7_Portefeuille!U12="","",V7_Portefeuille!U12)</f>
        <v/>
      </c>
      <c r="P59" s="360" t="str">
        <f>IF(V7_Portefeuille!V12="","",V7_Portefeuille!V12)</f>
        <v/>
      </c>
      <c r="Q59" s="97"/>
      <c r="R59" s="698" t="str">
        <f>IF(OR(V7_Portefeuille!W12="NE",V7_Portefeuille!W12=""),"",V7_Portefeuille!W12)</f>
        <v>N/A</v>
      </c>
      <c r="S59" s="378" t="str">
        <f>IF(OR(V7_Portefeuille!X12="NE",V7_Portefeuille!X12=""),"",V7_Portefeuille!X12)</f>
        <v/>
      </c>
      <c r="T59" s="97"/>
      <c r="U59" s="576">
        <f>IF(OR(V7_Portefeuille!Z12="NE",V7_Portefeuille!Z12=""),"",V7_Portefeuille!Z12)</f>
        <v>0</v>
      </c>
      <c r="V59" s="43">
        <f>IF(OR(V7_Portefeuille!AA12="NE",V7_Portefeuille!AA12=""),"",V7_Portefeuille!AA12)</f>
        <v>0</v>
      </c>
      <c r="W59" s="97"/>
      <c r="X59" s="604" t="str">
        <f>IF(OR(V7_Portefeuille!AC12="NE",V7_Portefeuille!AC12=""),"",V7_Portefeuille!AC12)</f>
        <v/>
      </c>
      <c r="Z59" s="288"/>
    </row>
    <row r="60" spans="1:26" ht="43.8" thickBot="1" x14ac:dyDescent="0.45">
      <c r="A60" s="616"/>
      <c r="B60" s="616"/>
      <c r="C60" s="616"/>
      <c r="E60" t="str">
        <f>RIGHT(F57,1)&amp;6&amp;1</f>
        <v>761</v>
      </c>
      <c r="F60" s="374"/>
      <c r="G60" s="582" t="str">
        <f>LEFT(RIGHT($E60,2),1)&amp;" : "&amp;IFERROR(VLOOKUP($E60,BDD!$A$1:$S$580,7,FALSE),"")</f>
        <v>6 : La direction générale fait effectuer des bilans de projet métiers, une fois le fonctionnement nominal atteint, afin d’en tirer les enseignements nécessaires et d’optimiser les processus de décision et de pilotage.</v>
      </c>
      <c r="H60" s="97"/>
      <c r="I60" s="45" t="str">
        <f>IF(V7_Portefeuille!O13="","",V7_Portefeuille!O13)</f>
        <v>NE</v>
      </c>
      <c r="J60" s="45" t="str">
        <f>IF(V7_Portefeuille!P13="","",V7_Portefeuille!P13)</f>
        <v>NE</v>
      </c>
      <c r="K60" s="45" t="str">
        <f>IF(V7_Portefeuille!Q13="","",V7_Portefeuille!Q13)</f>
        <v>NE</v>
      </c>
      <c r="L60" s="45" t="str">
        <f>IF(V7_Portefeuille!R13="","",V7_Portefeuille!R13)</f>
        <v>NE</v>
      </c>
      <c r="M60" s="45" t="str">
        <f>IF(V7_Portefeuille!S13="","",V7_Portefeuille!S13)</f>
        <v>NE</v>
      </c>
      <c r="N60" s="361" t="str">
        <f>IF(V7_Portefeuille!T13="","",V7_Portefeuille!T13)</f>
        <v/>
      </c>
      <c r="O60" s="359" t="str">
        <f>IF(V7_Portefeuille!U13="","",V7_Portefeuille!U13)</f>
        <v/>
      </c>
      <c r="P60" s="359" t="str">
        <f>IF(V7_Portefeuille!V13="","",V7_Portefeuille!V13)</f>
        <v/>
      </c>
      <c r="Q60" s="97"/>
      <c r="R60" s="699" t="str">
        <f>IF(OR(V7_Portefeuille!W13="NE",V7_Portefeuille!W13=""),"",V7_Portefeuille!W13)</f>
        <v>N/A</v>
      </c>
      <c r="S60" s="379" t="str">
        <f>IF(OR(V7_Portefeuille!X13="NE",V7_Portefeuille!X13=""),"",V7_Portefeuille!X13)</f>
        <v/>
      </c>
      <c r="T60" s="97"/>
      <c r="U60" s="577">
        <f>IF(OR(V7_Portefeuille!Z13="NE",V7_Portefeuille!Z13=""),"",V7_Portefeuille!Z13)</f>
        <v>0</v>
      </c>
      <c r="V60" s="47">
        <f>IF(OR(V7_Portefeuille!AA13="NE",V7_Portefeuille!AA13=""),"",V7_Portefeuille!AA13)</f>
        <v>0</v>
      </c>
      <c r="W60" s="97"/>
      <c r="X60" s="605" t="str">
        <f>IF(OR(V7_Portefeuille!AC13="NE",V7_Portefeuille!AC13=""),"",V7_Portefeuille!AC13)</f>
        <v/>
      </c>
      <c r="Z60" s="288"/>
    </row>
    <row r="61" spans="1:26" ht="34.950000000000003" customHeight="1" thickBot="1" x14ac:dyDescent="0.45">
      <c r="A61" s="616"/>
      <c r="B61" s="616"/>
      <c r="C61" s="616"/>
      <c r="F61" s="372"/>
      <c r="G61" s="583"/>
      <c r="R61" s="701" t="str">
        <f>IF(OR(V7_Portefeuille!W16="NE",V7_Portefeuille!W16=""),"",V7_Portefeuille!W16)</f>
        <v>N/A</v>
      </c>
      <c r="S61" s="384" t="str">
        <f>IF(OR(V7_Portefeuille!X16="NE",V7_Portefeuille!X16=""),"",V7_Portefeuille!X16)</f>
        <v/>
      </c>
      <c r="U61" s="579">
        <f>IF(OR(V7_Portefeuille!Z16="NE",V7_Portefeuille!Z16=""),"",V7_Portefeuille!Z16)</f>
        <v>0</v>
      </c>
      <c r="V61" s="381">
        <f>IF(OR(V7_Portefeuille!AA16="NE",V7_Portefeuille!AA16=""),"",V7_Portefeuille!AA16)</f>
        <v>0</v>
      </c>
      <c r="X61" s="392"/>
      <c r="Z61" s="288"/>
    </row>
    <row r="62" spans="1:26" ht="25.05" customHeight="1" x14ac:dyDescent="0.4">
      <c r="A62" s="616"/>
      <c r="B62" s="616"/>
      <c r="C62" s="616"/>
      <c r="F62" s="372"/>
      <c r="G62" s="583"/>
      <c r="I62" s="129" t="s">
        <v>3</v>
      </c>
      <c r="J62" s="129" t="s">
        <v>4</v>
      </c>
      <c r="K62" s="129" t="s">
        <v>5</v>
      </c>
      <c r="L62" s="129" t="s">
        <v>6</v>
      </c>
      <c r="M62" s="129" t="s">
        <v>7</v>
      </c>
      <c r="N62" s="129" t="s">
        <v>8</v>
      </c>
      <c r="O62" s="129" t="s">
        <v>9</v>
      </c>
      <c r="P62" s="129" t="s">
        <v>1019</v>
      </c>
      <c r="R62" s="703"/>
      <c r="X62" s="392"/>
      <c r="Z62" s="288"/>
    </row>
    <row r="63" spans="1:26" ht="30" customHeight="1" x14ac:dyDescent="0.3">
      <c r="A63" s="616"/>
      <c r="B63" s="616"/>
      <c r="C63" s="616"/>
      <c r="E63" t="str">
        <f>RIGHT(F66,1)&amp;1&amp;1</f>
        <v>811</v>
      </c>
      <c r="F63" s="373"/>
      <c r="G63" s="581" t="str">
        <f>LEFT(RIGHT($E63,2),1)&amp;" : "&amp;IFERROR(VLOOKUP($E63,BDD!$A$1:$S$580,7,FALSE),"")</f>
        <v>1 : Les objectifs métier du projet sont explicites et partagés par toutes les parties prenantes.</v>
      </c>
      <c r="H63" s="97"/>
      <c r="I63" s="49" t="str">
        <f>IF(V8_Projets!O8="","",V8_Projets!O8)</f>
        <v>NE</v>
      </c>
      <c r="J63" s="42" t="str">
        <f>IF(V8_Projets!P8="","",V8_Projets!P8)</f>
        <v>NE</v>
      </c>
      <c r="K63" s="358" t="str">
        <f>IF(V8_Projets!Q8="","",V8_Projets!Q8)</f>
        <v/>
      </c>
      <c r="L63" s="358" t="str">
        <f>IF(V8_Projets!R8="","",V8_Projets!R8)</f>
        <v/>
      </c>
      <c r="M63" s="358" t="str">
        <f>IF(V8_Projets!S8="","",V8_Projets!S8)</f>
        <v/>
      </c>
      <c r="N63" s="358" t="str">
        <f>IF(V8_Projets!T8="","",V8_Projets!T8)</f>
        <v/>
      </c>
      <c r="O63" s="358" t="str">
        <f>IF(V8_Projets!U8="","",V8_Projets!U8)</f>
        <v/>
      </c>
      <c r="P63" s="358" t="str">
        <f>IF(V8_Projets!V8="","",V8_Projets!V8)</f>
        <v/>
      </c>
      <c r="Q63" s="97"/>
      <c r="R63" s="698" t="str">
        <f>IF(OR(V8_Projets!W8="NE",V8_Projets!W8=""),"",V8_Projets!W8)</f>
        <v>N/A</v>
      </c>
      <c r="S63" s="378" t="str">
        <f>IF(OR(V8_Projets!X8="NE",V8_Projets!X8=""),"",V8_Projets!X8)</f>
        <v/>
      </c>
      <c r="T63" s="97"/>
      <c r="U63" s="576">
        <f>IF(OR(V8_Projets!Z8="NE",V8_Projets!Z8=""),"",V8_Projets!Z8)</f>
        <v>0</v>
      </c>
      <c r="V63" s="43">
        <f>IF(OR(V8_Projets!AA8="NE",V8_Projets!AA8=""),"",V8_Projets!AA8)</f>
        <v>0</v>
      </c>
      <c r="W63" s="97"/>
      <c r="X63" s="277" t="str">
        <f>"Evaluation globale du "&amp;F66</f>
        <v>Evaluation globale du Vecteur 8</v>
      </c>
      <c r="Z63" s="288"/>
    </row>
    <row r="64" spans="1:26" ht="30" customHeight="1" x14ac:dyDescent="0.4">
      <c r="A64" s="616"/>
      <c r="B64" s="616"/>
      <c r="C64" s="616"/>
      <c r="E64" t="str">
        <f>RIGHT(F66,1)&amp;2&amp;1</f>
        <v>821</v>
      </c>
      <c r="F64" s="374"/>
      <c r="G64" s="582" t="str">
        <f>LEFT(RIGHT($E64,2),1)&amp;" : "&amp;IFERROR(VLOOKUP($E64,BDD!$A$1:$S$580,7,FALSE),"")</f>
        <v>2 : Le mode de gouvernance de projet est clair, partagé et reconnu.</v>
      </c>
      <c r="H64" s="97"/>
      <c r="I64" s="45" t="str">
        <f>IF(V8_Projets!O9="","",V8_Projets!O9)</f>
        <v>NE</v>
      </c>
      <c r="J64" s="45" t="str">
        <f>IF(V8_Projets!P9="","",V8_Projets!P9)</f>
        <v>NE</v>
      </c>
      <c r="K64" s="45" t="str">
        <f>IF(V8_Projets!Q9="","",V8_Projets!Q9)</f>
        <v>NE</v>
      </c>
      <c r="L64" s="45" t="str">
        <f>IF(V8_Projets!R9="","",V8_Projets!R9)</f>
        <v>NE</v>
      </c>
      <c r="M64" s="45" t="str">
        <f>IF(V8_Projets!S9="","",V8_Projets!S9)</f>
        <v>NE</v>
      </c>
      <c r="N64" s="45" t="str">
        <f>IF(V8_Projets!T9="","",V8_Projets!T9)</f>
        <v>NE</v>
      </c>
      <c r="O64" s="359" t="str">
        <f>IF(V8_Projets!U9="","",V8_Projets!U9)</f>
        <v/>
      </c>
      <c r="P64" s="359" t="str">
        <f>IF(V8_Projets!V9="","",V8_Projets!V9)</f>
        <v/>
      </c>
      <c r="Q64" s="97"/>
      <c r="R64" s="699" t="str">
        <f>IF(OR(V8_Projets!W9="NE",V8_Projets!W9=""),"",V8_Projets!W9)</f>
        <v>N/A</v>
      </c>
      <c r="S64" s="379" t="str">
        <f>IF(OR(V8_Projets!X9="NE",V8_Projets!X9=""),"",V8_Projets!X9)</f>
        <v/>
      </c>
      <c r="T64" s="97"/>
      <c r="U64" s="577">
        <f>IF(OR(V8_Projets!Z9="NE",V8_Projets!Z9=""),"",V8_Projets!Z9)</f>
        <v>0</v>
      </c>
      <c r="V64" s="47">
        <f>IF(OR(V8_Projets!AA9="NE",V8_Projets!AA9=""),"",V8_Projets!AA9)</f>
        <v>0</v>
      </c>
      <c r="W64" s="97"/>
      <c r="X64" s="606" t="str">
        <f>IF(OR(V8_Projets!N17="NE",V8_Projets!N17=""),"",V8_Projets!N17)</f>
        <v/>
      </c>
      <c r="Z64" s="288"/>
    </row>
    <row r="65" spans="1:26" ht="30" customHeight="1" x14ac:dyDescent="0.4">
      <c r="A65" s="616"/>
      <c r="B65" s="616"/>
      <c r="C65" s="616"/>
      <c r="E65" t="str">
        <f>RIGHT(F66,1)&amp;3&amp;1</f>
        <v>831</v>
      </c>
      <c r="F65" s="374"/>
      <c r="G65" s="581" t="str">
        <f>LEFT(RIGHT($E65,2),1)&amp;" : "&amp;IFERROR(VLOOKUP($E65,BDD!$A$1:$S$580,7,FALSE),"")</f>
        <v>3 : L’équipe projet fait le choix d’une méthode de travail cohérente avec les objectifs du projet.</v>
      </c>
      <c r="H65" s="97"/>
      <c r="I65" s="42" t="str">
        <f>IF(V8_Projets!O10="","",V8_Projets!O10)</f>
        <v>NE</v>
      </c>
      <c r="J65" s="42" t="str">
        <f>IF(V8_Projets!P10="","",V8_Projets!P10)</f>
        <v>NE</v>
      </c>
      <c r="K65" s="42" t="str">
        <f>IF(V8_Projets!Q10="","",V8_Projets!Q10)</f>
        <v>NE</v>
      </c>
      <c r="L65" s="49" t="str">
        <f>IF(V8_Projets!R10="","",V8_Projets!R10)</f>
        <v>NE</v>
      </c>
      <c r="M65" s="42" t="str">
        <f>IF(V8_Projets!S10="","",V8_Projets!S10)</f>
        <v>NE</v>
      </c>
      <c r="N65" s="358" t="str">
        <f>IF(V8_Projets!T10="","",V8_Projets!T10)</f>
        <v/>
      </c>
      <c r="O65" s="360" t="str">
        <f>IF(V8_Projets!U10="","",V8_Projets!U10)</f>
        <v/>
      </c>
      <c r="P65" s="360" t="str">
        <f>IF(V8_Projets!V10="","",V8_Projets!V10)</f>
        <v/>
      </c>
      <c r="Q65" s="97"/>
      <c r="R65" s="698" t="str">
        <f>IF(OR(V8_Projets!W10="NE",V8_Projets!W10=""),"",V8_Projets!W10)</f>
        <v>N/A</v>
      </c>
      <c r="S65" s="378" t="str">
        <f>IF(OR(V8_Projets!X10="NE",V8_Projets!X10=""),"",V8_Projets!X10)</f>
        <v/>
      </c>
      <c r="T65" s="97"/>
      <c r="U65" s="576">
        <f>IF(OR(V8_Projets!Z10="NE",V8_Projets!Z10=""),"",V8_Projets!Z10)</f>
        <v>0</v>
      </c>
      <c r="V65" s="43">
        <f>IF(OR(V8_Projets!AA10="NE",V8_Projets!AA10=""),"",V8_Projets!AA10)</f>
        <v>0</v>
      </c>
      <c r="W65" s="97"/>
      <c r="X65" s="606" t="str">
        <f>IF(OR(V8_Projets!AC10="NE",V8_Projets!AC10=""),"",V8_Projets!AC10)</f>
        <v/>
      </c>
      <c r="Z65" s="288"/>
    </row>
    <row r="66" spans="1:26" ht="43.2" x14ac:dyDescent="0.3">
      <c r="A66" s="616"/>
      <c r="B66" s="616"/>
      <c r="C66" s="616"/>
      <c r="E66" t="str">
        <f>RIGHT(F66,1)&amp;4&amp;1</f>
        <v>841</v>
      </c>
      <c r="F66" s="589" t="s">
        <v>72</v>
      </c>
      <c r="G66" s="582" t="str">
        <f>LEFT(RIGHT($E66,2),1)&amp;" : "&amp;IFERROR(VLOOKUP($E66,BDD!$A$1:$S$580,7,FALSE),"")</f>
        <v>4 : La sécurité, la conformité et le contrôle interne, comme l’implication indispensable des utilisateurs finaux, sont intégrés dès la conception des produits ou solutions SI. </v>
      </c>
      <c r="H66" s="97"/>
      <c r="I66" s="45" t="str">
        <f>IF(V8_Projets!O11="","",V8_Projets!O11)</f>
        <v>NE</v>
      </c>
      <c r="J66" s="45" t="str">
        <f>IF(V8_Projets!P11="","",V8_Projets!P11)</f>
        <v>NE</v>
      </c>
      <c r="K66" s="45" t="str">
        <f>IF(V8_Projets!Q11="","",V8_Projets!Q11)</f>
        <v>NE</v>
      </c>
      <c r="L66" s="45" t="str">
        <f>IF(V8_Projets!R11="","",V8_Projets!R11)</f>
        <v>NE</v>
      </c>
      <c r="M66" s="361" t="str">
        <f>IF(V8_Projets!S11="","",V8_Projets!S11)</f>
        <v/>
      </c>
      <c r="N66" s="361" t="str">
        <f>IF(V8_Projets!T11="","",V8_Projets!T11)</f>
        <v/>
      </c>
      <c r="O66" s="359" t="str">
        <f>IF(V8_Projets!U11="","",V8_Projets!U11)</f>
        <v/>
      </c>
      <c r="P66" s="359" t="str">
        <f>IF(V8_Projets!V11="","",V8_Projets!V11)</f>
        <v/>
      </c>
      <c r="Q66" s="97"/>
      <c r="R66" s="699" t="str">
        <f>IF(OR(V8_Projets!W11="NE",V8_Projets!W11=""),"",V8_Projets!W11)</f>
        <v>N/A</v>
      </c>
      <c r="S66" s="379" t="str">
        <f>IF(OR(V8_Projets!X11="NE",V8_Projets!X11=""),"",V8_Projets!X11)</f>
        <v/>
      </c>
      <c r="T66" s="97"/>
      <c r="U66" s="577">
        <f>IF(OR(V8_Projets!Z11="NE",V8_Projets!Z11=""),"",V8_Projets!Z11)</f>
        <v>0</v>
      </c>
      <c r="V66" s="47">
        <f>IF(OR(V8_Projets!AA11="NE",V8_Projets!AA11=""),"",V8_Projets!AA11)</f>
        <v>0</v>
      </c>
      <c r="W66" s="97"/>
      <c r="X66" s="606" t="str">
        <f>IF(OR(V8_Projets!AC11="NE",V8_Projets!AC11=""),"",V8_Projets!AC11)</f>
        <v/>
      </c>
      <c r="Z66" s="288"/>
    </row>
    <row r="67" spans="1:26" ht="57.6" x14ac:dyDescent="0.3">
      <c r="A67" s="616"/>
      <c r="B67" s="616"/>
      <c r="C67" s="616"/>
      <c r="E67" t="str">
        <f>RIGHT(F66,1)&amp;5&amp;1</f>
        <v>851</v>
      </c>
      <c r="F67" s="590" t="str">
        <f>VLOOKUP(E66,BDD!$A$1:$C$667,3,FALSE)</f>
        <v>Projets</v>
      </c>
      <c r="G67" s="581" t="str">
        <f>LEFT(RIGHT($E67,2),1)&amp;" : "&amp;IFERROR(VLOOKUP($E67,BDD!$A$1:$S$580,7,FALSE),"")</f>
        <v>5 : Le pilotage du projet/produit est réalisé à l'aide d'indicateurs pertinents permettant de suivre l'avancement à chaque étape. Des dispositifs d'alerte ou d'arbitrage sont en place pour traiter les éventuelles dérives au bon niveau.</v>
      </c>
      <c r="H67" s="97"/>
      <c r="I67" s="42" t="str">
        <f>IF(V8_Projets!O12="","",V8_Projets!O12)</f>
        <v>NE</v>
      </c>
      <c r="J67" s="42" t="str">
        <f>IF(V8_Projets!P12="","",V8_Projets!P12)</f>
        <v>NE</v>
      </c>
      <c r="K67" s="42" t="str">
        <f>IF(V8_Projets!Q12="","",V8_Projets!Q12)</f>
        <v>NE</v>
      </c>
      <c r="L67" s="42" t="str">
        <f>IF(V8_Projets!R12="","",V8_Projets!R12)</f>
        <v>NE</v>
      </c>
      <c r="M67" s="42" t="str">
        <f>IF(V8_Projets!S12="","",V8_Projets!S12)</f>
        <v>NE</v>
      </c>
      <c r="N67" s="358" t="str">
        <f>IF(V8_Projets!T12="","",V8_Projets!T12)</f>
        <v/>
      </c>
      <c r="O67" s="360" t="str">
        <f>IF(V8_Projets!U12="","",V8_Projets!U12)</f>
        <v/>
      </c>
      <c r="P67" s="360" t="str">
        <f>IF(V8_Projets!V12="","",V8_Projets!V12)</f>
        <v/>
      </c>
      <c r="Q67" s="97"/>
      <c r="R67" s="698" t="str">
        <f>IF(OR(V8_Projets!W12="NE",V8_Projets!W12=""),"",V8_Projets!W12)</f>
        <v>N/A</v>
      </c>
      <c r="S67" s="378" t="str">
        <f>IF(OR(V8_Projets!X12="NE",V8_Projets!X12=""),"",V8_Projets!X12)</f>
        <v/>
      </c>
      <c r="T67" s="97"/>
      <c r="U67" s="576">
        <f>IF(OR(V8_Projets!Z12="NE",V8_Projets!Z12=""),"",V8_Projets!Z12)</f>
        <v>0</v>
      </c>
      <c r="V67" s="43">
        <f>IF(OR(V8_Projets!AA12="NE",V8_Projets!AA12=""),"",V8_Projets!AA12)</f>
        <v>0</v>
      </c>
      <c r="W67" s="97"/>
      <c r="X67" s="606" t="str">
        <f>IF(OR(V8_Projets!AC12="NE",V8_Projets!AC12=""),"",V8_Projets!AC12)</f>
        <v/>
      </c>
      <c r="Z67" s="288"/>
    </row>
    <row r="68" spans="1:26" ht="30" customHeight="1" x14ac:dyDescent="0.4">
      <c r="A68" s="616"/>
      <c r="B68" s="616"/>
      <c r="C68" s="616"/>
      <c r="E68" t="str">
        <f>RIGHT(F66,1)&amp;6&amp;1</f>
        <v>861</v>
      </c>
      <c r="F68" s="374"/>
      <c r="G68" s="582" t="str">
        <f>LEFT(RIGHT($E68,2),1)&amp;" : "&amp;IFERROR(VLOOKUP($E68,BDD!$A$1:$S$580,7,FALSE),"")</f>
        <v>6 : Les produits ou solutions développés dans le cadre du projet font l'objet d'un processus de validation formel.</v>
      </c>
      <c r="H68" s="97"/>
      <c r="I68" s="45" t="str">
        <f>IF(V8_Projets!O13="","",V8_Projets!O13)</f>
        <v>NE</v>
      </c>
      <c r="J68" s="45" t="str">
        <f>IF(V8_Projets!P13="","",V8_Projets!P13)</f>
        <v>NE</v>
      </c>
      <c r="K68" s="45" t="str">
        <f>IF(V8_Projets!Q13="","",V8_Projets!Q13)</f>
        <v>NE</v>
      </c>
      <c r="L68" s="45" t="str">
        <f>IF(V8_Projets!R13="","",V8_Projets!R13)</f>
        <v>NE</v>
      </c>
      <c r="M68" s="45" t="str">
        <f>IF(V8_Projets!S13="","",V8_Projets!S13)</f>
        <v>NE</v>
      </c>
      <c r="N68" s="361" t="str">
        <f>IF(V8_Projets!T13="","",V8_Projets!T13)</f>
        <v/>
      </c>
      <c r="O68" s="359" t="str">
        <f>IF(V8_Projets!U13="","",V8_Projets!U13)</f>
        <v/>
      </c>
      <c r="P68" s="359" t="str">
        <f>IF(V8_Projets!V13="","",V8_Projets!V13)</f>
        <v/>
      </c>
      <c r="Q68" s="97"/>
      <c r="R68" s="699" t="str">
        <f>IF(OR(V8_Projets!W13="NE",V8_Projets!W13=""),"",V8_Projets!W13)</f>
        <v>N/A</v>
      </c>
      <c r="S68" s="379" t="str">
        <f>IF(OR(V8_Projets!X13="NE",V8_Projets!X13=""),"",V8_Projets!X13)</f>
        <v/>
      </c>
      <c r="T68" s="97"/>
      <c r="U68" s="577">
        <f>IF(OR(V8_Projets!Z13="NE",V8_Projets!Z13=""),"",V8_Projets!Z13)</f>
        <v>0</v>
      </c>
      <c r="V68" s="47">
        <f>IF(OR(V8_Projets!AA13="NE",V8_Projets!AA13=""),"",V8_Projets!AA13)</f>
        <v>0</v>
      </c>
      <c r="W68" s="97"/>
      <c r="X68" s="606" t="str">
        <f>IF(OR(V8_Projets!AC13="NE",V8_Projets!AC13=""),"",V8_Projets!AC13)</f>
        <v/>
      </c>
      <c r="Z68" s="288"/>
    </row>
    <row r="69" spans="1:26" ht="30" customHeight="1" thickBot="1" x14ac:dyDescent="0.45">
      <c r="A69" s="616"/>
      <c r="B69" s="616"/>
      <c r="C69" s="616"/>
      <c r="E69" t="str">
        <f>RIGHT(F66,1)&amp;7&amp;1</f>
        <v>871</v>
      </c>
      <c r="F69" s="374"/>
      <c r="G69" s="581" t="str">
        <f>LEFT(RIGHT($E69,2),1)&amp;" : "&amp;IFERROR(VLOOKUP($E69,BDD!$A$1:$S$580,7,FALSE),"")</f>
        <v>7 : L’équipe responsable organise un bilan de projet </v>
      </c>
      <c r="H69" s="97"/>
      <c r="I69" s="42" t="str">
        <f>IF(V8_Projets!O14="","",V8_Projets!O14)</f>
        <v>NE</v>
      </c>
      <c r="J69" s="42" t="str">
        <f>IF(V8_Projets!P14="","",V8_Projets!P14)</f>
        <v>NE</v>
      </c>
      <c r="K69" s="42" t="str">
        <f>IF(V8_Projets!Q14="","",V8_Projets!Q14)</f>
        <v>NE</v>
      </c>
      <c r="L69" s="358" t="str">
        <f>IF(V8_Projets!R14="","",V8_Projets!R14)</f>
        <v/>
      </c>
      <c r="M69" s="358" t="str">
        <f>IF(V8_Projets!S14="","",V8_Projets!S14)</f>
        <v/>
      </c>
      <c r="N69" s="358" t="str">
        <f>IF(V8_Projets!T14="","",V8_Projets!T14)</f>
        <v/>
      </c>
      <c r="O69" s="360" t="str">
        <f>IF(V8_Projets!U14="","",V8_Projets!U14)</f>
        <v/>
      </c>
      <c r="P69" s="360" t="str">
        <f>IF(V8_Projets!V14="","",V8_Projets!V14)</f>
        <v/>
      </c>
      <c r="Q69" s="97"/>
      <c r="R69" s="698" t="str">
        <f>IF(OR(V8_Projets!W14="NE",V8_Projets!W14=""),"",V8_Projets!W14)</f>
        <v>N/A</v>
      </c>
      <c r="S69" s="378" t="str">
        <f>IF(OR(V8_Projets!X14="NE",V8_Projets!X14=""),"",V8_Projets!X14)</f>
        <v/>
      </c>
      <c r="T69" s="97"/>
      <c r="U69" s="576">
        <f>IF(OR(V8_Projets!Z14="NE",V8_Projets!Z14=""),"",V8_Projets!Z14)</f>
        <v>0</v>
      </c>
      <c r="V69" s="43">
        <f>IF(OR(V8_Projets!AA14="NE",V8_Projets!AA14=""),"",V8_Projets!AA14)</f>
        <v>0</v>
      </c>
      <c r="W69" s="97"/>
      <c r="X69" s="607" t="str">
        <f>IF(OR(V8_Projets!AC14="NE",V8_Projets!AC14=""),"",V8_Projets!AC14)</f>
        <v/>
      </c>
      <c r="Z69" s="288"/>
    </row>
    <row r="70" spans="1:26" ht="34.950000000000003" customHeight="1" thickBot="1" x14ac:dyDescent="0.45">
      <c r="A70" s="616"/>
      <c r="B70" s="616"/>
      <c r="C70" s="616"/>
      <c r="F70" s="372"/>
      <c r="G70" s="583"/>
      <c r="R70" s="701" t="str">
        <f>IF(OR(V8_Projets!W17="NE",V8_Projets!W17=""),"",V8_Projets!W17)</f>
        <v>N/A</v>
      </c>
      <c r="S70" s="384" t="str">
        <f>IF(OR(V8_Projets!X17="NE",V8_Projets!X17=""),"",V8_Projets!X17)</f>
        <v/>
      </c>
      <c r="U70" s="579">
        <f>IF(OR(V8_Projets!Z17="NE",V8_Projets!Z17=""),"",V8_Projets!Z17)</f>
        <v>0</v>
      </c>
      <c r="V70" s="381">
        <f>IF(OR(V8_Projets!AA17="NE",V8_Projets!AA17=""),"",V8_Projets!AA17)</f>
        <v>0</v>
      </c>
      <c r="X70" s="392"/>
      <c r="Z70" s="288"/>
    </row>
    <row r="71" spans="1:26" ht="25.05" customHeight="1" x14ac:dyDescent="0.4">
      <c r="A71" s="616"/>
      <c r="B71" s="616"/>
      <c r="C71" s="616"/>
      <c r="F71" s="372"/>
      <c r="G71" s="583"/>
      <c r="I71" s="129" t="s">
        <v>3</v>
      </c>
      <c r="J71" s="129" t="s">
        <v>4</v>
      </c>
      <c r="K71" s="129" t="s">
        <v>5</v>
      </c>
      <c r="L71" s="129" t="s">
        <v>6</v>
      </c>
      <c r="M71" s="129" t="s">
        <v>7</v>
      </c>
      <c r="N71" s="129" t="s">
        <v>8</v>
      </c>
      <c r="O71" s="129" t="s">
        <v>9</v>
      </c>
      <c r="P71" s="129" t="s">
        <v>1019</v>
      </c>
      <c r="R71" s="703"/>
      <c r="X71" s="392"/>
      <c r="Z71" s="288"/>
    </row>
    <row r="72" spans="1:26" ht="30" customHeight="1" x14ac:dyDescent="0.3">
      <c r="A72" s="616"/>
      <c r="B72" s="616"/>
      <c r="C72" s="616"/>
      <c r="E72" t="str">
        <f>RIGHT(F73,1)&amp;1&amp;1</f>
        <v>911</v>
      </c>
      <c r="F72" s="373"/>
      <c r="G72" s="581" t="str">
        <f>LEFT(RIGHT($E72,2),1)&amp;" : "&amp;IFERROR(VLOOKUP($E72,BDD!$A$1:$S$580,7,FALSE),"")</f>
        <v xml:space="preserve">1 : L'offre de services numériques proposée est claire et connue. </v>
      </c>
      <c r="H72" s="97"/>
      <c r="I72" s="49" t="str">
        <f>IF('V9_ Services'!O8="","",'V9_ Services'!O8)</f>
        <v>NE</v>
      </c>
      <c r="J72" s="42" t="str">
        <f>IF('V9_ Services'!P8="","",'V9_ Services'!P8)</f>
        <v>NE</v>
      </c>
      <c r="K72" s="42" t="str">
        <f>IF('V9_ Services'!Q8="","",'V9_ Services'!Q8)</f>
        <v>NE</v>
      </c>
      <c r="L72" s="42" t="str">
        <f>IF('V9_ Services'!R8="","",'V9_ Services'!R8)</f>
        <v>NE</v>
      </c>
      <c r="M72" s="42" t="str">
        <f>IF('V9_ Services'!S8="","",'V9_ Services'!S8)</f>
        <v>NE</v>
      </c>
      <c r="N72" s="42" t="str">
        <f>IF('V9_ Services'!T8="","",'V9_ Services'!T8)</f>
        <v>NE</v>
      </c>
      <c r="O72" s="358" t="str">
        <f>IF('V9_ Services'!U8="","",'V9_ Services'!U8)</f>
        <v/>
      </c>
      <c r="P72" s="358" t="str">
        <f>IF('V9_ Services'!V8="","",'V9_ Services'!V8)</f>
        <v/>
      </c>
      <c r="Q72" s="97"/>
      <c r="R72" s="698" t="str">
        <f>IF(OR('V9_ Services'!W8="NE",'V9_ Services'!W8=""),"",'V9_ Services'!W8)</f>
        <v>N/A</v>
      </c>
      <c r="S72" s="378" t="str">
        <f>IF(OR('V9_ Services'!X8="NE",'V9_ Services'!X8=""),"",'V9_ Services'!X8)</f>
        <v/>
      </c>
      <c r="T72" s="97"/>
      <c r="U72" s="576">
        <f>IF(OR('V9_ Services'!Z8="NE",'V9_ Services'!Z8=""),"",'V9_ Services'!Z8)</f>
        <v>0</v>
      </c>
      <c r="V72" s="43">
        <f>IF(OR('V9_ Services'!AA8="NE",'V9_ Services'!AA8=""),"",'V9_ Services'!AA8)</f>
        <v>0</v>
      </c>
      <c r="W72" s="97"/>
      <c r="X72" s="275" t="str">
        <f>"Evaluation globale du "&amp;F73</f>
        <v>Evaluation globale du Vecteur 9</v>
      </c>
      <c r="Z72" s="288"/>
    </row>
    <row r="73" spans="1:26" ht="30" customHeight="1" x14ac:dyDescent="0.4">
      <c r="A73" s="616"/>
      <c r="B73" s="616"/>
      <c r="C73" s="616"/>
      <c r="E73" t="str">
        <f>RIGHT(F73,1)&amp;2&amp;1</f>
        <v>921</v>
      </c>
      <c r="F73" s="587" t="s">
        <v>73</v>
      </c>
      <c r="G73" s="582" t="str">
        <f>LEFT(RIGHT($E73,2),1)&amp;" : "&amp;IFERROR(VLOOKUP($E73,BDD!$A$1:$S$580,7,FALSE),"")</f>
        <v>2 : La DSI a mis en place un processus de gestion structuré de la demande client pour les services existants (Run).</v>
      </c>
      <c r="H73" s="97"/>
      <c r="I73" s="45" t="str">
        <f>IF('V9_ Services'!O9="","",'V9_ Services'!O9)</f>
        <v>NE</v>
      </c>
      <c r="J73" s="45" t="str">
        <f>IF('V9_ Services'!P9="","",'V9_ Services'!P9)</f>
        <v>NE</v>
      </c>
      <c r="K73" s="45" t="str">
        <f>IF('V9_ Services'!Q9="","",'V9_ Services'!Q9)</f>
        <v>NE</v>
      </c>
      <c r="L73" s="361" t="str">
        <f>IF('V9_ Services'!R9="","",'V9_ Services'!R9)</f>
        <v/>
      </c>
      <c r="M73" s="361" t="str">
        <f>IF('V9_ Services'!S9="","",'V9_ Services'!S9)</f>
        <v/>
      </c>
      <c r="N73" s="361" t="str">
        <f>IF('V9_ Services'!T9="","",'V9_ Services'!T9)</f>
        <v/>
      </c>
      <c r="O73" s="359" t="str">
        <f>IF('V9_ Services'!U9="","",'V9_ Services'!U9)</f>
        <v/>
      </c>
      <c r="P73" s="359" t="str">
        <f>IF('V9_ Services'!V9="","",'V9_ Services'!V9)</f>
        <v/>
      </c>
      <c r="Q73" s="97"/>
      <c r="R73" s="699" t="str">
        <f>IF(OR('V9_ Services'!W9="NE",'V9_ Services'!W9=""),"",'V9_ Services'!W9)</f>
        <v>N/A</v>
      </c>
      <c r="S73" s="379" t="str">
        <f>IF(OR('V9_ Services'!X9="NE",'V9_ Services'!X9=""),"",'V9_ Services'!X9)</f>
        <v/>
      </c>
      <c r="T73" s="97"/>
      <c r="U73" s="577">
        <f>IF(OR('V9_ Services'!Z9="NE",'V9_ Services'!Z9=""),"",'V9_ Services'!Z9)</f>
        <v>0</v>
      </c>
      <c r="V73" s="47">
        <f>IF(OR('V9_ Services'!AA9="NE",'V9_ Services'!AA9=""),"",'V9_ Services'!AA9)</f>
        <v>0</v>
      </c>
      <c r="W73" s="97"/>
      <c r="X73" s="599" t="str">
        <f>IF(OR('V9_ Services'!N15="NE",'V9_ Services'!N15=""),"",'V9_ Services'!N15)</f>
        <v/>
      </c>
      <c r="Z73" s="288"/>
    </row>
    <row r="74" spans="1:26" ht="30" customHeight="1" x14ac:dyDescent="0.3">
      <c r="A74" s="616"/>
      <c r="B74" s="616"/>
      <c r="C74" s="616"/>
      <c r="E74" t="str">
        <f>RIGHT(F73,1)&amp;3&amp;1</f>
        <v>931</v>
      </c>
      <c r="F74" s="589"/>
      <c r="G74" s="581" t="str">
        <f>LEFT(RIGHT($E74,2),1)&amp;" : "&amp;IFERROR(VLOOKUP($E74,BDD!$A$1:$S$580,7,FALSE),"")</f>
        <v>3 : La DSI a mis en place des contrats de services.</v>
      </c>
      <c r="H74" s="97"/>
      <c r="I74" s="42" t="str">
        <f>IF('V9_ Services'!O10="","",'V9_ Services'!O10)</f>
        <v>NE</v>
      </c>
      <c r="J74" s="42" t="str">
        <f>IF('V9_ Services'!P10="","",'V9_ Services'!P10)</f>
        <v>NE</v>
      </c>
      <c r="K74" s="42" t="str">
        <f>IF('V9_ Services'!Q10="","",'V9_ Services'!Q10)</f>
        <v>NE</v>
      </c>
      <c r="L74" s="49" t="str">
        <f>IF('V9_ Services'!R10="","",'V9_ Services'!R10)</f>
        <v>NE</v>
      </c>
      <c r="M74" s="42" t="str">
        <f>IF('V9_ Services'!S10="","",'V9_ Services'!S10)</f>
        <v>NE</v>
      </c>
      <c r="N74" s="42" t="str">
        <f>IF('V9_ Services'!T10="","",'V9_ Services'!T10)</f>
        <v>NE</v>
      </c>
      <c r="O74" s="360" t="str">
        <f>IF('V9_ Services'!U10="","",'V9_ Services'!U10)</f>
        <v/>
      </c>
      <c r="P74" s="360" t="str">
        <f>IF('V9_ Services'!V10="","",'V9_ Services'!V10)</f>
        <v/>
      </c>
      <c r="Q74" s="97"/>
      <c r="R74" s="698" t="str">
        <f>IF(OR('V9_ Services'!W10="NE",'V9_ Services'!W10=""),"",'V9_ Services'!W10)</f>
        <v>N/A</v>
      </c>
      <c r="S74" s="378" t="str">
        <f>IF(OR('V9_ Services'!X10="NE",'V9_ Services'!X10=""),"",'V9_ Services'!X10)</f>
        <v/>
      </c>
      <c r="T74" s="97"/>
      <c r="U74" s="576">
        <f>IF(OR('V9_ Services'!Z10="NE",'V9_ Services'!Z10=""),"",'V9_ Services'!Z10)</f>
        <v>0</v>
      </c>
      <c r="V74" s="43">
        <f>IF(OR('V9_ Services'!AA10="NE",'V9_ Services'!AA10=""),"",'V9_ Services'!AA10)</f>
        <v>0</v>
      </c>
      <c r="W74" s="97"/>
      <c r="X74" s="599" t="str">
        <f>IF(OR(V10_RH!AC10="NE",V10_RH!AC10=""),"",V10_RH!AC10)</f>
        <v/>
      </c>
      <c r="Z74" s="288"/>
    </row>
    <row r="75" spans="1:26" ht="30" customHeight="1" x14ac:dyDescent="0.3">
      <c r="A75" s="616"/>
      <c r="B75" s="616"/>
      <c r="C75" s="616"/>
      <c r="E75" t="str">
        <f>RIGHT(F73,1)&amp;4&amp;1</f>
        <v>941</v>
      </c>
      <c r="F75" s="590" t="str">
        <f>VLOOKUP(E75,BDD!$A$1:$C$667,3,FALSE)</f>
        <v>Services</v>
      </c>
      <c r="G75" s="582" t="str">
        <f>LEFT(RIGHT($E75,2),1)&amp;" : "&amp;IFERROR(VLOOKUP($E75,BDD!$A$1:$S$580,7,FALSE),"")</f>
        <v>4 : La DSI pilote ses activités de production et de support à l’aide d’un tableau de bord.</v>
      </c>
      <c r="H75" s="97"/>
      <c r="I75" s="45" t="str">
        <f>IF('V9_ Services'!O11="","",'V9_ Services'!O11)</f>
        <v>NE</v>
      </c>
      <c r="J75" s="45" t="str">
        <f>IF('V9_ Services'!P11="","",'V9_ Services'!P11)</f>
        <v>NE</v>
      </c>
      <c r="K75" s="45" t="str">
        <f>IF('V9_ Services'!Q11="","",'V9_ Services'!Q11)</f>
        <v>NE</v>
      </c>
      <c r="L75" s="361" t="str">
        <f>IF('V9_ Services'!R11="","",'V9_ Services'!R11)</f>
        <v/>
      </c>
      <c r="M75" s="361" t="str">
        <f>IF('V9_ Services'!S11="","",'V9_ Services'!S11)</f>
        <v/>
      </c>
      <c r="N75" s="361" t="str">
        <f>IF('V9_ Services'!T11="","",'V9_ Services'!T11)</f>
        <v/>
      </c>
      <c r="O75" s="359" t="str">
        <f>IF('V9_ Services'!U11="","",'V9_ Services'!U11)</f>
        <v/>
      </c>
      <c r="P75" s="359" t="str">
        <f>IF('V9_ Services'!V11="","",'V9_ Services'!V11)</f>
        <v/>
      </c>
      <c r="Q75" s="97"/>
      <c r="R75" s="699" t="str">
        <f>IF(OR('V9_ Services'!W11="NE",'V9_ Services'!W11=""),"",'V9_ Services'!W11)</f>
        <v>N/A</v>
      </c>
      <c r="S75" s="379" t="str">
        <f>IF(OR('V9_ Services'!X11="NE",'V9_ Services'!X11=""),"",'V9_ Services'!X11)</f>
        <v/>
      </c>
      <c r="T75" s="97"/>
      <c r="U75" s="577">
        <f>IF(OR('V9_ Services'!Z11="NE",'V9_ Services'!Z11=""),"",'V9_ Services'!Z11)</f>
        <v>0</v>
      </c>
      <c r="V75" s="47">
        <f>IF(OR('V9_ Services'!AA11="NE",'V9_ Services'!AA11=""),"",'V9_ Services'!AA11)</f>
        <v>0</v>
      </c>
      <c r="W75" s="97"/>
      <c r="X75" s="599" t="str">
        <f>IF(OR(V10_RH!AC11="NE",V10_RH!AC11=""),"",V10_RH!AC11)</f>
        <v/>
      </c>
      <c r="Z75" s="288"/>
    </row>
    <row r="76" spans="1:26" ht="30" customHeight="1" thickBot="1" x14ac:dyDescent="0.45">
      <c r="A76" s="617"/>
      <c r="B76" s="617"/>
      <c r="C76" s="617"/>
      <c r="E76" t="str">
        <f>RIGHT(F73,1)&amp;5&amp;1</f>
        <v>951</v>
      </c>
      <c r="F76" s="374"/>
      <c r="G76" s="581" t="str">
        <f>LEFT(RIGHT($E76,2),1)&amp;" : "&amp;IFERROR(VLOOKUP($E76,BDD!$A$1:$S$580,7,FALSE),"")</f>
        <v>5 : La DSI a mis en place un processus d’amélioration continue basé sur la qualité perçue par l’utilisateur.</v>
      </c>
      <c r="H76" s="97"/>
      <c r="I76" s="42" t="str">
        <f>IF('V9_ Services'!O12="","",'V9_ Services'!O12)</f>
        <v>NE</v>
      </c>
      <c r="J76" s="42" t="str">
        <f>IF('V9_ Services'!P12="","",'V9_ Services'!P12)</f>
        <v>NE</v>
      </c>
      <c r="K76" s="42" t="str">
        <f>IF('V9_ Services'!Q12="","",'V9_ Services'!Q12)</f>
        <v>NE</v>
      </c>
      <c r="L76" s="42" t="str">
        <f>IF('V9_ Services'!R12="","",'V9_ Services'!R12)</f>
        <v>NE</v>
      </c>
      <c r="M76" s="42" t="str">
        <f>IF('V9_ Services'!S12="","",'V9_ Services'!S12)</f>
        <v>NE</v>
      </c>
      <c r="N76" s="42" t="str">
        <f>IF('V9_ Services'!T12="","",'V9_ Services'!T12)</f>
        <v>NE</v>
      </c>
      <c r="O76" s="50" t="str">
        <f>IF('V9_ Services'!U12="","",'V9_ Services'!U12)</f>
        <v>NE</v>
      </c>
      <c r="P76" s="391" t="str">
        <f>IF('V9_ Services'!V12="","",'V9_ Services'!V12)</f>
        <v/>
      </c>
      <c r="Q76" s="97"/>
      <c r="R76" s="698" t="str">
        <f>IF(OR('V9_ Services'!W12="NE",'V9_ Services'!W12=""),"",'V9_ Services'!W12)</f>
        <v>N/A</v>
      </c>
      <c r="S76" s="378" t="str">
        <f>IF(OR('V9_ Services'!X12="NE",'V9_ Services'!X12=""),"",'V9_ Services'!X12)</f>
        <v/>
      </c>
      <c r="T76" s="97"/>
      <c r="U76" s="576">
        <f>IF(OR('V9_ Services'!Z12="NE",'V9_ Services'!Z12=""),"",'V9_ Services'!Z12)</f>
        <v>0</v>
      </c>
      <c r="V76" s="43">
        <f>IF(OR('V9_ Services'!AA12="NE",'V9_ Services'!AA12=""),"",'V9_ Services'!AA12)</f>
        <v>0</v>
      </c>
      <c r="W76" s="97"/>
      <c r="X76" s="608" t="str">
        <f>IF(OR(V10_RH!AC12="NE",V10_RH!AC12=""),"",V10_RH!AC12)</f>
        <v/>
      </c>
      <c r="Z76" s="288"/>
    </row>
    <row r="77" spans="1:26" ht="34.950000000000003" customHeight="1" thickBot="1" x14ac:dyDescent="0.45">
      <c r="A77" s="288"/>
      <c r="B77" s="288"/>
      <c r="C77" s="289"/>
      <c r="F77" s="372"/>
      <c r="G77" s="583"/>
      <c r="R77" s="701" t="str">
        <f>IF(OR('V9_ Services'!W15="NE",'V9_ Services'!W15=""),"",'V9_ Services'!W15)</f>
        <v>N/A</v>
      </c>
      <c r="S77" s="384" t="str">
        <f>IF(OR('V9_ Services'!X15="NE",'V9_ Services'!X15=""),"",'V9_ Services'!X15)</f>
        <v/>
      </c>
      <c r="U77" s="579">
        <f>IF(OR('V9_ Services'!Z15="NE",'V9_ Services'!Z15=""),"",'V9_ Services'!Z15)</f>
        <v>0</v>
      </c>
      <c r="V77" s="381">
        <f>IF(OR('V9_ Services'!AA15="NE",'V9_ Services'!AA15=""),"",'V9_ Services'!AA15)</f>
        <v>0</v>
      </c>
      <c r="X77" s="392"/>
      <c r="Z77" s="288"/>
    </row>
    <row r="78" spans="1:26" ht="25.05" customHeight="1" thickBot="1" x14ac:dyDescent="0.45">
      <c r="A78" s="288"/>
      <c r="B78" s="288"/>
      <c r="C78" s="289"/>
      <c r="F78" s="372"/>
      <c r="G78" s="583"/>
      <c r="I78" s="129" t="s">
        <v>3</v>
      </c>
      <c r="J78" s="129" t="s">
        <v>4</v>
      </c>
      <c r="K78" s="129" t="s">
        <v>5</v>
      </c>
      <c r="L78" s="129" t="s">
        <v>6</v>
      </c>
      <c r="M78" s="129" t="s">
        <v>7</v>
      </c>
      <c r="N78" s="129" t="s">
        <v>8</v>
      </c>
      <c r="O78" s="129" t="s">
        <v>9</v>
      </c>
      <c r="P78" s="129" t="s">
        <v>1019</v>
      </c>
      <c r="R78" s="703"/>
      <c r="X78" s="392"/>
      <c r="Z78" s="288"/>
    </row>
    <row r="79" spans="1:26" ht="43.2" customHeight="1" x14ac:dyDescent="0.3">
      <c r="A79" s="609" t="s">
        <v>646</v>
      </c>
      <c r="B79" s="609"/>
      <c r="C79" s="609"/>
      <c r="E79" t="str">
        <f>RIGHT(F81,2)&amp;1&amp;1</f>
        <v>1011</v>
      </c>
      <c r="F79" s="375"/>
      <c r="G79" s="581" t="str">
        <f>LEFT(RIGHT($E79,2),1)&amp;" : "&amp;IFERROR(VLOOKUP($E79,BDD!$A$1:$S$580,7,FALSE),"")</f>
        <v>1 : La gestion des ressources humaines du numérique permet de garantir le fonctionnement des systèmes actuels et d’anticiper les besoins futurs de l’organisation.</v>
      </c>
      <c r="H79" s="123"/>
      <c r="I79" s="49" t="str">
        <f>IF(V10_RH!O8="","",V10_RH!O8)</f>
        <v>NE</v>
      </c>
      <c r="J79" s="42" t="str">
        <f>IF(V10_RH!P8="","",V10_RH!P8)</f>
        <v>NE</v>
      </c>
      <c r="K79" s="42" t="str">
        <f>IF(V10_RH!Q8="","",V10_RH!Q8)</f>
        <v>NE</v>
      </c>
      <c r="L79" s="42" t="str">
        <f>IF(V10_RH!R8="","",V10_RH!R8)</f>
        <v>NE</v>
      </c>
      <c r="M79" s="42" t="str">
        <f>IF(V10_RH!S8="","",V10_RH!S8)</f>
        <v>NE</v>
      </c>
      <c r="N79" s="42" t="str">
        <f>IF(V10_RH!T8="","",V10_RH!T8)</f>
        <v>NE</v>
      </c>
      <c r="O79" s="358" t="str">
        <f>IF(V10_RH!U8="","",V10_RH!U8)</f>
        <v/>
      </c>
      <c r="P79" s="358" t="str">
        <f>IF(V10_RH!V8="","",V10_RH!V8)</f>
        <v/>
      </c>
      <c r="Q79" s="123"/>
      <c r="R79" s="698" t="str">
        <f>IF(OR(V10_RH!W8="NE",V10_RH!W8=""),"",V10_RH!W8)</f>
        <v>N/A</v>
      </c>
      <c r="S79" s="378" t="str">
        <f>IF(OR(V10_RH!X8="NE",V10_RH!X8=""),"",V10_RH!X8)</f>
        <v/>
      </c>
      <c r="T79" s="123"/>
      <c r="U79" s="576">
        <f>IF(OR(V10_RH!Z8="NE",V10_RH!Z8=""),"",V10_RH!Z8)</f>
        <v>0</v>
      </c>
      <c r="V79" s="43">
        <f>IF(OR(V10_RH!AA8="NE",V10_RH!AA8=""),"",V10_RH!AA8)</f>
        <v>0</v>
      </c>
      <c r="W79" s="123"/>
      <c r="X79" s="278" t="str">
        <f>"Evaluation globale du "&amp;F81</f>
        <v>Evaluation globale du Vecteur 10</v>
      </c>
      <c r="Z79" s="288"/>
    </row>
    <row r="80" spans="1:26" ht="30" customHeight="1" x14ac:dyDescent="0.3">
      <c r="A80" s="610"/>
      <c r="B80" s="610"/>
      <c r="C80" s="610"/>
      <c r="E80" t="str">
        <f>RIGHT(F81,2)&amp;2&amp;1</f>
        <v>1021</v>
      </c>
      <c r="F80" s="376"/>
      <c r="G80" s="582" t="str">
        <f>LEFT(RIGHT($E80,2),1)&amp;" : "&amp;IFERROR(VLOOKUP($E80,BDD!$A$1:$S$580,7,FALSE),"")</f>
        <v>2 : Un référentiel des compétences requises est formalisé.</v>
      </c>
      <c r="H80" s="123"/>
      <c r="I80" s="45" t="str">
        <f>IF(V10_RH!O9="","",V10_RH!O9)</f>
        <v>NE</v>
      </c>
      <c r="J80" s="45" t="str">
        <f>IF(V10_RH!P9="","",V10_RH!P9)</f>
        <v>NE</v>
      </c>
      <c r="K80" s="45" t="str">
        <f>IF(V10_RH!Q9="","",V10_RH!Q9)</f>
        <v>NE</v>
      </c>
      <c r="L80" s="361" t="str">
        <f>IF(V10_RH!R9="","",V10_RH!R9)</f>
        <v/>
      </c>
      <c r="M80" s="361" t="str">
        <f>IF(V10_RH!S9="","",V10_RH!S9)</f>
        <v/>
      </c>
      <c r="N80" s="361" t="str">
        <f>IF(V10_RH!T9="","",V10_RH!T9)</f>
        <v/>
      </c>
      <c r="O80" s="359" t="str">
        <f>IF(V10_RH!U9="","",V10_RH!U9)</f>
        <v/>
      </c>
      <c r="P80" s="359" t="str">
        <f>IF(V10_RH!V9="","",V10_RH!V9)</f>
        <v/>
      </c>
      <c r="Q80" s="123"/>
      <c r="R80" s="699" t="str">
        <f>IF(OR(V10_RH!W9="NE",V10_RH!W9=""),"",V10_RH!W9)</f>
        <v>N/A</v>
      </c>
      <c r="S80" s="379" t="str">
        <f>IF(OR(V10_RH!X9="NE",V10_RH!X9=""),"",V10_RH!X9)</f>
        <v/>
      </c>
      <c r="T80" s="123"/>
      <c r="U80" s="577">
        <f>IF(OR(V10_RH!Z9="NE",V10_RH!Z9=""),"",V10_RH!Z9)</f>
        <v>0</v>
      </c>
      <c r="V80" s="47">
        <f>IF(OR(V10_RH!AA9="NE",V10_RH!AA9=""),"",V10_RH!AA9)</f>
        <v>0</v>
      </c>
      <c r="W80" s="123"/>
      <c r="X80" s="601" t="str">
        <f>IF(OR(V10_RH!N16="NE",V10_RH!N16=""),"",V10_RH!N16)</f>
        <v/>
      </c>
      <c r="Z80" s="288"/>
    </row>
    <row r="81" spans="1:26" ht="43.2" x14ac:dyDescent="0.3">
      <c r="A81" s="610"/>
      <c r="B81" s="610"/>
      <c r="C81" s="610"/>
      <c r="E81" t="str">
        <f>RIGHT(F81,2)&amp;3&amp;1</f>
        <v>1031</v>
      </c>
      <c r="F81" s="591" t="s">
        <v>74</v>
      </c>
      <c r="G81" s="581" t="str">
        <f>LEFT(RIGHT($E81,2),1)&amp;" : "&amp;IFERROR(VLOOKUP($E81,BDD!$A$1:$S$580,7,FALSE),"")</f>
        <v>3 : Un plan d’adéquation des compétences aux besoins actuels et futurs de l'organisation est formalisé et mis en place, et il s'intègre dans le processus RH de l'organisation.</v>
      </c>
      <c r="H81" s="123" t="s">
        <v>164</v>
      </c>
      <c r="I81" s="42" t="str">
        <f>IF(V10_RH!O10="","",V10_RH!O10)</f>
        <v>NE</v>
      </c>
      <c r="J81" s="42" t="str">
        <f>IF(V10_RH!P10="","",V10_RH!P10)</f>
        <v>NE</v>
      </c>
      <c r="K81" s="42" t="str">
        <f>IF(V10_RH!Q10="","",V10_RH!Q10)</f>
        <v>NE</v>
      </c>
      <c r="L81" s="362" t="str">
        <f>IF(V10_RH!R10="","",V10_RH!R10)</f>
        <v/>
      </c>
      <c r="M81" s="358" t="str">
        <f>IF(V10_RH!S10="","",V10_RH!S10)</f>
        <v/>
      </c>
      <c r="N81" s="358" t="str">
        <f>IF(V10_RH!T10="","",V10_RH!T10)</f>
        <v/>
      </c>
      <c r="O81" s="360" t="str">
        <f>IF(V10_RH!U10="","",V10_RH!U10)</f>
        <v/>
      </c>
      <c r="P81" s="360" t="str">
        <f>IF(V10_RH!V10="","",V10_RH!V10)</f>
        <v/>
      </c>
      <c r="Q81" s="123"/>
      <c r="R81" s="698" t="str">
        <f>IF(OR(V10_RH!W10="NE",V10_RH!W10=""),"",V10_RH!W10)</f>
        <v>N/A</v>
      </c>
      <c r="S81" s="378" t="str">
        <f>IF(OR(V10_RH!X10="NE",V10_RH!X10=""),"",V10_RH!X10)</f>
        <v/>
      </c>
      <c r="T81" s="123"/>
      <c r="U81" s="576">
        <f>IF(OR(V10_RH!Z10="NE",V10_RH!Z10=""),"",V10_RH!Z10)</f>
        <v>0</v>
      </c>
      <c r="V81" s="43">
        <f>IF(OR(V10_RH!AA10="NE",V10_RH!AA10=""),"",V10_RH!AA10)</f>
        <v>0</v>
      </c>
      <c r="W81" s="123"/>
      <c r="X81" s="602" t="str">
        <f>IF(OR('V11_Presta&amp;Fournisseurs'!AC10="NE",'V11_Presta&amp;Fournisseurs'!AC10=""),"",'V11_Presta&amp;Fournisseurs'!AC10)</f>
        <v/>
      </c>
      <c r="Z81" s="288"/>
    </row>
    <row r="82" spans="1:26" ht="30" customHeight="1" x14ac:dyDescent="0.3">
      <c r="A82" s="610"/>
      <c r="B82" s="610"/>
      <c r="C82" s="610"/>
      <c r="E82" t="str">
        <f>RIGHT(F81,2)&amp;4&amp;1</f>
        <v>1041</v>
      </c>
      <c r="F82" s="375" t="str">
        <f>VLOOKUP(E82,BDD!$A$1:$C$667,3,FALSE)</f>
        <v xml:space="preserve">Ressources humaines </v>
      </c>
      <c r="G82" s="582" t="str">
        <f>LEFT(RIGHT($E82,2),1)&amp;" : "&amp;IFERROR(VLOOKUP($E82,BDD!$A$1:$S$580,7,FALSE),"")</f>
        <v>4 : L’évaluation des compétences et des performances est réalisée.</v>
      </c>
      <c r="H82" s="123"/>
      <c r="I82" s="45" t="str">
        <f>IF(V10_RH!O11="","",V10_RH!O11)</f>
        <v>NE</v>
      </c>
      <c r="J82" s="45" t="str">
        <f>IF(V10_RH!P11="","",V10_RH!P11)</f>
        <v>NE</v>
      </c>
      <c r="K82" s="45" t="str">
        <f>IF(V10_RH!Q11="","",V10_RH!Q11)</f>
        <v>NE</v>
      </c>
      <c r="L82" s="45" t="str">
        <f>IF(V10_RH!R11="","",V10_RH!R11)</f>
        <v>NE</v>
      </c>
      <c r="M82" s="45" t="str">
        <f>IF(V10_RH!S11="","",V10_RH!S11)</f>
        <v>NE</v>
      </c>
      <c r="N82" s="45" t="str">
        <f>IF(V10_RH!T11="","",V10_RH!T11)</f>
        <v>NE</v>
      </c>
      <c r="O82" s="359" t="str">
        <f>IF(V10_RH!U11="","",V10_RH!U11)</f>
        <v/>
      </c>
      <c r="P82" s="359" t="str">
        <f>IF(V10_RH!V11="","",V10_RH!V11)</f>
        <v/>
      </c>
      <c r="Q82" s="123"/>
      <c r="R82" s="699" t="str">
        <f>IF(OR(V10_RH!W11="NE",V10_RH!W11=""),"",V10_RH!W11)</f>
        <v>N/A</v>
      </c>
      <c r="S82" s="379" t="str">
        <f>IF(OR(V10_RH!X11="NE",V10_RH!X11=""),"",V10_RH!X11)</f>
        <v/>
      </c>
      <c r="T82" s="123"/>
      <c r="U82" s="577">
        <f>IF(OR(V10_RH!Z11="NE",V10_RH!Z11=""),"",V10_RH!Z11)</f>
        <v>0</v>
      </c>
      <c r="V82" s="47">
        <f>IF(OR(V10_RH!AA11="NE",V10_RH!AA11=""),"",V10_RH!AA11)</f>
        <v>0</v>
      </c>
      <c r="W82" s="123"/>
      <c r="X82" s="602" t="str">
        <f>IF(OR('V11_Presta&amp;Fournisseurs'!AC11="NE",'V11_Presta&amp;Fournisseurs'!AC11=""),"",'V11_Presta&amp;Fournisseurs'!AC11)</f>
        <v/>
      </c>
      <c r="Z82" s="288"/>
    </row>
    <row r="83" spans="1:26" ht="30" customHeight="1" x14ac:dyDescent="0.4">
      <c r="A83" s="610"/>
      <c r="B83" s="610"/>
      <c r="C83" s="610"/>
      <c r="E83" t="str">
        <f>RIGHT(F81,2)&amp;5&amp;1</f>
        <v>1051</v>
      </c>
      <c r="F83" s="377"/>
      <c r="G83" s="581" t="str">
        <f>LEFT(RIGHT($E83,2),1)&amp;" : "&amp;IFERROR(VLOOKUP($E83,BDD!$A$1:$S$580,7,FALSE),"")</f>
        <v>5 : Un plan de recrutement est défini et mis en œuvre pour répondre aux besoins en ressources de la DSI.</v>
      </c>
      <c r="H83" s="123"/>
      <c r="I83" s="42" t="str">
        <f>IF(V10_RH!O12="","",V10_RH!O12)</f>
        <v>NE</v>
      </c>
      <c r="J83" s="42" t="str">
        <f>IF(V10_RH!P12="","",V10_RH!P12)</f>
        <v>NE</v>
      </c>
      <c r="K83" s="42" t="str">
        <f>IF(V10_RH!Q12="","",V10_RH!Q12)</f>
        <v>NE</v>
      </c>
      <c r="L83" s="358" t="str">
        <f>IF(V10_RH!R12="","",V10_RH!R12)</f>
        <v/>
      </c>
      <c r="M83" s="358" t="str">
        <f>IF(V10_RH!S12="","",V10_RH!S12)</f>
        <v/>
      </c>
      <c r="N83" s="358" t="str">
        <f>IF(V10_RH!T12="","",V10_RH!T12)</f>
        <v/>
      </c>
      <c r="O83" s="360" t="str">
        <f>IF(V10_RH!U12="","",V10_RH!U12)</f>
        <v/>
      </c>
      <c r="P83" s="360" t="str">
        <f>IF(V10_RH!V12="","",V10_RH!V12)</f>
        <v/>
      </c>
      <c r="Q83" s="123"/>
      <c r="R83" s="698" t="str">
        <f>IF(OR(V10_RH!W12="NE",V10_RH!W12=""),"",V10_RH!W12)</f>
        <v>N/A</v>
      </c>
      <c r="S83" s="378" t="str">
        <f>IF(OR(V10_RH!X12="NE",V10_RH!X12=""),"",V10_RH!X12)</f>
        <v/>
      </c>
      <c r="T83" s="123"/>
      <c r="U83" s="576">
        <f>IF(OR(V10_RH!Z12="NE",V10_RH!Z12=""),"",V10_RH!Z12)</f>
        <v>0</v>
      </c>
      <c r="V83" s="43">
        <f>IF(OR(V10_RH!AA12="NE",V10_RH!AA12=""),"",V10_RH!AA12)</f>
        <v>0</v>
      </c>
      <c r="W83" s="123"/>
      <c r="X83" s="602" t="str">
        <f>IF(OR('V11_Presta&amp;Fournisseurs'!AC12="NE",'V11_Presta&amp;Fournisseurs'!AC12=""),"",'V11_Presta&amp;Fournisseurs'!AC12)</f>
        <v/>
      </c>
      <c r="Z83" s="288"/>
    </row>
    <row r="84" spans="1:26" ht="30" customHeight="1" thickBot="1" x14ac:dyDescent="0.45">
      <c r="A84" s="610"/>
      <c r="B84" s="610"/>
      <c r="C84" s="610"/>
      <c r="E84" t="str">
        <f>RIGHT(F81,2)&amp;6&amp;1</f>
        <v>1061</v>
      </c>
      <c r="F84" s="377"/>
      <c r="G84" s="582" t="str">
        <f>LEFT(RIGHT($E84,2),1)&amp;" : "&amp;IFERROR(VLOOKUP($E84,BDD!$A$1:$S$580,7,FALSE),"")</f>
        <v>6 : Une stratégie de développement des compétences numériques est définie</v>
      </c>
      <c r="H84" s="123"/>
      <c r="I84" s="45" t="str">
        <f>IF(V10_RH!O13="","",V10_RH!O13)</f>
        <v>NE</v>
      </c>
      <c r="J84" s="45" t="str">
        <f>IF(V10_RH!P13="","",V10_RH!P13)</f>
        <v>NE</v>
      </c>
      <c r="K84" s="45" t="str">
        <f>IF(V10_RH!Q13="","",V10_RH!Q13)</f>
        <v>NE</v>
      </c>
      <c r="L84" s="45" t="str">
        <f>IF(V10_RH!R13="","",V10_RH!R13)</f>
        <v>NE</v>
      </c>
      <c r="M84" s="45" t="str">
        <f>IF(V10_RH!S13="","",V10_RH!S13)</f>
        <v>NE</v>
      </c>
      <c r="N84" s="45" t="str">
        <f>IF(V10_RH!T13="","",V10_RH!T13)</f>
        <v>NE</v>
      </c>
      <c r="O84" s="359" t="str">
        <f>IF(V10_RH!U13="","",V10_RH!U13)</f>
        <v/>
      </c>
      <c r="P84" s="359" t="str">
        <f>IF(V10_RH!V13="","",V10_RH!V13)</f>
        <v/>
      </c>
      <c r="Q84" s="123"/>
      <c r="R84" s="699" t="str">
        <f>IF(OR(V10_RH!W13="NE",V10_RH!W13=""),"",V10_RH!W13)</f>
        <v>N/A</v>
      </c>
      <c r="S84" s="379" t="str">
        <f>IF(OR(V10_RH!X13="NE",V10_RH!X13=""),"",V10_RH!X13)</f>
        <v/>
      </c>
      <c r="T84" s="123"/>
      <c r="U84" s="577">
        <f>IF(OR(V10_RH!Z13="NE",V10_RH!Z13=""),"",V10_RH!Z13)</f>
        <v>0</v>
      </c>
      <c r="V84" s="47">
        <f>IF(OR(V10_RH!AA13="NE",V10_RH!AA13=""),"",V10_RH!AA13)</f>
        <v>0</v>
      </c>
      <c r="W84" s="123"/>
      <c r="X84" s="611" t="str">
        <f>IF(OR('V11_Presta&amp;Fournisseurs'!AC13="NE",'V11_Presta&amp;Fournisseurs'!AC13=""),"",'V11_Presta&amp;Fournisseurs'!AC13)</f>
        <v/>
      </c>
      <c r="Z84" s="288"/>
    </row>
    <row r="85" spans="1:26" ht="34.950000000000003" customHeight="1" thickBot="1" x14ac:dyDescent="0.45">
      <c r="A85" s="610"/>
      <c r="B85" s="610"/>
      <c r="C85" s="610"/>
      <c r="F85" s="372"/>
      <c r="G85" s="583"/>
      <c r="R85" s="702" t="str">
        <f>IF(OR(V10_RH!W16="NE",V10_RH!W16=""),"",V10_RH!W16)</f>
        <v>N/A</v>
      </c>
      <c r="S85" s="385" t="str">
        <f>IF(OR(V10_RH!X16="NE",V10_RH!X16=""),"",V10_RH!X16)</f>
        <v/>
      </c>
      <c r="U85" s="580">
        <f>IF(OR(V10_RH!Z16="NE",V10_RH!Z16=""),"",V10_RH!Z16)</f>
        <v>0</v>
      </c>
      <c r="V85" s="382">
        <f>IF(OR(V10_RH!AA16="NE",V10_RH!AA16=""),"",V10_RH!AA16)</f>
        <v>0</v>
      </c>
      <c r="X85" s="392"/>
      <c r="Z85" s="288"/>
    </row>
    <row r="86" spans="1:26" ht="25.05" customHeight="1" x14ac:dyDescent="0.4">
      <c r="A86" s="610"/>
      <c r="B86" s="610"/>
      <c r="C86" s="610"/>
      <c r="F86" s="372"/>
      <c r="G86" s="583"/>
      <c r="I86" s="129" t="s">
        <v>3</v>
      </c>
      <c r="J86" s="129" t="s">
        <v>4</v>
      </c>
      <c r="K86" s="129" t="s">
        <v>5</v>
      </c>
      <c r="L86" s="129" t="s">
        <v>6</v>
      </c>
      <c r="M86" s="129" t="s">
        <v>7</v>
      </c>
      <c r="N86" s="129" t="s">
        <v>8</v>
      </c>
      <c r="O86" s="129" t="s">
        <v>9</v>
      </c>
      <c r="P86" s="129" t="s">
        <v>1019</v>
      </c>
      <c r="R86" s="703"/>
      <c r="X86" s="392"/>
      <c r="Z86" s="288"/>
    </row>
    <row r="87" spans="1:26" ht="30" customHeight="1" x14ac:dyDescent="0.3">
      <c r="A87" s="610"/>
      <c r="B87" s="610"/>
      <c r="C87" s="610"/>
      <c r="E87" t="str">
        <f>RIGHT(F89,2)&amp;1&amp;1</f>
        <v>1111</v>
      </c>
      <c r="F87" s="375"/>
      <c r="G87" s="581" t="str">
        <f>LEFT(RIGHT($E87,2),1)&amp;" : "&amp;IFERROR(VLOOKUP($E87,BDD!$A$1:$S$580,7,FALSE),"")</f>
        <v>1 : Une stratégie de Make or Buy et la gouvernance associée ont été définies</v>
      </c>
      <c r="H87" s="123"/>
      <c r="I87" s="49" t="str">
        <f>IF('V11_Presta&amp;Fournisseurs'!O8="","",'V11_Presta&amp;Fournisseurs'!O8)</f>
        <v>NE</v>
      </c>
      <c r="J87" s="42" t="str">
        <f>IF('V11_Presta&amp;Fournisseurs'!P8="","",'V11_Presta&amp;Fournisseurs'!P8)</f>
        <v>NE</v>
      </c>
      <c r="K87" s="358" t="str">
        <f>IF('V11_Presta&amp;Fournisseurs'!Q8="","",'V11_Presta&amp;Fournisseurs'!Q8)</f>
        <v/>
      </c>
      <c r="L87" s="358" t="str">
        <f>IF('V11_Presta&amp;Fournisseurs'!R8="","",'V11_Presta&amp;Fournisseurs'!R8)</f>
        <v/>
      </c>
      <c r="M87" s="358" t="str">
        <f>IF('V11_Presta&amp;Fournisseurs'!S8="","",'V11_Presta&amp;Fournisseurs'!S8)</f>
        <v/>
      </c>
      <c r="N87" s="358" t="str">
        <f>IF('V11_Presta&amp;Fournisseurs'!T8="","",'V11_Presta&amp;Fournisseurs'!T8)</f>
        <v/>
      </c>
      <c r="O87" s="358" t="str">
        <f>IF('V11_Presta&amp;Fournisseurs'!U8="","",'V11_Presta&amp;Fournisseurs'!U8)</f>
        <v/>
      </c>
      <c r="P87" s="358" t="str">
        <f>IF('V11_Presta&amp;Fournisseurs'!V8="","",'V11_Presta&amp;Fournisseurs'!V8)</f>
        <v/>
      </c>
      <c r="Q87" s="123"/>
      <c r="R87" s="698" t="str">
        <f>IF(OR('V11_Presta&amp;Fournisseurs'!W8="NE",'V11_Presta&amp;Fournisseurs'!W8=""),"",'V11_Presta&amp;Fournisseurs'!W8)</f>
        <v>N/A</v>
      </c>
      <c r="S87" s="378" t="str">
        <f>IF(OR('V11_Presta&amp;Fournisseurs'!X8="NE",'V11_Presta&amp;Fournisseurs'!X8=""),"",'V11_Presta&amp;Fournisseurs'!X8)</f>
        <v/>
      </c>
      <c r="T87" s="123"/>
      <c r="U87" s="576">
        <f>IF(OR('V11_Presta&amp;Fournisseurs'!Z8="NE",'V11_Presta&amp;Fournisseurs'!Z8=""),"",'V11_Presta&amp;Fournisseurs'!Z8)</f>
        <v>0</v>
      </c>
      <c r="V87" s="43">
        <f>IF(OR('V11_Presta&amp;Fournisseurs'!AA8="NE",'V11_Presta&amp;Fournisseurs'!AA8=""),"",'V11_Presta&amp;Fournisseurs'!AA8)</f>
        <v>0</v>
      </c>
      <c r="W87" s="123"/>
      <c r="X87" s="259" t="str">
        <f>"Evaluation globale du "&amp;F89</f>
        <v>Evaluation globale du Vecteur 11</v>
      </c>
      <c r="Z87" s="288"/>
    </row>
    <row r="88" spans="1:26" ht="30" customHeight="1" x14ac:dyDescent="0.3">
      <c r="A88" s="610"/>
      <c r="B88" s="610"/>
      <c r="C88" s="610"/>
      <c r="E88" t="str">
        <f>RIGHT(F89,2)&amp;2&amp;1</f>
        <v>1121</v>
      </c>
      <c r="F88" s="376"/>
      <c r="G88" s="582" t="str">
        <f>LEFT(RIGHT($E88,2),1)&amp;" : "&amp;IFERROR(VLOOKUP($E88,BDD!$A$1:$S$580,7,FALSE),"")</f>
        <v>2 : Pour chacune des activités candidates à l'externalisation, une étude d'opportunité et de faisabilité est réalisée.</v>
      </c>
      <c r="H88" s="123"/>
      <c r="I88" s="45" t="str">
        <f>IF('V11_Presta&amp;Fournisseurs'!O9="","",'V11_Presta&amp;Fournisseurs'!O9)</f>
        <v>NE</v>
      </c>
      <c r="J88" s="45" t="str">
        <f>IF('V11_Presta&amp;Fournisseurs'!P9="","",'V11_Presta&amp;Fournisseurs'!P9)</f>
        <v>NE</v>
      </c>
      <c r="K88" s="45" t="str">
        <f>IF('V11_Presta&amp;Fournisseurs'!Q9="","",'V11_Presta&amp;Fournisseurs'!Q9)</f>
        <v>NE</v>
      </c>
      <c r="L88" s="45" t="str">
        <f>IF('V11_Presta&amp;Fournisseurs'!R9="","",'V11_Presta&amp;Fournisseurs'!R9)</f>
        <v>NE</v>
      </c>
      <c r="M88" s="45" t="str">
        <f>IF('V11_Presta&amp;Fournisseurs'!S9="","",'V11_Presta&amp;Fournisseurs'!S9)</f>
        <v>NE</v>
      </c>
      <c r="N88" s="45" t="str">
        <f>IF('V11_Presta&amp;Fournisseurs'!T9="","",'V11_Presta&amp;Fournisseurs'!T9)</f>
        <v>NE</v>
      </c>
      <c r="O88" s="359" t="str">
        <f>IF('V11_Presta&amp;Fournisseurs'!U9="","",'V11_Presta&amp;Fournisseurs'!U9)</f>
        <v/>
      </c>
      <c r="P88" s="359" t="str">
        <f>IF('V11_Presta&amp;Fournisseurs'!V9="","",'V11_Presta&amp;Fournisseurs'!V9)</f>
        <v/>
      </c>
      <c r="Q88" s="123"/>
      <c r="R88" s="699" t="str">
        <f>IF(OR('V11_Presta&amp;Fournisseurs'!W9="NE",'V11_Presta&amp;Fournisseurs'!W9=""),"",'V11_Presta&amp;Fournisseurs'!W9)</f>
        <v>N/A</v>
      </c>
      <c r="S88" s="379" t="str">
        <f>IF(OR('V11_Presta&amp;Fournisseurs'!X9="NE",'V11_Presta&amp;Fournisseurs'!X9=""),"",'V11_Presta&amp;Fournisseurs'!X9)</f>
        <v/>
      </c>
      <c r="T88" s="123"/>
      <c r="U88" s="577">
        <f>IF(OR('V11_Presta&amp;Fournisseurs'!Z9="NE",'V11_Presta&amp;Fournisseurs'!Z9=""),"",'V11_Presta&amp;Fournisseurs'!Z9)</f>
        <v>0</v>
      </c>
      <c r="V88" s="47">
        <f>IF(OR('V11_Presta&amp;Fournisseurs'!AA9="NE",'V11_Presta&amp;Fournisseurs'!AA9=""),"",'V11_Presta&amp;Fournisseurs'!AA9)</f>
        <v>0</v>
      </c>
      <c r="W88" s="123"/>
      <c r="X88" s="612" t="str">
        <f>IF(OR('V11_Presta&amp;Fournisseurs'!N17="NE",'V11_Presta&amp;Fournisseurs'!N17=""),"",'V11_Presta&amp;Fournisseurs'!N17)</f>
        <v/>
      </c>
      <c r="Z88" s="288"/>
    </row>
    <row r="89" spans="1:26" ht="43.2" x14ac:dyDescent="0.4">
      <c r="A89" s="610"/>
      <c r="B89" s="610"/>
      <c r="C89" s="610"/>
      <c r="E89" t="str">
        <f>RIGHT(F89,2)&amp;3&amp;1</f>
        <v>1131</v>
      </c>
      <c r="F89" s="594" t="s">
        <v>75</v>
      </c>
      <c r="G89" s="581" t="str">
        <f>LEFT(RIGHT($E89,2),1)&amp;" : "&amp;IFERROR(VLOOKUP($E89,BDD!$A$1:$S$580,7,FALSE),"")</f>
        <v>3 : Pour tous les achats numériques (services externalisés, prestation de services, achats de logiciels ou de matériels), un processus de sélection et de contractualisation des prestataires est mis en place.</v>
      </c>
      <c r="H89" s="123"/>
      <c r="I89" s="42" t="str">
        <f>IF('V11_Presta&amp;Fournisseurs'!O10="","",'V11_Presta&amp;Fournisseurs'!O10)</f>
        <v>NE</v>
      </c>
      <c r="J89" s="42" t="str">
        <f>IF('V11_Presta&amp;Fournisseurs'!P10="","",'V11_Presta&amp;Fournisseurs'!P10)</f>
        <v>NE</v>
      </c>
      <c r="K89" s="42" t="str">
        <f>IF('V11_Presta&amp;Fournisseurs'!Q10="","",'V11_Presta&amp;Fournisseurs'!Q10)</f>
        <v>NE</v>
      </c>
      <c r="L89" s="49" t="str">
        <f>IF('V11_Presta&amp;Fournisseurs'!R10="","",'V11_Presta&amp;Fournisseurs'!R10)</f>
        <v>NE</v>
      </c>
      <c r="M89" s="42" t="str">
        <f>IF('V11_Presta&amp;Fournisseurs'!S10="","",'V11_Presta&amp;Fournisseurs'!S10)</f>
        <v>NE</v>
      </c>
      <c r="N89" s="358" t="str">
        <f>IF('V11_Presta&amp;Fournisseurs'!T10="","",'V11_Presta&amp;Fournisseurs'!T10)</f>
        <v/>
      </c>
      <c r="O89" s="360" t="str">
        <f>IF('V11_Presta&amp;Fournisseurs'!U10="","",'V11_Presta&amp;Fournisseurs'!U10)</f>
        <v/>
      </c>
      <c r="P89" s="360" t="str">
        <f>IF('V11_Presta&amp;Fournisseurs'!V10="","",'V11_Presta&amp;Fournisseurs'!V10)</f>
        <v/>
      </c>
      <c r="Q89" s="123"/>
      <c r="R89" s="698" t="str">
        <f>IF(OR('V11_Presta&amp;Fournisseurs'!W10="NE",'V11_Presta&amp;Fournisseurs'!W10=""),"",'V11_Presta&amp;Fournisseurs'!W10)</f>
        <v>N/A</v>
      </c>
      <c r="S89" s="378" t="str">
        <f>IF(OR('V11_Presta&amp;Fournisseurs'!X10="NE",'V11_Presta&amp;Fournisseurs'!X10=""),"",'V11_Presta&amp;Fournisseurs'!X10)</f>
        <v/>
      </c>
      <c r="T89" s="123"/>
      <c r="U89" s="576">
        <f>IF(OR('V11_Presta&amp;Fournisseurs'!Z10="NE",'V11_Presta&amp;Fournisseurs'!Z10=""),"",'V11_Presta&amp;Fournisseurs'!Z10)</f>
        <v>0</v>
      </c>
      <c r="V89" s="43">
        <f>IF(OR('V11_Presta&amp;Fournisseurs'!AA10="NE",'V11_Presta&amp;Fournisseurs'!AA10=""),"",'V11_Presta&amp;Fournisseurs'!AA10)</f>
        <v>0</v>
      </c>
      <c r="W89" s="123"/>
      <c r="X89" s="613"/>
      <c r="Z89" s="288"/>
    </row>
    <row r="90" spans="1:26" ht="30" customHeight="1" x14ac:dyDescent="0.4">
      <c r="A90" s="610"/>
      <c r="B90" s="610"/>
      <c r="C90" s="610"/>
      <c r="E90" t="str">
        <f>RIGHT(F89,2)&amp;4&amp;1</f>
        <v>1141</v>
      </c>
      <c r="F90" s="594"/>
      <c r="G90" s="582" t="str">
        <f>LEFT(RIGHT($E90,2),1)&amp;" : "&amp;IFERROR(VLOOKUP($E90,BDD!$A$1:$S$580,7,FALSE),"")</f>
        <v>4 : Pour chacune des activités SI à externaliser, il existe une démarche de transition et de conduite du changement.</v>
      </c>
      <c r="H90" s="123"/>
      <c r="I90" s="45" t="str">
        <f>IF('V11_Presta&amp;Fournisseurs'!O11="","",'V11_Presta&amp;Fournisseurs'!O11)</f>
        <v>NE</v>
      </c>
      <c r="J90" s="45" t="str">
        <f>IF('V11_Presta&amp;Fournisseurs'!P11="","",'V11_Presta&amp;Fournisseurs'!P11)</f>
        <v>NE</v>
      </c>
      <c r="K90" s="45" t="str">
        <f>IF('V11_Presta&amp;Fournisseurs'!Q11="","",'V11_Presta&amp;Fournisseurs'!Q11)</f>
        <v>NE</v>
      </c>
      <c r="L90" s="45" t="str">
        <f>IF('V11_Presta&amp;Fournisseurs'!R11="","",'V11_Presta&amp;Fournisseurs'!R11)</f>
        <v>NE</v>
      </c>
      <c r="M90" s="45" t="str">
        <f>IF('V11_Presta&amp;Fournisseurs'!S11="","",'V11_Presta&amp;Fournisseurs'!S11)</f>
        <v>NE</v>
      </c>
      <c r="N90" s="361" t="str">
        <f>IF('V11_Presta&amp;Fournisseurs'!T11="","",'V11_Presta&amp;Fournisseurs'!T11)</f>
        <v/>
      </c>
      <c r="O90" s="359" t="str">
        <f>IF('V11_Presta&amp;Fournisseurs'!U11="","",'V11_Presta&amp;Fournisseurs'!U11)</f>
        <v/>
      </c>
      <c r="P90" s="359" t="str">
        <f>IF('V11_Presta&amp;Fournisseurs'!V11="","",'V11_Presta&amp;Fournisseurs'!V11)</f>
        <v/>
      </c>
      <c r="Q90" s="123"/>
      <c r="R90" s="699" t="str">
        <f>IF(OR('V11_Presta&amp;Fournisseurs'!W11="NE",'V11_Presta&amp;Fournisseurs'!W11=""),"",'V11_Presta&amp;Fournisseurs'!W11)</f>
        <v>N/A</v>
      </c>
      <c r="S90" s="379" t="str">
        <f>IF(OR('V11_Presta&amp;Fournisseurs'!X11="NE",'V11_Presta&amp;Fournisseurs'!X11=""),"",'V11_Presta&amp;Fournisseurs'!X11)</f>
        <v/>
      </c>
      <c r="T90" s="123"/>
      <c r="U90" s="577">
        <f>IF(OR('V11_Presta&amp;Fournisseurs'!Z11="NE",'V11_Presta&amp;Fournisseurs'!Z11=""),"",'V11_Presta&amp;Fournisseurs'!Z11)</f>
        <v>0</v>
      </c>
      <c r="V90" s="47">
        <f>IF(OR('V11_Presta&amp;Fournisseurs'!AA11="NE",'V11_Presta&amp;Fournisseurs'!AA11=""),"",'V11_Presta&amp;Fournisseurs'!AA11)</f>
        <v>0</v>
      </c>
      <c r="W90" s="123"/>
      <c r="X90" s="613"/>
      <c r="Z90" s="288"/>
    </row>
    <row r="91" spans="1:26" ht="43.2" x14ac:dyDescent="0.3">
      <c r="A91" s="610"/>
      <c r="B91" s="610"/>
      <c r="C91" s="610"/>
      <c r="E91" t="str">
        <f>RIGHT(F89,2)&amp;5&amp;1</f>
        <v>1151</v>
      </c>
      <c r="F91" s="592" t="str">
        <f>VLOOKUP(E90,BDD!$A$1:$C$667,3,FALSE)</f>
        <v>Prestataires &amp; fournisseurs</v>
      </c>
      <c r="G91" s="581" t="str">
        <f>LEFT(RIGHT($E91,2),1)&amp;" : "&amp;IFERROR(VLOOKUP($E91,BDD!$A$1:$S$580,7,FALSE),"")</f>
        <v>5 : Le pilotage opérationnel des services IT externalisés et des prestations est structuré pour garantir la performance et l'amélioration des services fournis.</v>
      </c>
      <c r="H91" s="123"/>
      <c r="I91" s="42" t="str">
        <f>IF('V11_Presta&amp;Fournisseurs'!O12="","",'V11_Presta&amp;Fournisseurs'!O12)</f>
        <v>NE</v>
      </c>
      <c r="J91" s="42" t="str">
        <f>IF('V11_Presta&amp;Fournisseurs'!P12="","",'V11_Presta&amp;Fournisseurs'!P12)</f>
        <v>NE</v>
      </c>
      <c r="K91" s="42" t="str">
        <f>IF('V11_Presta&amp;Fournisseurs'!Q12="","",'V11_Presta&amp;Fournisseurs'!Q12)</f>
        <v>NE</v>
      </c>
      <c r="L91" s="42" t="str">
        <f>IF('V11_Presta&amp;Fournisseurs'!R12="","",'V11_Presta&amp;Fournisseurs'!R12)</f>
        <v>NE</v>
      </c>
      <c r="M91" s="42" t="str">
        <f>IF('V11_Presta&amp;Fournisseurs'!S12="","",'V11_Presta&amp;Fournisseurs'!S12)</f>
        <v>NE</v>
      </c>
      <c r="N91" s="42" t="str">
        <f>IF('V11_Presta&amp;Fournisseurs'!T12="","",'V11_Presta&amp;Fournisseurs'!T12)</f>
        <v>NE</v>
      </c>
      <c r="O91" s="50" t="str">
        <f>IF('V11_Presta&amp;Fournisseurs'!U12="","",'V11_Presta&amp;Fournisseurs'!U12)</f>
        <v>NE</v>
      </c>
      <c r="P91" s="391" t="str">
        <f>IF('V11_Presta&amp;Fournisseurs'!V12="","",'V11_Presta&amp;Fournisseurs'!V12)</f>
        <v/>
      </c>
      <c r="Q91" s="123"/>
      <c r="R91" s="698" t="str">
        <f>IF(OR('V11_Presta&amp;Fournisseurs'!W12="NE",'V11_Presta&amp;Fournisseurs'!W12=""),"",'V11_Presta&amp;Fournisseurs'!W12)</f>
        <v>N/A</v>
      </c>
      <c r="S91" s="378" t="str">
        <f>IF(OR('V11_Presta&amp;Fournisseurs'!X12="NE",'V11_Presta&amp;Fournisseurs'!X12=""),"",'V11_Presta&amp;Fournisseurs'!X12)</f>
        <v/>
      </c>
      <c r="T91" s="123"/>
      <c r="U91" s="576">
        <f>IF(OR('V11_Presta&amp;Fournisseurs'!Z12="NE",'V11_Presta&amp;Fournisseurs'!Z12=""),"",'V11_Presta&amp;Fournisseurs'!Z12)</f>
        <v>0</v>
      </c>
      <c r="V91" s="43">
        <f>IF(OR('V11_Presta&amp;Fournisseurs'!AA12="NE",'V11_Presta&amp;Fournisseurs'!AA12=""),"",'V11_Presta&amp;Fournisseurs'!AA12)</f>
        <v>0</v>
      </c>
      <c r="W91" s="123"/>
      <c r="X91" s="613"/>
      <c r="Z91" s="288"/>
    </row>
    <row r="92" spans="1:26" ht="30" customHeight="1" x14ac:dyDescent="0.4">
      <c r="A92" s="610"/>
      <c r="B92" s="610"/>
      <c r="C92" s="610"/>
      <c r="E92" t="str">
        <f>RIGHT(F89,2)&amp;6&amp;1</f>
        <v>1161</v>
      </c>
      <c r="F92" s="377"/>
      <c r="G92" s="582" t="str">
        <f>LEFT(RIGHT($E92,2),1)&amp;" : "&amp;IFERROR(VLOOKUP($E92,BDD!$A$1:$S$580,7,FALSE),"")</f>
        <v>6 : La clôture et la gestion de la réversibilité des services externalisés ont été définies en fonction des enjeux métiers.</v>
      </c>
      <c r="H92" s="123"/>
      <c r="I92" s="45" t="str">
        <f>IF('V11_Presta&amp;Fournisseurs'!O13="","",'V11_Presta&amp;Fournisseurs'!O13)</f>
        <v>NE</v>
      </c>
      <c r="J92" s="45" t="str">
        <f>IF('V11_Presta&amp;Fournisseurs'!P13="","",'V11_Presta&amp;Fournisseurs'!P13)</f>
        <v>NE</v>
      </c>
      <c r="K92" s="45" t="str">
        <f>IF('V11_Presta&amp;Fournisseurs'!Q13="","",'V11_Presta&amp;Fournisseurs'!Q13)</f>
        <v>NE</v>
      </c>
      <c r="L92" s="45" t="str">
        <f>IF('V11_Presta&amp;Fournisseurs'!R13="","",'V11_Presta&amp;Fournisseurs'!R13)</f>
        <v>NE</v>
      </c>
      <c r="M92" s="361" t="str">
        <f>IF('V11_Presta&amp;Fournisseurs'!S13="","",'V11_Presta&amp;Fournisseurs'!S13)</f>
        <v/>
      </c>
      <c r="N92" s="361" t="str">
        <f>IF('V11_Presta&amp;Fournisseurs'!T13="","",'V11_Presta&amp;Fournisseurs'!T13)</f>
        <v/>
      </c>
      <c r="O92" s="359" t="str">
        <f>IF('V11_Presta&amp;Fournisseurs'!U13="","",'V11_Presta&amp;Fournisseurs'!U13)</f>
        <v/>
      </c>
      <c r="P92" s="359" t="str">
        <f>IF('V11_Presta&amp;Fournisseurs'!V13="","",'V11_Presta&amp;Fournisseurs'!V13)</f>
        <v/>
      </c>
      <c r="Q92" s="123"/>
      <c r="R92" s="699" t="str">
        <f>IF(OR('V11_Presta&amp;Fournisseurs'!W13="NE",'V11_Presta&amp;Fournisseurs'!W13=""),"",'V11_Presta&amp;Fournisseurs'!W13)</f>
        <v>N/A</v>
      </c>
      <c r="S92" s="379" t="str">
        <f>IF(OR('V11_Presta&amp;Fournisseurs'!X13="NE",'V11_Presta&amp;Fournisseurs'!X13=""),"",'V11_Presta&amp;Fournisseurs'!X13)</f>
        <v/>
      </c>
      <c r="T92" s="123"/>
      <c r="U92" s="577">
        <f>IF(OR('V11_Presta&amp;Fournisseurs'!Z13="NE",'V11_Presta&amp;Fournisseurs'!Z13=""),"",'V11_Presta&amp;Fournisseurs'!Z13)</f>
        <v>0</v>
      </c>
      <c r="V92" s="47">
        <f>IF(OR('V11_Presta&amp;Fournisseurs'!AA13="NE",'V11_Presta&amp;Fournisseurs'!AA13=""),"",'V11_Presta&amp;Fournisseurs'!AA13)</f>
        <v>0</v>
      </c>
      <c r="W92" s="123"/>
      <c r="X92" s="613"/>
      <c r="Z92" s="288"/>
    </row>
    <row r="93" spans="1:26" ht="30" customHeight="1" thickBot="1" x14ac:dyDescent="0.45">
      <c r="A93" s="610"/>
      <c r="B93" s="610"/>
      <c r="C93" s="610"/>
      <c r="E93" t="str">
        <f>RIGHT(F89,2)&amp;7&amp;1</f>
        <v>1171</v>
      </c>
      <c r="F93" s="377"/>
      <c r="G93" s="581" t="str">
        <f>LEFT(RIGHT($E93,2),1)&amp;" : "&amp;IFERROR(VLOOKUP($E93,BDD!$A$1:$S$580,7,FALSE),"")</f>
        <v>7 : La gestion des fournisseurs de matériels et de logiciels est organisée et suivie.</v>
      </c>
      <c r="H93" s="123"/>
      <c r="I93" s="42" t="str">
        <f>IF('V11_Presta&amp;Fournisseurs'!O14="","",'V11_Presta&amp;Fournisseurs'!O14)</f>
        <v>NE</v>
      </c>
      <c r="J93" s="42" t="str">
        <f>IF('V11_Presta&amp;Fournisseurs'!P14="","",'V11_Presta&amp;Fournisseurs'!P14)</f>
        <v>NE</v>
      </c>
      <c r="K93" s="42" t="str">
        <f>IF('V11_Presta&amp;Fournisseurs'!Q14="","",'V11_Presta&amp;Fournisseurs'!Q14)</f>
        <v>NE</v>
      </c>
      <c r="L93" s="42" t="str">
        <f>IF('V11_Presta&amp;Fournisseurs'!R14="","",'V11_Presta&amp;Fournisseurs'!R14)</f>
        <v>NE</v>
      </c>
      <c r="M93" s="42" t="str">
        <f>IF('V11_Presta&amp;Fournisseurs'!S14="","",'V11_Presta&amp;Fournisseurs'!S14)</f>
        <v>NE</v>
      </c>
      <c r="N93" s="358" t="str">
        <f>IF('V11_Presta&amp;Fournisseurs'!T14="","",'V11_Presta&amp;Fournisseurs'!T14)</f>
        <v/>
      </c>
      <c r="O93" s="360" t="str">
        <f>IF('V11_Presta&amp;Fournisseurs'!U14="","",'V11_Presta&amp;Fournisseurs'!U14)</f>
        <v/>
      </c>
      <c r="P93" s="360" t="str">
        <f>IF('V11_Presta&amp;Fournisseurs'!V14="","",'V11_Presta&amp;Fournisseurs'!V14)</f>
        <v/>
      </c>
      <c r="Q93" s="123"/>
      <c r="R93" s="698" t="str">
        <f>IF(OR('V11_Presta&amp;Fournisseurs'!W14="NE",'V11_Presta&amp;Fournisseurs'!W14=""),"",'V11_Presta&amp;Fournisseurs'!W14)</f>
        <v>N/A</v>
      </c>
      <c r="S93" s="378" t="str">
        <f>IF(OR('V11_Presta&amp;Fournisseurs'!X14="NE",'V11_Presta&amp;Fournisseurs'!X14=""),"",'V11_Presta&amp;Fournisseurs'!X14)</f>
        <v/>
      </c>
      <c r="T93" s="123"/>
      <c r="U93" s="576">
        <f>IF(OR('V11_Presta&amp;Fournisseurs'!Z14="NE",'V11_Presta&amp;Fournisseurs'!Z14=""),"",'V11_Presta&amp;Fournisseurs'!Z14)</f>
        <v>0</v>
      </c>
      <c r="V93" s="43">
        <f>IF(OR('V11_Presta&amp;Fournisseurs'!AA14="NE",'V11_Presta&amp;Fournisseurs'!AA14=""),"",'V11_Presta&amp;Fournisseurs'!AA14)</f>
        <v>0</v>
      </c>
      <c r="W93" s="123"/>
      <c r="X93" s="614"/>
      <c r="Z93" s="288"/>
    </row>
    <row r="94" spans="1:26" ht="34.950000000000003" customHeight="1" thickBot="1" x14ac:dyDescent="0.45">
      <c r="A94" s="610"/>
      <c r="B94" s="610"/>
      <c r="C94" s="610"/>
      <c r="F94" s="372"/>
      <c r="G94" s="583"/>
      <c r="R94" s="702" t="str">
        <f>IF(OR('V11_Presta&amp;Fournisseurs'!W17="NE",'V11_Presta&amp;Fournisseurs'!W17=""),"",'V11_Presta&amp;Fournisseurs'!W17)</f>
        <v>N/A</v>
      </c>
      <c r="S94" s="385" t="str">
        <f>IF(OR('V11_Presta&amp;Fournisseurs'!X17="NE",'V11_Presta&amp;Fournisseurs'!X17=""),"",'V11_Presta&amp;Fournisseurs'!X17)</f>
        <v/>
      </c>
      <c r="U94" s="580">
        <f>IF(OR('V11_Presta&amp;Fournisseurs'!Z17="NE",'V11_Presta&amp;Fournisseurs'!Z17=""),"",'V11_Presta&amp;Fournisseurs'!Z17)</f>
        <v>0</v>
      </c>
      <c r="V94" s="382">
        <f>IF(OR('V11_Presta&amp;Fournisseurs'!AA17="NE",'V11_Presta&amp;Fournisseurs'!AA17=""),"",'V11_Presta&amp;Fournisseurs'!AA17)</f>
        <v>0</v>
      </c>
      <c r="X94" s="392"/>
      <c r="Z94" s="288"/>
    </row>
    <row r="95" spans="1:26" ht="25.05" customHeight="1" x14ac:dyDescent="0.4">
      <c r="A95" s="610"/>
      <c r="B95" s="610"/>
      <c r="C95" s="610"/>
      <c r="F95" s="372"/>
      <c r="G95" s="583"/>
      <c r="I95" s="129" t="s">
        <v>3</v>
      </c>
      <c r="J95" s="129" t="s">
        <v>4</v>
      </c>
      <c r="K95" s="129" t="s">
        <v>5</v>
      </c>
      <c r="L95" s="129" t="s">
        <v>6</v>
      </c>
      <c r="M95" s="129" t="s">
        <v>7</v>
      </c>
      <c r="N95" s="129" t="s">
        <v>8</v>
      </c>
      <c r="O95" s="129" t="s">
        <v>9</v>
      </c>
      <c r="P95" s="129" t="s">
        <v>1019</v>
      </c>
      <c r="R95" s="703"/>
      <c r="X95" s="392"/>
      <c r="Z95" s="288"/>
    </row>
    <row r="96" spans="1:26" ht="43.2" x14ac:dyDescent="0.3">
      <c r="A96" s="610"/>
      <c r="B96" s="610"/>
      <c r="C96" s="610"/>
      <c r="E96" t="str">
        <f>RIGHT(F98,2)&amp;1&amp;1</f>
        <v>1211</v>
      </c>
      <c r="F96" s="375"/>
      <c r="G96" s="581" t="str">
        <f>LEFT(RIGHT($E96,2),1)&amp;" : "&amp;IFERROR(VLOOKUP($E96,BDD!$A$1:$S$580,7,FALSE),"")</f>
        <v>1 : La DSI a défini ses objectifs prioritaires en mettant en évidence leur contribution à ceux de l'entreprise et en les structurant, par exemple selon les volets de l'IT SCORECARD définis par l'ISACA France.</v>
      </c>
      <c r="H96" s="123"/>
      <c r="I96" s="49" t="str">
        <f>IF('V12_Budget&amp;Perf.'!O8="","",'V12_Budget&amp;Perf.'!O8)</f>
        <v>NE</v>
      </c>
      <c r="J96" s="42" t="str">
        <f>IF('V12_Budget&amp;Perf.'!P8="","",'V12_Budget&amp;Perf.'!P8)</f>
        <v>NE</v>
      </c>
      <c r="K96" s="42" t="str">
        <f>IF('V12_Budget&amp;Perf.'!Q8="","",'V12_Budget&amp;Perf.'!Q8)</f>
        <v>NE</v>
      </c>
      <c r="L96" s="42" t="str">
        <f>IF('V12_Budget&amp;Perf.'!R8="","",'V12_Budget&amp;Perf.'!R8)</f>
        <v>NE</v>
      </c>
      <c r="M96" s="42" t="str">
        <f>IF('V12_Budget&amp;Perf.'!S8="","",'V12_Budget&amp;Perf.'!S8)</f>
        <v>NE</v>
      </c>
      <c r="N96" s="42" t="str">
        <f>IF('V12_Budget&amp;Perf.'!T8="","",'V12_Budget&amp;Perf.'!T8)</f>
        <v>NE</v>
      </c>
      <c r="O96" s="42" t="str">
        <f>IF('V12_Budget&amp;Perf.'!U8="","",'V12_Budget&amp;Perf.'!U8)</f>
        <v>NE</v>
      </c>
      <c r="P96" s="42" t="str">
        <f>IF('V12_Budget&amp;Perf.'!V8="","",'V12_Budget&amp;Perf.'!V8)</f>
        <v>NE</v>
      </c>
      <c r="Q96" s="123"/>
      <c r="R96" s="698" t="str">
        <f>IF(OR('V12_Budget&amp;Perf.'!X8="NE",'V12_Budget&amp;Perf.'!X8=""),"",'V12_Budget&amp;Perf.'!X8)</f>
        <v>N/A</v>
      </c>
      <c r="S96" s="378" t="str">
        <f>IF(OR('V12_Budget&amp;Perf.'!Y8="NE",'V12_Budget&amp;Perf.'!Y8=""),"",'V12_Budget&amp;Perf.'!Y8)</f>
        <v/>
      </c>
      <c r="T96" s="123"/>
      <c r="U96" s="576">
        <f>IF(OR('V12_Budget&amp;Perf.'!AA8="NE",'V12_Budget&amp;Perf.'!AA8=""),"",'V12_Budget&amp;Perf.'!AA8)</f>
        <v>0</v>
      </c>
      <c r="V96" s="43">
        <f>IF(OR('V12_Budget&amp;Perf.'!AB8="NE",'V12_Budget&amp;Perf.'!AB8=""),"",'V12_Budget&amp;Perf.'!AB8)</f>
        <v>0</v>
      </c>
      <c r="W96" s="123"/>
      <c r="X96" s="279" t="str">
        <f>"Evaluation globale du "&amp;F98</f>
        <v>Evaluation globale du Vecteur 12</v>
      </c>
      <c r="Z96" s="288"/>
    </row>
    <row r="97" spans="1:26" ht="43.2" x14ac:dyDescent="0.3">
      <c r="A97" s="610"/>
      <c r="B97" s="610"/>
      <c r="C97" s="610"/>
      <c r="E97" t="str">
        <f>RIGHT(F98,2)&amp;2&amp;1</f>
        <v>1221</v>
      </c>
      <c r="F97" s="376"/>
      <c r="G97" s="582" t="str">
        <f>LEFT(RIGHT($E97,2),1)&amp;" : "&amp;IFERROR(VLOOKUP($E97,BDD!$A$1:$S$580,7,FALSE),"")</f>
        <v>2 : Des indicateurs de mesure de la performance du SI sont définis et le niveau d'atteinte des objectifs de la DSI est suivi et partagé régulièrement avec les parties prenantes.</v>
      </c>
      <c r="H97" s="123"/>
      <c r="I97" s="45" t="str">
        <f>IF('V12_Budget&amp;Perf.'!O9="","",'V12_Budget&amp;Perf.'!O9)</f>
        <v>NE</v>
      </c>
      <c r="J97" s="45" t="str">
        <f>IF('V12_Budget&amp;Perf.'!P9="","",'V12_Budget&amp;Perf.'!P9)</f>
        <v>NE</v>
      </c>
      <c r="K97" s="45" t="str">
        <f>IF('V12_Budget&amp;Perf.'!Q9="","",'V12_Budget&amp;Perf.'!Q9)</f>
        <v>NE</v>
      </c>
      <c r="L97" s="45" t="str">
        <f>IF('V12_Budget&amp;Perf.'!R9="","",'V12_Budget&amp;Perf.'!R9)</f>
        <v>NE</v>
      </c>
      <c r="M97" s="45" t="str">
        <f>IF('V12_Budget&amp;Perf.'!S9="","",'V12_Budget&amp;Perf.'!S9)</f>
        <v>NE</v>
      </c>
      <c r="N97" s="361" t="str">
        <f>IF('V12_Budget&amp;Perf.'!T9="","",'V12_Budget&amp;Perf.'!T9)</f>
        <v/>
      </c>
      <c r="O97" s="359" t="str">
        <f>IF('V12_Budget&amp;Perf.'!U9="","",'V12_Budget&amp;Perf.'!U9)</f>
        <v/>
      </c>
      <c r="P97" s="359" t="str">
        <f>IF('V12_Budget&amp;Perf.'!V9="","",'V12_Budget&amp;Perf.'!V9)</f>
        <v/>
      </c>
      <c r="Q97" s="123"/>
      <c r="R97" s="699" t="str">
        <f>IF(OR('V12_Budget&amp;Perf.'!X9="NE",'V12_Budget&amp;Perf.'!X9=""),"",'V12_Budget&amp;Perf.'!X9)</f>
        <v>N/A</v>
      </c>
      <c r="S97" s="379" t="str">
        <f>IF(OR('V12_Budget&amp;Perf.'!Y9="NE",'V12_Budget&amp;Perf.'!Y9=""),"",'V12_Budget&amp;Perf.'!Y9)</f>
        <v/>
      </c>
      <c r="T97" s="123"/>
      <c r="U97" s="577">
        <f>IF(OR('V12_Budget&amp;Perf.'!AA9="NE",'V12_Budget&amp;Perf.'!AA9=""),"",'V12_Budget&amp;Perf.'!AA9)</f>
        <v>0</v>
      </c>
      <c r="V97" s="47">
        <f>IF(OR('V12_Budget&amp;Perf.'!AB9="NE",'V12_Budget&amp;Perf.'!AB9=""),"",'V12_Budget&amp;Perf.'!AB9)</f>
        <v>0</v>
      </c>
      <c r="W97" s="123"/>
      <c r="X97" s="606" t="str">
        <f>IF(OR('V12_Budget&amp;Perf.'!N16="NE",'V12_Budget&amp;Perf.'!N16=""),"",'V12_Budget&amp;Perf.'!N16)</f>
        <v/>
      </c>
      <c r="Z97" s="288"/>
    </row>
    <row r="98" spans="1:26" ht="57.6" x14ac:dyDescent="0.3">
      <c r="A98" s="610"/>
      <c r="B98" s="610"/>
      <c r="C98" s="610"/>
      <c r="E98" t="str">
        <f>RIGHT(F98,2)&amp;3&amp;1</f>
        <v>1231</v>
      </c>
      <c r="F98" s="591" t="s">
        <v>76</v>
      </c>
      <c r="G98" s="581" t="str">
        <f>LEFT(RIGHT($E98,2),1)&amp;" : "&amp;IFERROR(VLOOKUP($E98,BDD!$A$1:$S$580,7,FALSE),"")</f>
        <v>3 : La DSI met en œuvre un processus de gestion budgétaire permettant de gérer les arbitrages avec la direction générale et les directions métiers et parties prenantes, relatif aux projets, aux évolutions et au fonctionnement récurrent.</v>
      </c>
      <c r="H98" s="123"/>
      <c r="I98" s="42" t="str">
        <f>IF('V12_Budget&amp;Perf.'!O10="","",'V12_Budget&amp;Perf.'!O10)</f>
        <v>NE</v>
      </c>
      <c r="J98" s="42" t="str">
        <f>IF('V12_Budget&amp;Perf.'!P10="","",'V12_Budget&amp;Perf.'!P10)</f>
        <v>NE</v>
      </c>
      <c r="K98" s="42" t="str">
        <f>IF('V12_Budget&amp;Perf.'!Q10="","",'V12_Budget&amp;Perf.'!Q10)</f>
        <v>NE</v>
      </c>
      <c r="L98" s="49" t="str">
        <f>IF('V12_Budget&amp;Perf.'!R10="","",'V12_Budget&amp;Perf.'!R10)</f>
        <v>NE</v>
      </c>
      <c r="M98" s="42" t="str">
        <f>IF('V12_Budget&amp;Perf.'!S10="","",'V12_Budget&amp;Perf.'!S10)</f>
        <v>NE</v>
      </c>
      <c r="N98" s="42" t="str">
        <f>IF('V12_Budget&amp;Perf.'!T10="","",'V12_Budget&amp;Perf.'!T10)</f>
        <v>NE</v>
      </c>
      <c r="O98" s="50" t="str">
        <f>IF('V12_Budget&amp;Perf.'!U10="","",'V12_Budget&amp;Perf.'!U10)</f>
        <v>NE</v>
      </c>
      <c r="P98" s="391" t="str">
        <f>IF('V12_Budget&amp;Perf.'!V10="","",'V12_Budget&amp;Perf.'!V10)</f>
        <v/>
      </c>
      <c r="Q98" s="123"/>
      <c r="R98" s="698" t="str">
        <f>IF(OR('V12_Budget&amp;Perf.'!X10="NE",'V12_Budget&amp;Perf.'!X10=""),"",'V12_Budget&amp;Perf.'!X10)</f>
        <v>N/A</v>
      </c>
      <c r="S98" s="378" t="str">
        <f>IF(OR('V12_Budget&amp;Perf.'!Y10="NE",'V12_Budget&amp;Perf.'!Y10=""),"",'V12_Budget&amp;Perf.'!Y10)</f>
        <v/>
      </c>
      <c r="T98" s="123"/>
      <c r="U98" s="576">
        <f>IF(OR('V12_Budget&amp;Perf.'!AA10="NE",'V12_Budget&amp;Perf.'!AA10=""),"",'V12_Budget&amp;Perf.'!AA10)</f>
        <v>0</v>
      </c>
      <c r="V98" s="43">
        <f>IF(OR('V12_Budget&amp;Perf.'!AB10="NE",'V12_Budget&amp;Perf.'!AB10=""),"",'V12_Budget&amp;Perf.'!AB10)</f>
        <v>0</v>
      </c>
      <c r="W98" s="123"/>
      <c r="X98" s="606" t="str">
        <f>IF(OR('V12_Budget&amp;Perf.'!AD10="NE",'V12_Budget&amp;Perf.'!AD10=""),"",'V12_Budget&amp;Perf.'!AD10)</f>
        <v/>
      </c>
      <c r="Z98" s="288"/>
    </row>
    <row r="99" spans="1:26" ht="43.2" x14ac:dyDescent="0.3">
      <c r="A99" s="610"/>
      <c r="B99" s="610"/>
      <c r="C99" s="610"/>
      <c r="E99" t="str">
        <f>RIGHT(F98,2)&amp;4&amp;1</f>
        <v>1241</v>
      </c>
      <c r="F99" s="593" t="str">
        <f>VLOOKUP(E99,BDD!$A$1:$C$667,3,FALSE)</f>
        <v>Budget &amp; performance</v>
      </c>
      <c r="G99" s="582" t="str">
        <f>LEFT(RIGHT($E99,2),1)&amp;" : "&amp;IFERROR(VLOOKUP($E99,BDD!$A$1:$S$580,7,FALSE),"")</f>
        <v>4 : La DSI calcule le coût complet des prestations du catalogue de services fournis à ses clients, en le décomposant en coûts unitaires et en volumes, afin de co-responsabiliser les métiers sur les coûts du numérique.</v>
      </c>
      <c r="H99" s="123"/>
      <c r="I99" s="45" t="str">
        <f>IF('V12_Budget&amp;Perf.'!O11="","",'V12_Budget&amp;Perf.'!O11)</f>
        <v>NE</v>
      </c>
      <c r="J99" s="45" t="str">
        <f>IF('V12_Budget&amp;Perf.'!P11="","",'V12_Budget&amp;Perf.'!P11)</f>
        <v>NE</v>
      </c>
      <c r="K99" s="45" t="str">
        <f>IF('V12_Budget&amp;Perf.'!Q11="","",'V12_Budget&amp;Perf.'!Q11)</f>
        <v>NE</v>
      </c>
      <c r="L99" s="45" t="str">
        <f>IF('V12_Budget&amp;Perf.'!R11="","",'V12_Budget&amp;Perf.'!R11)</f>
        <v>NE</v>
      </c>
      <c r="M99" s="45" t="str">
        <f>IF('V12_Budget&amp;Perf.'!S11="","",'V12_Budget&amp;Perf.'!S11)</f>
        <v>NE</v>
      </c>
      <c r="N99" s="361" t="str">
        <f>IF('V12_Budget&amp;Perf.'!T11="","",'V12_Budget&amp;Perf.'!T11)</f>
        <v/>
      </c>
      <c r="O99" s="359" t="str">
        <f>IF('V12_Budget&amp;Perf.'!U11="","",'V12_Budget&amp;Perf.'!U11)</f>
        <v/>
      </c>
      <c r="P99" s="359" t="str">
        <f>IF('V12_Budget&amp;Perf.'!V11="","",'V12_Budget&amp;Perf.'!V11)</f>
        <v/>
      </c>
      <c r="Q99" s="123"/>
      <c r="R99" s="699" t="str">
        <f>IF(OR('V12_Budget&amp;Perf.'!X11="NE",'V12_Budget&amp;Perf.'!X11=""),"",'V12_Budget&amp;Perf.'!X11)</f>
        <v>N/A</v>
      </c>
      <c r="S99" s="379" t="str">
        <f>IF(OR('V12_Budget&amp;Perf.'!Y11="NE",'V12_Budget&amp;Perf.'!Y11=""),"",'V12_Budget&amp;Perf.'!Y11)</f>
        <v/>
      </c>
      <c r="T99" s="123"/>
      <c r="U99" s="577">
        <f>IF(OR('V12_Budget&amp;Perf.'!AA11="NE",'V12_Budget&amp;Perf.'!AA11=""),"",'V12_Budget&amp;Perf.'!AA11)</f>
        <v>0</v>
      </c>
      <c r="V99" s="47">
        <f>IF(OR('V12_Budget&amp;Perf.'!AB11="NE",'V12_Budget&amp;Perf.'!AB11=""),"",'V12_Budget&amp;Perf.'!AB11)</f>
        <v>0</v>
      </c>
      <c r="W99" s="123"/>
      <c r="X99" s="606" t="str">
        <f>IF(OR('V12_Budget&amp;Perf.'!AD11="NE",'V12_Budget&amp;Perf.'!AD11=""),"",'V12_Budget&amp;Perf.'!AD11)</f>
        <v/>
      </c>
      <c r="Z99" s="288"/>
    </row>
    <row r="100" spans="1:26" ht="30" customHeight="1" x14ac:dyDescent="0.4">
      <c r="A100" s="610"/>
      <c r="B100" s="610"/>
      <c r="C100" s="610"/>
      <c r="E100" t="str">
        <f>RIGHT(F98,2)&amp;5&amp;1</f>
        <v>1251</v>
      </c>
      <c r="F100" s="377"/>
      <c r="G100" s="581" t="str">
        <f>LEFT(RIGHT($E100,2),1)&amp;" : "&amp;IFERROR(VLOOKUP($E100,BDD!$A$1:$S$580,7,FALSE),"")</f>
        <v>5 : L'organisation a mis en place un processus de pilotage du portefeuille de projets fondé sur le suivi de la réalisation des business cases.</v>
      </c>
      <c r="H100" s="123"/>
      <c r="I100" s="42" t="str">
        <f>IF('V12_Budget&amp;Perf.'!O12="","",'V12_Budget&amp;Perf.'!O12)</f>
        <v>NE</v>
      </c>
      <c r="J100" s="42" t="str">
        <f>IF('V12_Budget&amp;Perf.'!P12="","",'V12_Budget&amp;Perf.'!P12)</f>
        <v>NE</v>
      </c>
      <c r="K100" s="42" t="str">
        <f>IF('V12_Budget&amp;Perf.'!Q12="","",'V12_Budget&amp;Perf.'!Q12)</f>
        <v>NE</v>
      </c>
      <c r="L100" s="42" t="str">
        <f>IF('V12_Budget&amp;Perf.'!R12="","",'V12_Budget&amp;Perf.'!R12)</f>
        <v>NE</v>
      </c>
      <c r="M100" s="42" t="str">
        <f>IF('V12_Budget&amp;Perf.'!S12="","",'V12_Budget&amp;Perf.'!S12)</f>
        <v>NE</v>
      </c>
      <c r="N100" s="42" t="str">
        <f>IF('V12_Budget&amp;Perf.'!T12="","",'V12_Budget&amp;Perf.'!T12)</f>
        <v>NE</v>
      </c>
      <c r="O100" s="360" t="str">
        <f>IF('V12_Budget&amp;Perf.'!U12="","",'V12_Budget&amp;Perf.'!U12)</f>
        <v/>
      </c>
      <c r="P100" s="360" t="str">
        <f>IF('V12_Budget&amp;Perf.'!V12="","",'V12_Budget&amp;Perf.'!V12)</f>
        <v/>
      </c>
      <c r="Q100" s="123"/>
      <c r="R100" s="698" t="str">
        <f>IF(OR('V12_Budget&amp;Perf.'!X12="NE",'V12_Budget&amp;Perf.'!X12=""),"",'V12_Budget&amp;Perf.'!X12)</f>
        <v>N/A</v>
      </c>
      <c r="S100" s="378" t="str">
        <f>IF(OR('V12_Budget&amp;Perf.'!Y12="NE",'V12_Budget&amp;Perf.'!Y12=""),"",'V12_Budget&amp;Perf.'!Y12)</f>
        <v/>
      </c>
      <c r="T100" s="123"/>
      <c r="U100" s="576">
        <f>IF(OR('V12_Budget&amp;Perf.'!AA12="NE",'V12_Budget&amp;Perf.'!AA12=""),"",'V12_Budget&amp;Perf.'!AA12)</f>
        <v>0</v>
      </c>
      <c r="V100" s="43">
        <f>IF(OR('V12_Budget&amp;Perf.'!AB12="NE",'V12_Budget&amp;Perf.'!AB12=""),"",'V12_Budget&amp;Perf.'!AB12)</f>
        <v>0</v>
      </c>
      <c r="W100" s="123"/>
      <c r="X100" s="606" t="str">
        <f>IF(OR('V12_Budget&amp;Perf.'!AD12="NE",'V12_Budget&amp;Perf.'!AD12=""),"",'V12_Budget&amp;Perf.'!AD12)</f>
        <v/>
      </c>
      <c r="Z100" s="288"/>
    </row>
    <row r="101" spans="1:26" ht="30" customHeight="1" thickBot="1" x14ac:dyDescent="0.45">
      <c r="A101" s="610"/>
      <c r="B101" s="610"/>
      <c r="C101" s="610"/>
      <c r="E101" t="str">
        <f>RIGHT(F98,2)&amp;6&amp;1</f>
        <v>1261</v>
      </c>
      <c r="F101" s="377"/>
      <c r="G101" s="582" t="str">
        <f>LEFT(RIGHT($E101,2),1)&amp;" : "&amp;IFERROR(VLOOKUP($E101,BDD!$A$1:$S$580,7,FALSE),"")</f>
        <v>6 : L'organisation a mis en œuvre un cadre de définition de la valeur du numérique et déploie les processus de contrôle nécessaires.</v>
      </c>
      <c r="H101" s="123"/>
      <c r="I101" s="45" t="str">
        <f>IF('V12_Budget&amp;Perf.'!O13="","",'V12_Budget&amp;Perf.'!O13)</f>
        <v>NE</v>
      </c>
      <c r="J101" s="45" t="str">
        <f>IF('V12_Budget&amp;Perf.'!P13="","",'V12_Budget&amp;Perf.'!P13)</f>
        <v>NE</v>
      </c>
      <c r="K101" s="45" t="str">
        <f>IF('V12_Budget&amp;Perf.'!Q13="","",'V12_Budget&amp;Perf.'!Q13)</f>
        <v>NE</v>
      </c>
      <c r="L101" s="45" t="str">
        <f>IF('V12_Budget&amp;Perf.'!R13="","",'V12_Budget&amp;Perf.'!R13)</f>
        <v>NE</v>
      </c>
      <c r="M101" s="361" t="str">
        <f>IF('V12_Budget&amp;Perf.'!S13="","",'V12_Budget&amp;Perf.'!S13)</f>
        <v/>
      </c>
      <c r="N101" s="361" t="str">
        <f>IF('V12_Budget&amp;Perf.'!T13="","",'V12_Budget&amp;Perf.'!T13)</f>
        <v/>
      </c>
      <c r="O101" s="359" t="str">
        <f>IF('V12_Budget&amp;Perf.'!U13="","",'V12_Budget&amp;Perf.'!U13)</f>
        <v/>
      </c>
      <c r="P101" s="359" t="str">
        <f>IF('V12_Budget&amp;Perf.'!V13="","",'V12_Budget&amp;Perf.'!V13)</f>
        <v/>
      </c>
      <c r="Q101" s="123"/>
      <c r="R101" s="699" t="str">
        <f>IF(OR('V12_Budget&amp;Perf.'!X13="NE",'V12_Budget&amp;Perf.'!X13=""),"",'V12_Budget&amp;Perf.'!X13)</f>
        <v>N/A</v>
      </c>
      <c r="S101" s="379" t="str">
        <f>IF(OR('V12_Budget&amp;Perf.'!Y13="NE",'V12_Budget&amp;Perf.'!Y13=""),"",'V12_Budget&amp;Perf.'!Y13)</f>
        <v/>
      </c>
      <c r="T101" s="123"/>
      <c r="U101" s="577">
        <f>IF(OR('V12_Budget&amp;Perf.'!AA13="NE",'V12_Budget&amp;Perf.'!AA13=""),"",'V12_Budget&amp;Perf.'!AA13)</f>
        <v>0</v>
      </c>
      <c r="V101" s="47">
        <f>IF(OR('V12_Budget&amp;Perf.'!AB13="NE",'V12_Budget&amp;Perf.'!AB13=""),"",'V12_Budget&amp;Perf.'!AB13)</f>
        <v>0</v>
      </c>
      <c r="W101" s="123"/>
      <c r="X101" s="607" t="str">
        <f>IF(OR('V12_Budget&amp;Perf.'!AD13="NE",'V12_Budget&amp;Perf.'!AD13=""),"",'V12_Budget&amp;Perf.'!AD13)</f>
        <v/>
      </c>
      <c r="Z101" s="288"/>
    </row>
    <row r="102" spans="1:26" ht="34.950000000000003" customHeight="1" thickBot="1" x14ac:dyDescent="0.45">
      <c r="A102" s="610"/>
      <c r="B102" s="610"/>
      <c r="C102" s="610"/>
      <c r="F102" s="372"/>
      <c r="G102" s="583"/>
      <c r="R102" s="702" t="str">
        <f>IF(OR('V12_Budget&amp;Perf.'!X16="NE",'V12_Budget&amp;Perf.'!X16=""),"",'V12_Budget&amp;Perf.'!X16)</f>
        <v>N/A</v>
      </c>
      <c r="S102" s="385" t="str">
        <f>IF(OR('V12_Budget&amp;Perf.'!Y16="NE",'V12_Budget&amp;Perf.'!Y16=""),"",'V12_Budget&amp;Perf.'!Y16)</f>
        <v/>
      </c>
      <c r="U102" s="580">
        <f>IF(OR('V12_Budget&amp;Perf.'!AA16="NE",'V12_Budget&amp;Perf.'!AA16=""),"",'V12_Budget&amp;Perf.'!AA16)</f>
        <v>0</v>
      </c>
      <c r="V102" s="382">
        <f>IF(OR('V12_Budget&amp;Perf.'!AB16="NE",'V12_Budget&amp;Perf.'!AB16=""),"",'V12_Budget&amp;Perf.'!AB16)</f>
        <v>0</v>
      </c>
      <c r="X102" s="392"/>
      <c r="Z102" s="288"/>
    </row>
    <row r="103" spans="1:26" ht="25.05" customHeight="1" x14ac:dyDescent="0.4">
      <c r="A103" s="610"/>
      <c r="B103" s="610"/>
      <c r="C103" s="610"/>
      <c r="F103" s="372"/>
      <c r="G103" s="583"/>
      <c r="I103" s="129" t="s">
        <v>3</v>
      </c>
      <c r="J103" s="129" t="s">
        <v>4</v>
      </c>
      <c r="K103" s="129" t="s">
        <v>5</v>
      </c>
      <c r="L103" s="129" t="s">
        <v>6</v>
      </c>
      <c r="M103" s="129" t="s">
        <v>7</v>
      </c>
      <c r="N103" s="129" t="s">
        <v>8</v>
      </c>
      <c r="O103" s="129" t="s">
        <v>9</v>
      </c>
      <c r="P103" s="129" t="s">
        <v>1019</v>
      </c>
      <c r="R103" s="703"/>
      <c r="X103" s="392"/>
      <c r="Z103" s="288"/>
    </row>
    <row r="104" spans="1:26" ht="30" customHeight="1" x14ac:dyDescent="0.3">
      <c r="A104" s="610"/>
      <c r="B104" s="610"/>
      <c r="C104" s="610"/>
      <c r="E104" t="str">
        <f>RIGHT(F105,2)&amp;1&amp;1</f>
        <v>1311</v>
      </c>
      <c r="F104" s="375"/>
      <c r="G104" s="581" t="str">
        <f>LEFT(RIGHT($E104,2),1)&amp;" : "&amp;IFERROR(VLOOKUP($E104,BDD!$A$1:$S$580,7,FALSE),"")</f>
        <v>1 : La DSI définit sa « raison d'être » et organise son propre marketing.</v>
      </c>
      <c r="H104" s="123"/>
      <c r="I104" s="42" t="str">
        <f>IF('V13_Marketing&amp;Comm.'!O8="","",'V13_Marketing&amp;Comm.'!O8)</f>
        <v>NE</v>
      </c>
      <c r="J104" s="42" t="str">
        <f>IF('V13_Marketing&amp;Comm.'!P8="","",'V13_Marketing&amp;Comm.'!P8)</f>
        <v>NE</v>
      </c>
      <c r="K104" s="42" t="str">
        <f>IF('V13_Marketing&amp;Comm.'!Q8="","",'V13_Marketing&amp;Comm.'!Q8)</f>
        <v>NE</v>
      </c>
      <c r="L104" s="42" t="str">
        <f>IF('V13_Marketing&amp;Comm.'!R8="","",'V13_Marketing&amp;Comm.'!R8)</f>
        <v>NE</v>
      </c>
      <c r="M104" s="42" t="str">
        <f>IF('V13_Marketing&amp;Comm.'!S8="","",'V13_Marketing&amp;Comm.'!S8)</f>
        <v>NE</v>
      </c>
      <c r="N104" s="358" t="str">
        <f>IF('V13_Marketing&amp;Comm.'!T8="","",'V13_Marketing&amp;Comm.'!T8)</f>
        <v/>
      </c>
      <c r="O104" s="358" t="str">
        <f>IF('V13_Marketing&amp;Comm.'!U8="","",'V13_Marketing&amp;Comm.'!U8)</f>
        <v/>
      </c>
      <c r="P104" s="358" t="str">
        <f>IF('V13_Marketing&amp;Comm.'!V8="","",'V13_Marketing&amp;Comm.'!V8)</f>
        <v/>
      </c>
      <c r="Q104" s="123"/>
      <c r="R104" s="698" t="str">
        <f>IF(OR('V13_Marketing&amp;Comm.'!X8="NE",'V13_Marketing&amp;Comm.'!X8=""),"",'V13_Marketing&amp;Comm.'!X8)</f>
        <v>N/A</v>
      </c>
      <c r="S104" s="378" t="str">
        <f>IF(OR('V13_Marketing&amp;Comm.'!Y8="NE",'V13_Marketing&amp;Comm.'!Y8=""),"",'V13_Marketing&amp;Comm.'!Y8)</f>
        <v/>
      </c>
      <c r="T104" s="123"/>
      <c r="U104" s="576">
        <f>IF(OR('V13_Marketing&amp;Comm.'!AA8="NE",'V13_Marketing&amp;Comm.'!AA8=""),"",'V13_Marketing&amp;Comm.'!AA8)</f>
        <v>0</v>
      </c>
      <c r="V104" s="43">
        <f>IF(OR('V13_Marketing&amp;Comm.'!AB8="NE",'V13_Marketing&amp;Comm.'!AB8=""),"",'V13_Marketing&amp;Comm.'!AB8)</f>
        <v>0</v>
      </c>
      <c r="W104" s="123"/>
      <c r="X104" s="278" t="str">
        <f>"Evaluation globale du "&amp;F105</f>
        <v>Evaluation globale du Vecteur 13</v>
      </c>
      <c r="Z104" s="288"/>
    </row>
    <row r="105" spans="1:26" ht="30" customHeight="1" x14ac:dyDescent="0.3">
      <c r="A105" s="610"/>
      <c r="B105" s="610"/>
      <c r="C105" s="610"/>
      <c r="E105" t="str">
        <f>RIGHT(F105,2)&amp;2&amp;1</f>
        <v>1321</v>
      </c>
      <c r="F105" s="376" t="s">
        <v>555</v>
      </c>
      <c r="G105" s="582" t="str">
        <f>LEFT(RIGHT($E105,2),1)&amp;" : "&amp;IFERROR(VLOOKUP($E105,BDD!$A$1:$S$580,7,FALSE),"")</f>
        <v>2 : La DSI organise le marketing de ses services auprès de ses clients.</v>
      </c>
      <c r="H105" s="123"/>
      <c r="I105" s="45" t="str">
        <f>IF('V13_Marketing&amp;Comm.'!O9="","",'V13_Marketing&amp;Comm.'!O9)</f>
        <v>NE</v>
      </c>
      <c r="J105" s="45" t="str">
        <f>IF('V13_Marketing&amp;Comm.'!P9="","",'V13_Marketing&amp;Comm.'!P9)</f>
        <v>NE</v>
      </c>
      <c r="K105" s="45" t="str">
        <f>IF('V13_Marketing&amp;Comm.'!Q9="","",'V13_Marketing&amp;Comm.'!Q9)</f>
        <v>NE</v>
      </c>
      <c r="L105" s="45" t="str">
        <f>IF('V13_Marketing&amp;Comm.'!R9="","",'V13_Marketing&amp;Comm.'!R9)</f>
        <v>NE</v>
      </c>
      <c r="M105" s="45" t="str">
        <f>IF('V13_Marketing&amp;Comm.'!S9="","",'V13_Marketing&amp;Comm.'!S9)</f>
        <v>NE</v>
      </c>
      <c r="N105" s="361" t="str">
        <f>IF('V13_Marketing&amp;Comm.'!T9="","",'V13_Marketing&amp;Comm.'!T9)</f>
        <v/>
      </c>
      <c r="O105" s="359" t="str">
        <f>IF('V13_Marketing&amp;Comm.'!U9="","",'V13_Marketing&amp;Comm.'!U9)</f>
        <v/>
      </c>
      <c r="P105" s="359" t="str">
        <f>IF('V13_Marketing&amp;Comm.'!V9="","",'V13_Marketing&amp;Comm.'!V9)</f>
        <v/>
      </c>
      <c r="Q105" s="123"/>
      <c r="R105" s="699" t="str">
        <f>IF(OR('V13_Marketing&amp;Comm.'!X9="NE",'V13_Marketing&amp;Comm.'!X9=""),"",'V13_Marketing&amp;Comm.'!X9)</f>
        <v>N/A</v>
      </c>
      <c r="S105" s="379" t="str">
        <f>IF(OR('V13_Marketing&amp;Comm.'!Y9="NE",'V13_Marketing&amp;Comm.'!Y9=""),"",'V13_Marketing&amp;Comm.'!Y9)</f>
        <v/>
      </c>
      <c r="T105" s="123"/>
      <c r="U105" s="577">
        <v>5</v>
      </c>
      <c r="V105" s="47">
        <f>IF(OR('V13_Marketing&amp;Comm.'!AB9="NE",'V13_Marketing&amp;Comm.'!AB9=""),"",'V13_Marketing&amp;Comm.'!AB9)</f>
        <v>0</v>
      </c>
      <c r="W105" s="123"/>
      <c r="X105" s="612" t="str">
        <f>IF(OR('V13_Marketing&amp;Comm.'!N14="NE",'V13_Marketing&amp;Comm.'!N14=""),"",'V13_Marketing&amp;Comm.'!N14)</f>
        <v/>
      </c>
      <c r="Z105" s="288"/>
    </row>
    <row r="106" spans="1:26" ht="30" customHeight="1" x14ac:dyDescent="0.35">
      <c r="A106" s="610"/>
      <c r="B106" s="610"/>
      <c r="C106" s="610"/>
      <c r="E106" t="str">
        <f>RIGHT(F105,2)&amp;3&amp;1</f>
        <v>1331</v>
      </c>
      <c r="F106" s="595" t="str">
        <f>VLOOKUP(E107,BDD!$A$1:$C$667,3,FALSE)</f>
        <v>Marketing &amp; communication</v>
      </c>
      <c r="G106" s="581" t="str">
        <f>LEFT(RIGHT($E106,2),1)&amp;" : "&amp;IFERROR(VLOOKUP($E106,BDD!$A$1:$S$580,7,FALSE),"")</f>
        <v>3 : La DSI communique selon un plan de communication formalisé, structuré et partagé.</v>
      </c>
      <c r="H106" s="123"/>
      <c r="I106" s="42" t="str">
        <f>IF('V13_Marketing&amp;Comm.'!O10="","",'V13_Marketing&amp;Comm.'!O10)</f>
        <v>NE</v>
      </c>
      <c r="J106" s="42" t="str">
        <f>IF('V13_Marketing&amp;Comm.'!P10="","",'V13_Marketing&amp;Comm.'!P10)</f>
        <v>NE</v>
      </c>
      <c r="K106" s="42" t="str">
        <f>IF('V13_Marketing&amp;Comm.'!Q10="","",'V13_Marketing&amp;Comm.'!Q10)</f>
        <v>NE</v>
      </c>
      <c r="L106" s="49" t="str">
        <f>IF('V13_Marketing&amp;Comm.'!R10="","",'V13_Marketing&amp;Comm.'!R10)</f>
        <v>NE</v>
      </c>
      <c r="M106" s="42" t="str">
        <f>IF('V13_Marketing&amp;Comm.'!S10="","",'V13_Marketing&amp;Comm.'!S10)</f>
        <v>NE</v>
      </c>
      <c r="N106" s="42" t="str">
        <f>IF('V13_Marketing&amp;Comm.'!T10="","",'V13_Marketing&amp;Comm.'!T10)</f>
        <v>NE</v>
      </c>
      <c r="O106" s="50" t="str">
        <f>IF('V13_Marketing&amp;Comm.'!U10="","",'V13_Marketing&amp;Comm.'!U10)</f>
        <v>NE</v>
      </c>
      <c r="P106" s="50" t="str">
        <f>IF('V13_Marketing&amp;Comm.'!V10="","",'V13_Marketing&amp;Comm.'!V10)</f>
        <v>NE</v>
      </c>
      <c r="Q106" s="123"/>
      <c r="R106" s="698" t="str">
        <f>IF(OR('V13_Marketing&amp;Comm.'!X10="NE",'V13_Marketing&amp;Comm.'!X10=""),"",'V13_Marketing&amp;Comm.'!X10)</f>
        <v>N/A</v>
      </c>
      <c r="S106" s="378" t="str">
        <f>IF(OR('V13_Marketing&amp;Comm.'!Y10="NE",'V13_Marketing&amp;Comm.'!Y10=""),"",'V13_Marketing&amp;Comm.'!Y10)</f>
        <v/>
      </c>
      <c r="T106" s="123"/>
      <c r="U106" s="576">
        <f>IF(OR('V13_Marketing&amp;Comm.'!AA10="NE",'V13_Marketing&amp;Comm.'!AA10=""),"",'V13_Marketing&amp;Comm.'!AA10)</f>
        <v>0</v>
      </c>
      <c r="V106" s="43">
        <f>IF(OR('V13_Marketing&amp;Comm.'!AB10="NE",'V13_Marketing&amp;Comm.'!AB10=""),"",'V13_Marketing&amp;Comm.'!AB10)</f>
        <v>0</v>
      </c>
      <c r="W106" s="123"/>
      <c r="X106" s="613" t="str">
        <f>IF(OR('V13_Marketing&amp;Comm.'!AD10="NE",'V13_Marketing&amp;Comm.'!AD10=""),"",'V13_Marketing&amp;Comm.'!AD10)</f>
        <v/>
      </c>
      <c r="Z106" s="288"/>
    </row>
    <row r="107" spans="1:26" ht="30" customHeight="1" thickBot="1" x14ac:dyDescent="0.35">
      <c r="A107" s="610"/>
      <c r="B107" s="610"/>
      <c r="C107" s="610"/>
      <c r="E107" t="str">
        <f>RIGHT(F105,2)&amp;4&amp;1</f>
        <v>1341</v>
      </c>
      <c r="F107" s="375"/>
      <c r="G107" s="582" t="str">
        <f>LEFT(RIGHT($E107,2),1)&amp;" : "&amp;IFERROR(VLOOKUP($E107,BDD!$A$1:$S$580,7,FALSE),"")</f>
        <v>4 : Un plan de communication en cas de crise SI est formalisé et partagé en amont afin d’anticiper.</v>
      </c>
      <c r="H107" s="123"/>
      <c r="I107" s="45" t="str">
        <f>IF('V13_Marketing&amp;Comm.'!O11="","",'V13_Marketing&amp;Comm.'!O11)</f>
        <v>NE</v>
      </c>
      <c r="J107" s="45" t="str">
        <f>IF('V13_Marketing&amp;Comm.'!P11="","",'V13_Marketing&amp;Comm.'!P11)</f>
        <v>NE</v>
      </c>
      <c r="K107" s="45" t="str">
        <f>IF('V13_Marketing&amp;Comm.'!Q11="","",'V13_Marketing&amp;Comm.'!Q11)</f>
        <v>NE</v>
      </c>
      <c r="L107" s="45" t="str">
        <f>IF('V13_Marketing&amp;Comm.'!R11="","",'V13_Marketing&amp;Comm.'!R11)</f>
        <v>NE</v>
      </c>
      <c r="M107" s="45" t="str">
        <f>IF('V13_Marketing&amp;Comm.'!S11="","",'V13_Marketing&amp;Comm.'!S11)</f>
        <v>NE</v>
      </c>
      <c r="N107" s="361" t="str">
        <f>IF('V13_Marketing&amp;Comm.'!T11="","",'V13_Marketing&amp;Comm.'!T11)</f>
        <v/>
      </c>
      <c r="O107" s="359" t="str">
        <f>IF('V13_Marketing&amp;Comm.'!U11="","",'V13_Marketing&amp;Comm.'!U11)</f>
        <v/>
      </c>
      <c r="P107" s="359" t="str">
        <f>IF('V13_Marketing&amp;Comm.'!V11="","",'V13_Marketing&amp;Comm.'!V11)</f>
        <v/>
      </c>
      <c r="Q107" s="123"/>
      <c r="R107" s="699" t="str">
        <f>IF(OR('V13_Marketing&amp;Comm.'!X11="NE",'V13_Marketing&amp;Comm.'!X11=""),"",'V13_Marketing&amp;Comm.'!X11)</f>
        <v>N/A</v>
      </c>
      <c r="S107" s="379" t="str">
        <f>IF(OR('V13_Marketing&amp;Comm.'!Y11="NE",'V13_Marketing&amp;Comm.'!Y11=""),"",'V13_Marketing&amp;Comm.'!Y11)</f>
        <v/>
      </c>
      <c r="T107" s="123"/>
      <c r="U107" s="577">
        <f>IF(OR('V13_Marketing&amp;Comm.'!AA11="NE",'V13_Marketing&amp;Comm.'!AA11=""),"",'V13_Marketing&amp;Comm.'!AA11)</f>
        <v>0</v>
      </c>
      <c r="V107" s="47">
        <f>IF(OR('V13_Marketing&amp;Comm.'!AB11="NE",'V13_Marketing&amp;Comm.'!AB11=""),"",'V13_Marketing&amp;Comm.'!AB11)</f>
        <v>0</v>
      </c>
      <c r="W107" s="123"/>
      <c r="X107" s="614" t="str">
        <f>IF(OR('V13_Marketing&amp;Comm.'!AD11="NE",'V13_Marketing&amp;Comm.'!AD11=""),"",'V13_Marketing&amp;Comm.'!AD11)</f>
        <v/>
      </c>
      <c r="Z107" s="288"/>
    </row>
    <row r="108" spans="1:26" ht="34.950000000000003" customHeight="1" thickBot="1" x14ac:dyDescent="0.35">
      <c r="A108" s="288"/>
      <c r="B108" s="288"/>
      <c r="C108" s="288"/>
      <c r="R108" s="702" t="str">
        <f>IF(OR('V13_Marketing&amp;Comm.'!X14="NE",'V13_Marketing&amp;Comm.'!X14=""),"",'V13_Marketing&amp;Comm.'!X14)</f>
        <v>N/A</v>
      </c>
      <c r="S108" s="385" t="str">
        <f>IF(OR('V13_Marketing&amp;Comm.'!Y14="NE",'V13_Marketing&amp;Comm.'!Y14=""),"",'V13_Marketing&amp;Comm.'!Y14)</f>
        <v/>
      </c>
      <c r="U108" s="580">
        <f>IF(OR('V13_Marketing&amp;Comm.'!AA14="NE",'V13_Marketing&amp;Comm.'!AA14=""),"",'V13_Marketing&amp;Comm.'!AA14)</f>
        <v>0</v>
      </c>
      <c r="V108" s="382">
        <f>IF(OR('V13_Marketing&amp;Comm.'!AB14="NE",'V13_Marketing&amp;Comm.'!AB14=""),"",'V13_Marketing&amp;Comm.'!AB14)</f>
        <v>0</v>
      </c>
      <c r="Z108" s="288"/>
    </row>
    <row r="109" spans="1:26" ht="48" customHeight="1" x14ac:dyDescent="0.3">
      <c r="A109" s="288"/>
      <c r="B109" s="288"/>
      <c r="C109" s="288"/>
      <c r="S109"/>
      <c r="Z109" s="288"/>
    </row>
    <row r="110" spans="1:26" x14ac:dyDescent="0.3">
      <c r="A110" s="288"/>
      <c r="B110" s="288"/>
      <c r="C110" s="288"/>
      <c r="D110" s="288"/>
      <c r="E110" s="288"/>
      <c r="F110" s="288"/>
      <c r="G110" s="288"/>
      <c r="H110" s="288"/>
      <c r="I110" s="288"/>
      <c r="J110" s="288"/>
      <c r="K110" s="288"/>
      <c r="L110" s="288"/>
      <c r="M110" s="288"/>
      <c r="N110" s="288"/>
      <c r="O110" s="288"/>
      <c r="P110" s="288"/>
      <c r="Q110" s="288"/>
      <c r="R110" s="695"/>
      <c r="S110" s="288"/>
      <c r="T110" s="288"/>
      <c r="U110" s="288"/>
      <c r="V110" s="288"/>
      <c r="W110" s="288"/>
      <c r="X110" s="288"/>
      <c r="Y110" s="288"/>
      <c r="Z110" s="288"/>
    </row>
    <row r="111" spans="1:26" x14ac:dyDescent="0.3">
      <c r="A111" s="288"/>
      <c r="B111" s="288"/>
      <c r="C111" s="288"/>
      <c r="D111" s="288"/>
      <c r="E111" s="288"/>
      <c r="F111" s="288"/>
      <c r="G111" s="288"/>
      <c r="H111" s="288"/>
      <c r="I111" s="288"/>
      <c r="J111" s="288"/>
      <c r="K111" s="288"/>
      <c r="L111" s="288"/>
      <c r="M111" s="288"/>
      <c r="N111" s="288"/>
      <c r="O111" s="288"/>
      <c r="P111" s="288"/>
      <c r="Q111" s="288"/>
      <c r="R111" s="695"/>
      <c r="S111" s="288"/>
      <c r="T111" s="288"/>
      <c r="U111" s="288"/>
      <c r="V111" s="288"/>
      <c r="W111" s="288"/>
      <c r="X111" s="288"/>
      <c r="Y111" s="288"/>
      <c r="Z111" s="288"/>
    </row>
  </sheetData>
  <sheetProtection algorithmName="SHA-512" hashValue="z0vvZTllMY7Rb7Sdy/qEt6U6akVYTD3JCwdsv6EPgoT6SShNzDSl9+5sp1Ho2P9CYvUZjQZTBcltOCl0e9gsVw==" saltValue="wCdbAxE3teAKz3yjOp5Bsw==" spinCount="100000" sheet="1" objects="1" scenarios="1"/>
  <mergeCells count="16">
    <mergeCell ref="X73:X76"/>
    <mergeCell ref="A79:C107"/>
    <mergeCell ref="X80:X84"/>
    <mergeCell ref="X88:X93"/>
    <mergeCell ref="X97:X101"/>
    <mergeCell ref="X105:X107"/>
    <mergeCell ref="A40:C76"/>
    <mergeCell ref="X41:X44"/>
    <mergeCell ref="X48:X52"/>
    <mergeCell ref="X56:X60"/>
    <mergeCell ref="X64:X69"/>
    <mergeCell ref="A8:C37"/>
    <mergeCell ref="X9:X12"/>
    <mergeCell ref="X16:X20"/>
    <mergeCell ref="X24:X30"/>
    <mergeCell ref="X34:X37"/>
  </mergeCells>
  <conditionalFormatting sqref="I8:P12">
    <cfRule type="cellIs" dxfId="214" priority="58" operator="equal">
      <formula>3</formula>
    </cfRule>
    <cfRule type="cellIs" dxfId="213" priority="59" operator="equal">
      <formula>2</formula>
    </cfRule>
    <cfRule type="cellIs" dxfId="212" priority="60" operator="equal">
      <formula>1</formula>
    </cfRule>
  </conditionalFormatting>
  <conditionalFormatting sqref="P13 I15:P20">
    <cfRule type="cellIs" dxfId="211" priority="55" operator="equal">
      <formula>3</formula>
    </cfRule>
    <cfRule type="cellIs" dxfId="210" priority="56" operator="equal">
      <formula>2</formula>
    </cfRule>
    <cfRule type="cellIs" dxfId="209" priority="57" operator="equal">
      <formula>1</formula>
    </cfRule>
  </conditionalFormatting>
  <conditionalFormatting sqref="I23:P27">
    <cfRule type="cellIs" dxfId="208" priority="52" operator="equal">
      <formula>3</formula>
    </cfRule>
    <cfRule type="cellIs" dxfId="207" priority="53" operator="equal">
      <formula>2</formula>
    </cfRule>
    <cfRule type="cellIs" dxfId="206" priority="54" operator="equal">
      <formula>1</formula>
    </cfRule>
  </conditionalFormatting>
  <conditionalFormatting sqref="I33:P37">
    <cfRule type="cellIs" dxfId="205" priority="49" operator="equal">
      <formula>3</formula>
    </cfRule>
    <cfRule type="cellIs" dxfId="204" priority="50" operator="equal">
      <formula>2</formula>
    </cfRule>
    <cfRule type="cellIs" dxfId="203" priority="51" operator="equal">
      <formula>1</formula>
    </cfRule>
  </conditionalFormatting>
  <conditionalFormatting sqref="I40:P44">
    <cfRule type="cellIs" dxfId="202" priority="46" operator="equal">
      <formula>3</formula>
    </cfRule>
    <cfRule type="cellIs" dxfId="201" priority="47" operator="equal">
      <formula>2</formula>
    </cfRule>
    <cfRule type="cellIs" dxfId="200" priority="48" operator="equal">
      <formula>1</formula>
    </cfRule>
  </conditionalFormatting>
  <conditionalFormatting sqref="I47:P51">
    <cfRule type="cellIs" dxfId="199" priority="43" operator="equal">
      <formula>3</formula>
    </cfRule>
    <cfRule type="cellIs" dxfId="198" priority="44" operator="equal">
      <formula>2</formula>
    </cfRule>
    <cfRule type="cellIs" dxfId="197" priority="45" operator="equal">
      <formula>1</formula>
    </cfRule>
  </conditionalFormatting>
  <conditionalFormatting sqref="I55:P59">
    <cfRule type="cellIs" dxfId="196" priority="40" operator="equal">
      <formula>3</formula>
    </cfRule>
    <cfRule type="cellIs" dxfId="195" priority="41" operator="equal">
      <formula>2</formula>
    </cfRule>
    <cfRule type="cellIs" dxfId="194" priority="42" operator="equal">
      <formula>1</formula>
    </cfRule>
  </conditionalFormatting>
  <conditionalFormatting sqref="I63:P67">
    <cfRule type="cellIs" dxfId="193" priority="37" operator="equal">
      <formula>3</formula>
    </cfRule>
    <cfRule type="cellIs" dxfId="192" priority="38" operator="equal">
      <formula>2</formula>
    </cfRule>
    <cfRule type="cellIs" dxfId="191" priority="39" operator="equal">
      <formula>1</formula>
    </cfRule>
  </conditionalFormatting>
  <conditionalFormatting sqref="I72:P76">
    <cfRule type="cellIs" dxfId="190" priority="34" operator="equal">
      <formula>3</formula>
    </cfRule>
    <cfRule type="cellIs" dxfId="189" priority="35" operator="equal">
      <formula>2</formula>
    </cfRule>
    <cfRule type="cellIs" dxfId="188" priority="36" operator="equal">
      <formula>1</formula>
    </cfRule>
  </conditionalFormatting>
  <conditionalFormatting sqref="I79:P83">
    <cfRule type="cellIs" dxfId="187" priority="31" operator="equal">
      <formula>3</formula>
    </cfRule>
    <cfRule type="cellIs" dxfId="186" priority="32" operator="equal">
      <formula>2</formula>
    </cfRule>
    <cfRule type="cellIs" dxfId="185" priority="33" operator="equal">
      <formula>1</formula>
    </cfRule>
  </conditionalFormatting>
  <conditionalFormatting sqref="I28:P30">
    <cfRule type="cellIs" dxfId="184" priority="28" operator="equal">
      <formula>3</formula>
    </cfRule>
    <cfRule type="cellIs" dxfId="183" priority="29" operator="equal">
      <formula>2</formula>
    </cfRule>
    <cfRule type="cellIs" dxfId="182" priority="30" operator="equal">
      <formula>1</formula>
    </cfRule>
  </conditionalFormatting>
  <conditionalFormatting sqref="I52:P52">
    <cfRule type="cellIs" dxfId="181" priority="25" operator="equal">
      <formula>3</formula>
    </cfRule>
    <cfRule type="cellIs" dxfId="180" priority="26" operator="equal">
      <formula>2</formula>
    </cfRule>
    <cfRule type="cellIs" dxfId="179" priority="27" operator="equal">
      <formula>1</formula>
    </cfRule>
  </conditionalFormatting>
  <conditionalFormatting sqref="I60:P60">
    <cfRule type="cellIs" dxfId="178" priority="22" operator="equal">
      <formula>3</formula>
    </cfRule>
    <cfRule type="cellIs" dxfId="177" priority="23" operator="equal">
      <formula>2</formula>
    </cfRule>
    <cfRule type="cellIs" dxfId="176" priority="24" operator="equal">
      <formula>1</formula>
    </cfRule>
  </conditionalFormatting>
  <conditionalFormatting sqref="I68:P69">
    <cfRule type="cellIs" dxfId="175" priority="19" operator="equal">
      <formula>3</formula>
    </cfRule>
    <cfRule type="cellIs" dxfId="174" priority="20" operator="equal">
      <formula>2</formula>
    </cfRule>
    <cfRule type="cellIs" dxfId="173" priority="21" operator="equal">
      <formula>1</formula>
    </cfRule>
  </conditionalFormatting>
  <conditionalFormatting sqref="I84:P84">
    <cfRule type="cellIs" dxfId="172" priority="16" operator="equal">
      <formula>3</formula>
    </cfRule>
    <cfRule type="cellIs" dxfId="171" priority="17" operator="equal">
      <formula>2</formula>
    </cfRule>
    <cfRule type="cellIs" dxfId="170" priority="18" operator="equal">
      <formula>1</formula>
    </cfRule>
  </conditionalFormatting>
  <conditionalFormatting sqref="I87:P91">
    <cfRule type="cellIs" dxfId="169" priority="13" operator="equal">
      <formula>3</formula>
    </cfRule>
    <cfRule type="cellIs" dxfId="168" priority="14" operator="equal">
      <formula>2</formula>
    </cfRule>
    <cfRule type="cellIs" dxfId="167" priority="15" operator="equal">
      <formula>1</formula>
    </cfRule>
  </conditionalFormatting>
  <conditionalFormatting sqref="I96:P100">
    <cfRule type="cellIs" dxfId="166" priority="10" operator="equal">
      <formula>3</formula>
    </cfRule>
    <cfRule type="cellIs" dxfId="165" priority="11" operator="equal">
      <formula>2</formula>
    </cfRule>
    <cfRule type="cellIs" dxfId="164" priority="12" operator="equal">
      <formula>1</formula>
    </cfRule>
  </conditionalFormatting>
  <conditionalFormatting sqref="I101:P101">
    <cfRule type="cellIs" dxfId="163" priority="7" operator="equal">
      <formula>3</formula>
    </cfRule>
    <cfRule type="cellIs" dxfId="162" priority="8" operator="equal">
      <formula>2</formula>
    </cfRule>
    <cfRule type="cellIs" dxfId="161" priority="9" operator="equal">
      <formula>1</formula>
    </cfRule>
  </conditionalFormatting>
  <conditionalFormatting sqref="I104:P107">
    <cfRule type="cellIs" dxfId="160" priority="4" operator="equal">
      <formula>3</formula>
    </cfRule>
    <cfRule type="cellIs" dxfId="159" priority="5" operator="equal">
      <formula>2</formula>
    </cfRule>
    <cfRule type="cellIs" dxfId="158" priority="6" operator="equal">
      <formula>1</formula>
    </cfRule>
  </conditionalFormatting>
  <conditionalFormatting sqref="I92:P93">
    <cfRule type="cellIs" dxfId="157" priority="1" operator="equal">
      <formula>3</formula>
    </cfRule>
    <cfRule type="cellIs" dxfId="156" priority="2" operator="equal">
      <formula>2</formula>
    </cfRule>
    <cfRule type="cellIs" dxfId="155" priority="3"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0B870-5E11-4497-B18D-6BE65CCE5F5F}">
  <sheetPr codeName="Feuil12">
    <tabColor rgb="FFC00000"/>
  </sheetPr>
  <dimension ref="A1:Q20"/>
  <sheetViews>
    <sheetView showGridLines="0" showRowColHeaders="0" zoomScale="61" zoomScaleNormal="72" workbookViewId="0">
      <selection activeCell="AA9" sqref="AA9"/>
    </sheetView>
  </sheetViews>
  <sheetFormatPr baseColWidth="10" defaultRowHeight="14.4" x14ac:dyDescent="0.3"/>
  <cols>
    <col min="1" max="1" width="5.77734375" customWidth="1"/>
    <col min="2" max="3" width="5.77734375" hidden="1" customWidth="1"/>
    <col min="4" max="4" width="5.77734375" customWidth="1"/>
    <col min="5" max="5" width="25.33203125" customWidth="1"/>
    <col min="6" max="6" width="36.109375" customWidth="1"/>
    <col min="7" max="8" width="19.21875" customWidth="1"/>
    <col min="9" max="9" width="15.6640625" customWidth="1"/>
    <col min="10" max="10" width="42.33203125" style="125" customWidth="1"/>
    <col min="11" max="11" width="1.88671875" customWidth="1"/>
    <col min="12" max="12" width="11.44140625" bestFit="1" customWidth="1"/>
    <col min="13" max="13" width="13" customWidth="1"/>
    <col min="14" max="14" width="1.88671875" customWidth="1"/>
    <col min="15" max="15" width="33.21875" customWidth="1"/>
    <col min="16" max="17" width="5.77734375" customWidth="1"/>
    <col min="18" max="18" width="27" customWidth="1"/>
  </cols>
  <sheetData>
    <row r="1" spans="1:17" ht="19.8" customHeight="1" x14ac:dyDescent="0.55000000000000004">
      <c r="A1" s="280"/>
      <c r="B1" s="280"/>
      <c r="C1" s="280"/>
      <c r="D1" s="280"/>
      <c r="E1" s="280"/>
      <c r="F1" s="280"/>
      <c r="G1" s="280"/>
      <c r="H1" s="280"/>
      <c r="I1" s="280"/>
      <c r="J1" s="280"/>
      <c r="K1" s="280"/>
      <c r="L1" s="280"/>
      <c r="M1" s="280"/>
      <c r="N1" s="280"/>
      <c r="O1" s="280"/>
      <c r="P1" s="280"/>
      <c r="Q1" s="280"/>
    </row>
    <row r="2" spans="1:17" ht="30.6" customHeight="1" x14ac:dyDescent="0.55000000000000004">
      <c r="A2" s="280"/>
      <c r="B2" s="280"/>
      <c r="C2" s="280"/>
      <c r="D2" s="280"/>
      <c r="E2" s="280"/>
      <c r="F2" s="280"/>
      <c r="G2" s="280"/>
      <c r="H2" s="280" t="s">
        <v>1020</v>
      </c>
      <c r="I2" s="280"/>
      <c r="J2" s="280"/>
      <c r="K2" s="280"/>
      <c r="L2" s="280"/>
      <c r="M2" s="280"/>
      <c r="N2" s="280"/>
      <c r="O2" s="280"/>
      <c r="P2" s="280"/>
      <c r="Q2" s="280"/>
    </row>
    <row r="3" spans="1:17" ht="20.399999999999999" customHeight="1" x14ac:dyDescent="0.55000000000000004">
      <c r="A3" s="280"/>
      <c r="B3" s="280"/>
      <c r="C3" s="280"/>
      <c r="D3" s="280"/>
      <c r="E3" s="280"/>
      <c r="F3" s="280"/>
      <c r="G3" s="280"/>
      <c r="H3" s="280"/>
      <c r="I3" s="280"/>
      <c r="J3" s="280"/>
      <c r="K3" s="280"/>
      <c r="L3" s="280"/>
      <c r="M3" s="280"/>
      <c r="N3" s="280"/>
      <c r="O3" s="280"/>
      <c r="P3" s="280"/>
      <c r="Q3" s="280"/>
    </row>
    <row r="4" spans="1:17" ht="30" customHeight="1" thickBot="1" x14ac:dyDescent="0.6">
      <c r="A4" s="280"/>
      <c r="E4" s="216"/>
      <c r="F4" s="216"/>
      <c r="Q4" s="280"/>
    </row>
    <row r="5" spans="1:17" ht="40.200000000000003" customHeight="1" thickTop="1" thickBot="1" x14ac:dyDescent="0.6">
      <c r="A5" s="280"/>
      <c r="G5" s="393" t="s">
        <v>12</v>
      </c>
      <c r="H5" s="394" t="s">
        <v>13</v>
      </c>
      <c r="Q5" s="280"/>
    </row>
    <row r="6" spans="1:17" ht="34.950000000000003" customHeight="1" thickTop="1" thickBot="1" x14ac:dyDescent="0.6">
      <c r="A6" s="280"/>
      <c r="C6">
        <v>1</v>
      </c>
      <c r="E6" s="281" t="str">
        <f>"Vecteur "&amp;C6</f>
        <v>Vecteur 1</v>
      </c>
      <c r="F6" s="283" t="str">
        <f>VLOOKUP(C6,BDD!$B$1:$C$667,2,FALSE)</f>
        <v>Stratégies</v>
      </c>
      <c r="G6" s="575">
        <f>V1_Stratégie!Z15</f>
        <v>0</v>
      </c>
      <c r="H6" s="287">
        <f>V1_Stratégie!AA15</f>
        <v>0</v>
      </c>
      <c r="Q6" s="280"/>
    </row>
    <row r="7" spans="1:17" ht="34.950000000000003" customHeight="1" thickTop="1" thickBot="1" x14ac:dyDescent="0.6">
      <c r="A7" s="280"/>
      <c r="C7">
        <f>C6+1</f>
        <v>2</v>
      </c>
      <c r="E7" s="281" t="str">
        <f t="shared" ref="E7:E18" si="0">"Vecteur "&amp;C7</f>
        <v>Vecteur 2</v>
      </c>
      <c r="F7" s="283" t="str">
        <f>VLOOKUP(C7,BDD!$B$1:$C$667,2,FALSE)</f>
        <v>Innovation</v>
      </c>
      <c r="G7" s="575">
        <f>V2_Innovation!Z16</f>
        <v>0</v>
      </c>
      <c r="H7" s="286">
        <f>V2_Innovation!AA16</f>
        <v>0</v>
      </c>
      <c r="Q7" s="280"/>
    </row>
    <row r="8" spans="1:17" ht="34.950000000000003" customHeight="1" thickTop="1" thickBot="1" x14ac:dyDescent="0.6">
      <c r="A8" s="280"/>
      <c r="C8">
        <f t="shared" ref="C8:C18" si="1">C7+1</f>
        <v>3</v>
      </c>
      <c r="E8" s="281" t="str">
        <f t="shared" si="0"/>
        <v>Vecteur 3</v>
      </c>
      <c r="F8" s="283" t="str">
        <f>VLOOKUP(C8,BDD!$B$1:$C$667,2,FALSE)</f>
        <v>Risques &amp; conformité</v>
      </c>
      <c r="G8" s="575">
        <f>'V3_ Risques&amp;Conformité'!Z17</f>
        <v>0</v>
      </c>
      <c r="H8" s="286">
        <f>'V3_ Risques&amp;Conformité'!AA17</f>
        <v>0</v>
      </c>
      <c r="Q8" s="280"/>
    </row>
    <row r="9" spans="1:17" ht="34.950000000000003" customHeight="1" thickTop="1" thickBot="1" x14ac:dyDescent="0.6">
      <c r="A9" s="280"/>
      <c r="C9">
        <f t="shared" si="1"/>
        <v>4</v>
      </c>
      <c r="E9" s="281" t="str">
        <f t="shared" si="0"/>
        <v>Vecteur 4</v>
      </c>
      <c r="F9" s="283" t="str">
        <f>VLOOKUP(C9,BDD!$B$1:$C$667,2,FALSE)</f>
        <v>RSE</v>
      </c>
      <c r="G9" s="575">
        <f>V4_RSE!Z15</f>
        <v>0</v>
      </c>
      <c r="H9" s="286">
        <f>V4_RSE!AA15</f>
        <v>0</v>
      </c>
      <c r="Q9" s="280"/>
    </row>
    <row r="10" spans="1:17" ht="34.950000000000003" customHeight="1" thickTop="1" thickBot="1" x14ac:dyDescent="0.6">
      <c r="A10" s="280"/>
      <c r="C10">
        <f t="shared" si="1"/>
        <v>5</v>
      </c>
      <c r="E10" s="282" t="str">
        <f t="shared" si="0"/>
        <v>Vecteur 5</v>
      </c>
      <c r="F10" s="284" t="str">
        <f>VLOOKUP(C10,BDD!$B$1:$C$667,2,FALSE)</f>
        <v>Données &amp; IA</v>
      </c>
      <c r="G10" s="575">
        <f>'V5_Données&amp;IA'!Z15</f>
        <v>0</v>
      </c>
      <c r="H10" s="286">
        <f>'V5_Données&amp;IA'!AA15</f>
        <v>0</v>
      </c>
      <c r="Q10" s="280"/>
    </row>
    <row r="11" spans="1:17" ht="34.950000000000003" customHeight="1" thickTop="1" thickBot="1" x14ac:dyDescent="0.6">
      <c r="A11" s="280"/>
      <c r="C11">
        <f t="shared" si="1"/>
        <v>6</v>
      </c>
      <c r="E11" s="282" t="str">
        <f t="shared" si="0"/>
        <v>Vecteur 6</v>
      </c>
      <c r="F11" s="284" t="str">
        <f>VLOOKUP(C11,BDD!$B$1:$C$667,2,FALSE)</f>
        <v>Architecture</v>
      </c>
      <c r="G11" s="575">
        <f>V6_Architecture!Z16</f>
        <v>0</v>
      </c>
      <c r="H11" s="286">
        <f>V6_Architecture!AA16</f>
        <v>0</v>
      </c>
      <c r="Q11" s="280"/>
    </row>
    <row r="12" spans="1:17" ht="34.950000000000003" customHeight="1" thickTop="1" thickBot="1" x14ac:dyDescent="0.6">
      <c r="A12" s="280"/>
      <c r="C12">
        <f t="shared" si="1"/>
        <v>7</v>
      </c>
      <c r="E12" s="282" t="str">
        <f t="shared" si="0"/>
        <v>Vecteur 7</v>
      </c>
      <c r="F12" s="284" t="str">
        <f>VLOOKUP(C12,BDD!$B$1:$C$667,2,FALSE)</f>
        <v>Portefeuille de projets</v>
      </c>
      <c r="G12" s="575">
        <f>V7_Portefeuille!Z16</f>
        <v>0</v>
      </c>
      <c r="H12" s="286">
        <f>V7_Portefeuille!AA16</f>
        <v>0</v>
      </c>
      <c r="Q12" s="280"/>
    </row>
    <row r="13" spans="1:17" ht="34.950000000000003" customHeight="1" thickTop="1" thickBot="1" x14ac:dyDescent="0.6">
      <c r="A13" s="280"/>
      <c r="C13">
        <f t="shared" si="1"/>
        <v>8</v>
      </c>
      <c r="E13" s="282" t="str">
        <f t="shared" si="0"/>
        <v>Vecteur 8</v>
      </c>
      <c r="F13" s="284" t="str">
        <f>VLOOKUP(C13,BDD!$B$1:$C$667,2,FALSE)</f>
        <v>Projets</v>
      </c>
      <c r="G13" s="575">
        <f>V8_Projets!Z17</f>
        <v>0</v>
      </c>
      <c r="H13" s="286">
        <f>V8_Projets!AA17</f>
        <v>0</v>
      </c>
      <c r="Q13" s="280"/>
    </row>
    <row r="14" spans="1:17" ht="34.950000000000003" customHeight="1" thickTop="1" thickBot="1" x14ac:dyDescent="0.6">
      <c r="A14" s="280"/>
      <c r="C14">
        <f t="shared" si="1"/>
        <v>9</v>
      </c>
      <c r="E14" s="282" t="str">
        <f t="shared" si="0"/>
        <v>Vecteur 9</v>
      </c>
      <c r="F14" s="284" t="str">
        <f>VLOOKUP(C14,BDD!$B$1:$C$667,2,FALSE)</f>
        <v>Services</v>
      </c>
      <c r="G14" s="575">
        <f>'V9_ Services'!Z15</f>
        <v>0</v>
      </c>
      <c r="H14" s="286">
        <f>'V9_ Services'!AA15</f>
        <v>0</v>
      </c>
      <c r="Q14" s="280"/>
    </row>
    <row r="15" spans="1:17" ht="34.950000000000003" customHeight="1" thickTop="1" thickBot="1" x14ac:dyDescent="0.6">
      <c r="A15" s="280"/>
      <c r="C15">
        <f t="shared" si="1"/>
        <v>10</v>
      </c>
      <c r="E15" s="209" t="str">
        <f t="shared" si="0"/>
        <v>Vecteur 10</v>
      </c>
      <c r="F15" s="285" t="str">
        <f>VLOOKUP(C15,BDD!$B$1:$C$667,2,FALSE)</f>
        <v xml:space="preserve">Ressources humaines </v>
      </c>
      <c r="G15" s="575">
        <f>V10_RH!Z16</f>
        <v>0</v>
      </c>
      <c r="H15" s="286">
        <f>V10_RH!AA16</f>
        <v>0</v>
      </c>
      <c r="Q15" s="280"/>
    </row>
    <row r="16" spans="1:17" ht="34.950000000000003" customHeight="1" thickTop="1" thickBot="1" x14ac:dyDescent="0.6">
      <c r="A16" s="280"/>
      <c r="C16">
        <f t="shared" si="1"/>
        <v>11</v>
      </c>
      <c r="E16" s="209" t="str">
        <f t="shared" si="0"/>
        <v>Vecteur 11</v>
      </c>
      <c r="F16" s="285" t="str">
        <f>VLOOKUP(C16,BDD!$B$1:$C$667,2,FALSE)</f>
        <v>Prestataires &amp; fournisseurs</v>
      </c>
      <c r="G16" s="575">
        <f>'V11_Presta&amp;Fournisseurs'!Z17</f>
        <v>0</v>
      </c>
      <c r="H16" s="286">
        <f>'V11_Presta&amp;Fournisseurs'!AA17</f>
        <v>0</v>
      </c>
      <c r="Q16" s="280"/>
    </row>
    <row r="17" spans="1:17" ht="34.950000000000003" customHeight="1" thickTop="1" thickBot="1" x14ac:dyDescent="0.6">
      <c r="A17" s="280"/>
      <c r="C17">
        <f t="shared" si="1"/>
        <v>12</v>
      </c>
      <c r="E17" s="209" t="str">
        <f t="shared" si="0"/>
        <v>Vecteur 12</v>
      </c>
      <c r="F17" s="285" t="str">
        <f>VLOOKUP(C17,BDD!$B$1:$C$667,2,FALSE)</f>
        <v>Budget &amp; performance</v>
      </c>
      <c r="G17" s="575">
        <f>'V12_Budget&amp;Perf.'!AA16</f>
        <v>0</v>
      </c>
      <c r="H17" s="286">
        <f>'V12_Budget&amp;Perf.'!AB16</f>
        <v>0</v>
      </c>
      <c r="Q17" s="280"/>
    </row>
    <row r="18" spans="1:17" ht="34.950000000000003" customHeight="1" thickTop="1" thickBot="1" x14ac:dyDescent="0.6">
      <c r="A18" s="280"/>
      <c r="C18">
        <f t="shared" si="1"/>
        <v>13</v>
      </c>
      <c r="E18" s="209" t="str">
        <f t="shared" si="0"/>
        <v>Vecteur 13</v>
      </c>
      <c r="F18" s="285" t="str">
        <f>VLOOKUP(C18,BDD!$B$1:$C$667,2,FALSE)</f>
        <v>Marketing &amp; communication</v>
      </c>
      <c r="G18" s="575">
        <f>'V13_Marketing&amp;Comm.'!AA14</f>
        <v>0</v>
      </c>
      <c r="H18" s="286">
        <f>'V13_Marketing&amp;Comm.'!AB14</f>
        <v>0</v>
      </c>
      <c r="Q18" s="280"/>
    </row>
    <row r="19" spans="1:17" ht="29.4" thickTop="1" x14ac:dyDescent="0.55000000000000004">
      <c r="A19" s="280"/>
      <c r="C19">
        <f>C18+1</f>
        <v>14</v>
      </c>
      <c r="Q19" s="280"/>
    </row>
    <row r="20" spans="1:17" ht="28.8" x14ac:dyDescent="0.55000000000000004">
      <c r="A20" s="280"/>
      <c r="B20" s="128"/>
      <c r="C20" s="128"/>
      <c r="D20" s="280"/>
      <c r="E20" s="280"/>
      <c r="F20" s="280"/>
      <c r="G20" s="280"/>
      <c r="H20" s="280"/>
      <c r="I20" s="280"/>
      <c r="J20" s="280"/>
      <c r="K20" s="280"/>
      <c r="L20" s="280"/>
      <c r="M20" s="280"/>
      <c r="N20" s="280"/>
      <c r="O20" s="280"/>
      <c r="P20" s="280"/>
      <c r="Q20" s="280"/>
    </row>
  </sheetData>
  <sheetProtection algorithmName="SHA-512" hashValue="iQSsOUnkkq3APKwKKTf+gI4zReWN1ZbBJc9rhW7pjiTLXOgskSBkl6FbJRq5BkltwfCe1c1d71NadJEvdIvqGA==" saltValue="pW6T+5xgzHlEn4RSpKG92A=="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5D7EA-E7CC-48C4-9A12-6F18C576C459}">
  <sheetPr codeName="Feuil11"/>
  <dimension ref="A1:R535"/>
  <sheetViews>
    <sheetView zoomScale="64" zoomScaleNormal="79" workbookViewId="0">
      <pane xSplit="2" ySplit="1" topLeftCell="L242" activePane="bottomRight" state="frozen"/>
      <selection activeCell="M258" sqref="M258"/>
      <selection pane="topRight" activeCell="M258" sqref="M258"/>
      <selection pane="bottomLeft" activeCell="M258" sqref="M258"/>
      <selection pane="bottomRight" activeCell="M258" sqref="M258"/>
    </sheetView>
  </sheetViews>
  <sheetFormatPr baseColWidth="10" defaultRowHeight="18" x14ac:dyDescent="0.3"/>
  <cols>
    <col min="1" max="1" width="4.44140625" style="155" customWidth="1"/>
    <col min="2" max="3" width="9.77734375" style="155" bestFit="1" customWidth="1"/>
    <col min="4" max="4" width="27.6640625" style="155" customWidth="1"/>
    <col min="5" max="5" width="5.5546875" style="159" bestFit="1" customWidth="1"/>
    <col min="6" max="6" width="18.44140625" style="155" customWidth="1"/>
    <col min="7" max="7" width="36" customWidth="1"/>
    <col min="8" max="8" width="18.44140625" style="185" customWidth="1"/>
    <col min="9" max="9" width="11.5546875" style="155"/>
    <col min="10" max="10" width="149.33203125" style="155" customWidth="1"/>
    <col min="11" max="11" width="7.6640625" style="155" customWidth="1"/>
    <col min="12" max="12" width="36.6640625" style="255" customWidth="1"/>
    <col min="13" max="13" width="44.6640625" style="155" customWidth="1"/>
    <col min="14" max="14" width="15.109375" style="155" customWidth="1"/>
    <col min="15" max="15" width="16.5546875" style="202" bestFit="1" customWidth="1"/>
    <col min="16" max="16" width="11.33203125" style="155" customWidth="1"/>
    <col min="17" max="17" width="17.77734375" style="155" customWidth="1"/>
    <col min="18" max="18" width="38.88671875" style="155" customWidth="1"/>
    <col min="19" max="16384" width="11.5546875" style="155"/>
  </cols>
  <sheetData>
    <row r="1" spans="1:18" ht="28.8" x14ac:dyDescent="0.3">
      <c r="A1" s="155" t="s">
        <v>496</v>
      </c>
      <c r="B1" s="161" t="s">
        <v>109</v>
      </c>
      <c r="C1" s="152" t="s">
        <v>93</v>
      </c>
      <c r="D1" s="152" t="s">
        <v>107</v>
      </c>
      <c r="E1" s="166" t="s">
        <v>105</v>
      </c>
      <c r="F1" s="152" t="s">
        <v>2</v>
      </c>
      <c r="G1" s="400" t="s">
        <v>498</v>
      </c>
      <c r="H1" s="152" t="s">
        <v>163</v>
      </c>
      <c r="I1" s="152" t="s">
        <v>106</v>
      </c>
      <c r="J1" s="152" t="s">
        <v>561</v>
      </c>
      <c r="K1" s="152" t="s">
        <v>21</v>
      </c>
      <c r="L1" s="324" t="s">
        <v>549</v>
      </c>
      <c r="M1" s="152" t="s">
        <v>113</v>
      </c>
      <c r="N1" s="152" t="s">
        <v>114</v>
      </c>
      <c r="O1" s="198" t="s">
        <v>505</v>
      </c>
      <c r="P1" s="152" t="s">
        <v>507</v>
      </c>
      <c r="R1" s="152"/>
    </row>
    <row r="2" spans="1:18" ht="15" customHeight="1" x14ac:dyDescent="0.3">
      <c r="A2" s="155" t="str">
        <f>B2&amp;E2&amp;I2</f>
        <v>111</v>
      </c>
      <c r="B2" s="181">
        <v>1</v>
      </c>
      <c r="C2" s="153" t="s">
        <v>647</v>
      </c>
      <c r="D2" s="153" t="s">
        <v>648</v>
      </c>
      <c r="E2" s="167">
        <v>1</v>
      </c>
      <c r="F2" s="181" t="s">
        <v>94</v>
      </c>
      <c r="G2" s="401" t="s">
        <v>649</v>
      </c>
      <c r="H2" s="217" t="s">
        <v>650</v>
      </c>
      <c r="I2" s="162">
        <v>1</v>
      </c>
      <c r="J2" s="153" t="s">
        <v>857</v>
      </c>
      <c r="K2" s="153" t="s">
        <v>26</v>
      </c>
      <c r="L2" s="247" t="s">
        <v>88</v>
      </c>
      <c r="M2" s="173" t="s">
        <v>121</v>
      </c>
      <c r="N2" s="176" t="s">
        <v>124</v>
      </c>
      <c r="O2" s="199">
        <f>IFERROR(VLOOKUP($P2,Suppl!$B$2:$N$57,MATCH(BDD!$B2,Suppl!$C$1:$N$1,0)+1,FALSE),"")</f>
        <v>0</v>
      </c>
      <c r="P2" s="153" t="str">
        <f>E2&amp;I2</f>
        <v>11</v>
      </c>
    </row>
    <row r="3" spans="1:18" ht="15" customHeight="1" x14ac:dyDescent="0.3">
      <c r="A3" s="155" t="str">
        <f t="shared" ref="A3:A66" si="0">B3&amp;E3&amp;I3</f>
        <v>112</v>
      </c>
      <c r="B3" s="182">
        <f>B2</f>
        <v>1</v>
      </c>
      <c r="C3" s="156" t="str">
        <f>C2</f>
        <v>Stratégies</v>
      </c>
      <c r="D3" s="156" t="s">
        <v>648</v>
      </c>
      <c r="E3" s="168">
        <v>1</v>
      </c>
      <c r="F3" s="182" t="s">
        <v>94</v>
      </c>
      <c r="G3" s="402" t="s">
        <v>649</v>
      </c>
      <c r="H3" s="217" t="s">
        <v>164</v>
      </c>
      <c r="I3" s="162">
        <v>2</v>
      </c>
      <c r="J3" s="153" t="s">
        <v>29</v>
      </c>
      <c r="K3" s="153" t="s">
        <v>23</v>
      </c>
      <c r="L3" s="247" t="s">
        <v>89</v>
      </c>
      <c r="M3" s="174" t="s">
        <v>122</v>
      </c>
      <c r="N3" s="177" t="s">
        <v>125</v>
      </c>
      <c r="O3" s="199">
        <f>IFERROR(VLOOKUP($P3,Suppl!$B$2:$N$57,MATCH(BDD!$B3,Suppl!$C$1:$N$1,0)+1,FALSE),"")</f>
        <v>0</v>
      </c>
      <c r="P3" s="153" t="str">
        <f t="shared" ref="P3:P66" si="1">E3&amp;I3</f>
        <v>12</v>
      </c>
    </row>
    <row r="4" spans="1:18" ht="15" customHeight="1" x14ac:dyDescent="0.3">
      <c r="A4" s="155" t="str">
        <f t="shared" si="0"/>
        <v>113</v>
      </c>
      <c r="B4" s="182">
        <f t="shared" ref="B4:B36" si="2">B3</f>
        <v>1</v>
      </c>
      <c r="C4" s="156" t="str">
        <f t="shared" ref="C4:C36" si="3">C3</f>
        <v>Stratégies</v>
      </c>
      <c r="D4" s="156" t="s">
        <v>648</v>
      </c>
      <c r="E4" s="168">
        <v>1</v>
      </c>
      <c r="F4" s="182" t="s">
        <v>94</v>
      </c>
      <c r="G4" s="402" t="s">
        <v>649</v>
      </c>
      <c r="H4" s="217" t="s">
        <v>164</v>
      </c>
      <c r="I4" s="162">
        <v>3</v>
      </c>
      <c r="J4" s="153" t="s">
        <v>31</v>
      </c>
      <c r="K4" s="153" t="s">
        <v>24</v>
      </c>
      <c r="L4" s="321" t="s">
        <v>858</v>
      </c>
      <c r="M4" s="174" t="s">
        <v>123</v>
      </c>
      <c r="N4" s="177" t="s">
        <v>126</v>
      </c>
      <c r="O4" s="199">
        <f>IFERROR(VLOOKUP($P4,Suppl!$B$2:$N$57,MATCH(BDD!$B4,Suppl!$C$1:$N$1,0)+1,FALSE),"")</f>
        <v>0</v>
      </c>
      <c r="P4" s="153" t="str">
        <f t="shared" si="1"/>
        <v>13</v>
      </c>
    </row>
    <row r="5" spans="1:18" ht="15" customHeight="1" x14ac:dyDescent="0.3">
      <c r="A5" s="155" t="str">
        <f t="shared" si="0"/>
        <v>114</v>
      </c>
      <c r="B5" s="182">
        <f t="shared" si="2"/>
        <v>1</v>
      </c>
      <c r="C5" s="156" t="str">
        <f t="shared" si="3"/>
        <v>Stratégies</v>
      </c>
      <c r="D5" s="156" t="s">
        <v>648</v>
      </c>
      <c r="E5" s="168">
        <v>1</v>
      </c>
      <c r="F5" s="182" t="s">
        <v>94</v>
      </c>
      <c r="G5" s="402" t="s">
        <v>649</v>
      </c>
      <c r="H5" s="217" t="s">
        <v>164</v>
      </c>
      <c r="I5" s="162">
        <v>4</v>
      </c>
      <c r="J5" s="153" t="s">
        <v>620</v>
      </c>
      <c r="K5" s="153" t="s">
        <v>24</v>
      </c>
      <c r="L5" s="247" t="s">
        <v>90</v>
      </c>
      <c r="M5" s="174"/>
      <c r="N5" s="177" t="s">
        <v>127</v>
      </c>
      <c r="O5" s="199">
        <f>IFERROR(VLOOKUP($P5,Suppl!$B$2:$N$57,MATCH(BDD!$B5,Suppl!$C$1:$N$1,0)+1,FALSE),"")</f>
        <v>0</v>
      </c>
      <c r="P5" s="153" t="str">
        <f t="shared" si="1"/>
        <v>14</v>
      </c>
    </row>
    <row r="6" spans="1:18" ht="15" customHeight="1" x14ac:dyDescent="0.3">
      <c r="A6" s="155" t="str">
        <f t="shared" si="0"/>
        <v>115</v>
      </c>
      <c r="B6" s="182">
        <f t="shared" si="2"/>
        <v>1</v>
      </c>
      <c r="C6" s="156" t="str">
        <f t="shared" si="3"/>
        <v>Stratégies</v>
      </c>
      <c r="D6" s="156" t="s">
        <v>648</v>
      </c>
      <c r="E6" s="168">
        <v>1</v>
      </c>
      <c r="F6" s="182" t="s">
        <v>94</v>
      </c>
      <c r="G6" s="402" t="s">
        <v>649</v>
      </c>
      <c r="H6" s="217" t="s">
        <v>164</v>
      </c>
      <c r="I6" s="162">
        <v>5</v>
      </c>
      <c r="J6" s="153" t="s">
        <v>651</v>
      </c>
      <c r="K6" s="153" t="s">
        <v>22</v>
      </c>
      <c r="L6" s="247"/>
      <c r="M6" s="174"/>
      <c r="N6" s="177"/>
      <c r="O6" s="199">
        <f>IFERROR(VLOOKUP($P6,Suppl!$B$2:$N$57,MATCH(BDD!$B6,Suppl!$C$1:$N$1,0)+1,FALSE),"")</f>
        <v>0</v>
      </c>
      <c r="P6" s="153" t="str">
        <f t="shared" si="1"/>
        <v>15</v>
      </c>
    </row>
    <row r="7" spans="1:18" ht="15" customHeight="1" x14ac:dyDescent="0.3">
      <c r="A7" s="155" t="str">
        <f t="shared" si="0"/>
        <v>116</v>
      </c>
      <c r="B7" s="182">
        <f t="shared" si="2"/>
        <v>1</v>
      </c>
      <c r="C7" s="156" t="str">
        <f t="shared" si="3"/>
        <v>Stratégies</v>
      </c>
      <c r="D7" s="156" t="s">
        <v>648</v>
      </c>
      <c r="E7" s="168">
        <v>1</v>
      </c>
      <c r="F7" s="182" t="s">
        <v>94</v>
      </c>
      <c r="G7" s="402" t="s">
        <v>649</v>
      </c>
      <c r="H7" s="217" t="s">
        <v>164</v>
      </c>
      <c r="I7" s="162">
        <v>6</v>
      </c>
      <c r="J7" s="153" t="s">
        <v>35</v>
      </c>
      <c r="K7" s="153" t="s">
        <v>24</v>
      </c>
      <c r="L7" s="247" t="s">
        <v>91</v>
      </c>
      <c r="M7" s="174"/>
      <c r="N7" s="177"/>
      <c r="O7" s="199">
        <f>IFERROR(VLOOKUP($P7,Suppl!$B$2:$N$57,MATCH(BDD!$B7,Suppl!$C$1:$N$1,0)+1,FALSE),"")</f>
        <v>0</v>
      </c>
      <c r="P7" s="153" t="str">
        <f t="shared" si="1"/>
        <v>16</v>
      </c>
    </row>
    <row r="8" spans="1:18" ht="15" customHeight="1" x14ac:dyDescent="0.3">
      <c r="A8" s="155" t="str">
        <f t="shared" si="0"/>
        <v>117</v>
      </c>
      <c r="B8" s="183">
        <f t="shared" si="2"/>
        <v>1</v>
      </c>
      <c r="C8" s="157" t="str">
        <f t="shared" si="3"/>
        <v>Stratégies</v>
      </c>
      <c r="D8" s="157" t="s">
        <v>648</v>
      </c>
      <c r="E8" s="169">
        <v>1</v>
      </c>
      <c r="F8" s="183" t="s">
        <v>94</v>
      </c>
      <c r="G8" s="403" t="s">
        <v>649</v>
      </c>
      <c r="H8" s="217" t="s">
        <v>164</v>
      </c>
      <c r="I8" s="171">
        <v>7</v>
      </c>
      <c r="J8" s="154" t="s">
        <v>37</v>
      </c>
      <c r="K8" s="154" t="s">
        <v>25</v>
      </c>
      <c r="L8" s="323"/>
      <c r="M8" s="175"/>
      <c r="N8" s="178"/>
      <c r="O8" s="200">
        <f>IFERROR(VLOOKUP($P8,Suppl!$B$2:$N$57,MATCH(BDD!$B8,Suppl!$C$1:$N$1,0)+1,FALSE),"")</f>
        <v>0</v>
      </c>
      <c r="P8" s="154" t="str">
        <f t="shared" si="1"/>
        <v>17</v>
      </c>
    </row>
    <row r="9" spans="1:18" ht="15" customHeight="1" x14ac:dyDescent="0.3">
      <c r="A9" s="155" t="str">
        <f t="shared" si="0"/>
        <v>121</v>
      </c>
      <c r="B9" s="182">
        <f t="shared" si="2"/>
        <v>1</v>
      </c>
      <c r="C9" s="156" t="str">
        <f t="shared" si="3"/>
        <v>Stratégies</v>
      </c>
      <c r="D9" s="156" t="s">
        <v>648</v>
      </c>
      <c r="E9" s="167">
        <v>2</v>
      </c>
      <c r="F9" s="218" t="s">
        <v>112</v>
      </c>
      <c r="G9" s="404" t="s">
        <v>38</v>
      </c>
      <c r="H9" s="217" t="s">
        <v>652</v>
      </c>
      <c r="I9" s="162">
        <v>1</v>
      </c>
      <c r="J9" s="153" t="s">
        <v>39</v>
      </c>
      <c r="K9" s="153" t="s">
        <v>24</v>
      </c>
      <c r="L9" s="247"/>
      <c r="M9" s="153" t="s">
        <v>164</v>
      </c>
      <c r="N9" s="153"/>
      <c r="O9" s="199">
        <f>IFERROR(VLOOKUP($P9,Suppl!$B$2:$N$57,MATCH(BDD!$B9,Suppl!$C$1:$N$1,0)+1,FALSE),"")</f>
        <v>0</v>
      </c>
      <c r="P9" s="153" t="str">
        <f t="shared" si="1"/>
        <v>21</v>
      </c>
    </row>
    <row r="10" spans="1:18" ht="15" customHeight="1" x14ac:dyDescent="0.3">
      <c r="A10" s="155" t="str">
        <f t="shared" si="0"/>
        <v>122</v>
      </c>
      <c r="B10" s="182">
        <f t="shared" si="2"/>
        <v>1</v>
      </c>
      <c r="C10" s="156" t="str">
        <f t="shared" si="3"/>
        <v>Stratégies</v>
      </c>
      <c r="D10" s="156" t="s">
        <v>648</v>
      </c>
      <c r="E10" s="168">
        <v>2</v>
      </c>
      <c r="F10" s="182" t="s">
        <v>112</v>
      </c>
      <c r="G10" s="402" t="s">
        <v>38</v>
      </c>
      <c r="H10" s="217" t="s">
        <v>164</v>
      </c>
      <c r="I10" s="162">
        <v>2</v>
      </c>
      <c r="J10" s="153" t="s">
        <v>40</v>
      </c>
      <c r="K10" s="153" t="s">
        <v>23</v>
      </c>
      <c r="L10" s="247"/>
      <c r="M10" s="153"/>
      <c r="N10" s="153"/>
      <c r="O10" s="199">
        <f>IFERROR(VLOOKUP($P10,Suppl!$B$2:$N$57,MATCH(BDD!$B10,Suppl!$C$1:$N$1,0)+1,FALSE),"")</f>
        <v>0</v>
      </c>
      <c r="P10" s="153" t="str">
        <f t="shared" si="1"/>
        <v>22</v>
      </c>
    </row>
    <row r="11" spans="1:18" ht="15" customHeight="1" x14ac:dyDescent="0.3">
      <c r="A11" s="155" t="str">
        <f t="shared" si="0"/>
        <v>123</v>
      </c>
      <c r="B11" s="182">
        <f t="shared" si="2"/>
        <v>1</v>
      </c>
      <c r="C11" s="156" t="str">
        <f t="shared" si="3"/>
        <v>Stratégies</v>
      </c>
      <c r="D11" s="156" t="s">
        <v>648</v>
      </c>
      <c r="E11" s="168">
        <v>2</v>
      </c>
      <c r="F11" s="182" t="s">
        <v>112</v>
      </c>
      <c r="G11" s="402" t="s">
        <v>38</v>
      </c>
      <c r="H11" s="217" t="s">
        <v>164</v>
      </c>
      <c r="I11" s="162">
        <v>3</v>
      </c>
      <c r="J11" s="153" t="s">
        <v>859</v>
      </c>
      <c r="K11" s="153" t="s">
        <v>22</v>
      </c>
      <c r="L11" s="247"/>
      <c r="M11" s="153"/>
      <c r="N11" s="153"/>
      <c r="O11" s="199">
        <f>IFERROR(VLOOKUP($P11,Suppl!$B$2:$N$57,MATCH(BDD!$B11,Suppl!$C$1:$N$1,0)+1,FALSE),"")</f>
        <v>0</v>
      </c>
      <c r="P11" s="153" t="str">
        <f t="shared" si="1"/>
        <v>23</v>
      </c>
    </row>
    <row r="12" spans="1:18" ht="15" customHeight="1" x14ac:dyDescent="0.3">
      <c r="A12" s="155" t="str">
        <f t="shared" si="0"/>
        <v>124</v>
      </c>
      <c r="B12" s="182">
        <f t="shared" si="2"/>
        <v>1</v>
      </c>
      <c r="C12" s="156" t="str">
        <f t="shared" si="3"/>
        <v>Stratégies</v>
      </c>
      <c r="D12" s="156" t="s">
        <v>648</v>
      </c>
      <c r="E12" s="168">
        <v>2</v>
      </c>
      <c r="F12" s="182" t="s">
        <v>112</v>
      </c>
      <c r="G12" s="402" t="s">
        <v>38</v>
      </c>
      <c r="H12" s="217" t="s">
        <v>164</v>
      </c>
      <c r="I12" s="162">
        <v>4</v>
      </c>
      <c r="J12" s="153" t="s">
        <v>42</v>
      </c>
      <c r="K12" s="153" t="s">
        <v>25</v>
      </c>
      <c r="L12" s="247" t="s">
        <v>653</v>
      </c>
      <c r="M12" s="153"/>
      <c r="N12" s="153"/>
      <c r="O12" s="199">
        <f>IFERROR(VLOOKUP($P12,Suppl!$B$2:$N$57,MATCH(BDD!$B12,Suppl!$C$1:$N$1,0)+1,FALSE),"")</f>
        <v>0</v>
      </c>
      <c r="P12" s="153" t="str">
        <f t="shared" si="1"/>
        <v>24</v>
      </c>
    </row>
    <row r="13" spans="1:18" ht="15" customHeight="1" x14ac:dyDescent="0.3">
      <c r="A13" s="155" t="str">
        <f t="shared" si="0"/>
        <v>125</v>
      </c>
      <c r="B13" s="182">
        <f t="shared" si="2"/>
        <v>1</v>
      </c>
      <c r="C13" s="156" t="str">
        <f t="shared" si="3"/>
        <v>Stratégies</v>
      </c>
      <c r="D13" s="156" t="s">
        <v>648</v>
      </c>
      <c r="E13" s="168">
        <v>2</v>
      </c>
      <c r="F13" s="182" t="s">
        <v>112</v>
      </c>
      <c r="G13" s="402" t="s">
        <v>38</v>
      </c>
      <c r="H13" s="217" t="s">
        <v>164</v>
      </c>
      <c r="I13" s="162">
        <v>5</v>
      </c>
      <c r="J13" s="153" t="s">
        <v>43</v>
      </c>
      <c r="K13" s="153" t="s">
        <v>24</v>
      </c>
      <c r="L13" s="247" t="s">
        <v>654</v>
      </c>
      <c r="M13" s="153"/>
      <c r="N13" s="153"/>
      <c r="O13" s="199">
        <f>IFERROR(VLOOKUP($P13,Suppl!$B$2:$N$57,MATCH(BDD!$B13,Suppl!$C$1:$N$1,0)+1,FALSE),"")</f>
        <v>0</v>
      </c>
      <c r="P13" s="153" t="str">
        <f t="shared" si="1"/>
        <v>25</v>
      </c>
    </row>
    <row r="14" spans="1:18" ht="15" customHeight="1" x14ac:dyDescent="0.3">
      <c r="A14" s="155" t="str">
        <f t="shared" si="0"/>
        <v>126</v>
      </c>
      <c r="B14" s="182">
        <f t="shared" si="2"/>
        <v>1</v>
      </c>
      <c r="C14" s="156" t="str">
        <f t="shared" si="3"/>
        <v>Stratégies</v>
      </c>
      <c r="D14" s="156" t="s">
        <v>648</v>
      </c>
      <c r="E14" s="168">
        <v>2</v>
      </c>
      <c r="F14" s="182" t="s">
        <v>112</v>
      </c>
      <c r="G14" s="402" t="s">
        <v>38</v>
      </c>
      <c r="H14" s="217" t="s">
        <v>164</v>
      </c>
      <c r="I14" s="162">
        <v>6</v>
      </c>
      <c r="J14" s="153" t="s">
        <v>44</v>
      </c>
      <c r="K14" s="153" t="s">
        <v>25</v>
      </c>
      <c r="L14" s="247" t="s">
        <v>655</v>
      </c>
      <c r="M14" s="153"/>
      <c r="N14" s="153"/>
      <c r="O14" s="199">
        <f>IFERROR(VLOOKUP($P14,Suppl!$B$2:$N$57,MATCH(BDD!$B14,Suppl!$C$1:$N$1,0)+1,FALSE),"")</f>
        <v>0</v>
      </c>
      <c r="P14" s="153" t="str">
        <f t="shared" si="1"/>
        <v>26</v>
      </c>
    </row>
    <row r="15" spans="1:18" ht="15" customHeight="1" x14ac:dyDescent="0.3">
      <c r="A15" s="155" t="str">
        <f t="shared" si="0"/>
        <v>127</v>
      </c>
      <c r="B15" s="183">
        <f t="shared" si="2"/>
        <v>1</v>
      </c>
      <c r="C15" s="157" t="str">
        <f t="shared" si="3"/>
        <v>Stratégies</v>
      </c>
      <c r="D15" s="157" t="s">
        <v>648</v>
      </c>
      <c r="E15" s="169">
        <v>2</v>
      </c>
      <c r="F15" s="183" t="s">
        <v>112</v>
      </c>
      <c r="G15" s="403" t="s">
        <v>38</v>
      </c>
      <c r="H15" s="217" t="s">
        <v>164</v>
      </c>
      <c r="I15" s="171">
        <v>7</v>
      </c>
      <c r="J15" s="154" t="s">
        <v>45</v>
      </c>
      <c r="K15" s="154" t="s">
        <v>25</v>
      </c>
      <c r="L15" s="322" t="s">
        <v>1078</v>
      </c>
      <c r="M15" s="154"/>
      <c r="N15" s="154"/>
      <c r="O15" s="200">
        <f>IFERROR(VLOOKUP($P15,Suppl!$B$2:$N$57,MATCH(BDD!$B15,Suppl!$C$1:$N$1,0)+1,FALSE),"")</f>
        <v>0</v>
      </c>
      <c r="P15" s="154" t="str">
        <f t="shared" si="1"/>
        <v>27</v>
      </c>
    </row>
    <row r="16" spans="1:18" ht="15" customHeight="1" x14ac:dyDescent="0.3">
      <c r="A16" s="155" t="str">
        <f t="shared" si="0"/>
        <v>131</v>
      </c>
      <c r="B16" s="182">
        <f t="shared" si="2"/>
        <v>1</v>
      </c>
      <c r="C16" s="156" t="str">
        <f t="shared" si="3"/>
        <v>Stratégies</v>
      </c>
      <c r="D16" s="156" t="s">
        <v>648</v>
      </c>
      <c r="E16" s="167">
        <v>3</v>
      </c>
      <c r="F16" s="218" t="s">
        <v>108</v>
      </c>
      <c r="G16" s="404" t="s">
        <v>860</v>
      </c>
      <c r="H16" s="217" t="s">
        <v>656</v>
      </c>
      <c r="I16" s="162">
        <v>1</v>
      </c>
      <c r="J16" s="153" t="s">
        <v>46</v>
      </c>
      <c r="K16" s="153" t="s">
        <v>24</v>
      </c>
      <c r="L16" s="247" t="s">
        <v>657</v>
      </c>
      <c r="M16" s="153"/>
      <c r="N16" s="153"/>
      <c r="O16" s="199">
        <f>IFERROR(VLOOKUP($P16,Suppl!$B$2:$N$57,MATCH(BDD!$B16,Suppl!$C$1:$N$1,0)+1,FALSE),"")</f>
        <v>0</v>
      </c>
      <c r="P16" s="153" t="str">
        <f t="shared" si="1"/>
        <v>31</v>
      </c>
    </row>
    <row r="17" spans="1:16" ht="15" customHeight="1" x14ac:dyDescent="0.3">
      <c r="A17" s="155" t="str">
        <f t="shared" si="0"/>
        <v>132</v>
      </c>
      <c r="B17" s="182">
        <f t="shared" si="2"/>
        <v>1</v>
      </c>
      <c r="C17" s="156" t="str">
        <f t="shared" si="3"/>
        <v>Stratégies</v>
      </c>
      <c r="D17" s="156" t="s">
        <v>648</v>
      </c>
      <c r="E17" s="168">
        <v>3</v>
      </c>
      <c r="F17" s="182" t="s">
        <v>108</v>
      </c>
      <c r="G17" s="402" t="s">
        <v>860</v>
      </c>
      <c r="H17" s="217" t="s">
        <v>164</v>
      </c>
      <c r="I17" s="162">
        <v>2</v>
      </c>
      <c r="J17" s="153" t="s">
        <v>861</v>
      </c>
      <c r="K17" s="153" t="s">
        <v>24</v>
      </c>
      <c r="L17" s="247" t="s">
        <v>658</v>
      </c>
      <c r="M17" s="153"/>
      <c r="N17" s="153"/>
      <c r="O17" s="199">
        <f>IFERROR(VLOOKUP($P17,Suppl!$B$2:$N$57,MATCH(BDD!$B17,Suppl!$C$1:$N$1,0)+1,FALSE),"")</f>
        <v>0</v>
      </c>
      <c r="P17" s="153" t="str">
        <f t="shared" si="1"/>
        <v>32</v>
      </c>
    </row>
    <row r="18" spans="1:16" ht="15" customHeight="1" x14ac:dyDescent="0.3">
      <c r="A18" s="155" t="str">
        <f t="shared" si="0"/>
        <v>133</v>
      </c>
      <c r="B18" s="182">
        <f t="shared" si="2"/>
        <v>1</v>
      </c>
      <c r="C18" s="156" t="str">
        <f t="shared" si="3"/>
        <v>Stratégies</v>
      </c>
      <c r="D18" s="156" t="s">
        <v>648</v>
      </c>
      <c r="E18" s="168">
        <v>3</v>
      </c>
      <c r="F18" s="182" t="s">
        <v>108</v>
      </c>
      <c r="G18" s="402" t="s">
        <v>860</v>
      </c>
      <c r="H18" s="217" t="s">
        <v>164</v>
      </c>
      <c r="I18" s="162">
        <v>3</v>
      </c>
      <c r="J18" s="153" t="s">
        <v>48</v>
      </c>
      <c r="K18" s="153" t="s">
        <v>22</v>
      </c>
      <c r="L18" s="247" t="s">
        <v>659</v>
      </c>
      <c r="M18" s="153"/>
      <c r="N18" s="153"/>
      <c r="O18" s="199">
        <f>IFERROR(VLOOKUP($P18,Suppl!$B$2:$N$57,MATCH(BDD!$B18,Suppl!$C$1:$N$1,0)+1,FALSE),"")</f>
        <v>0</v>
      </c>
      <c r="P18" s="153" t="str">
        <f t="shared" si="1"/>
        <v>33</v>
      </c>
    </row>
    <row r="19" spans="1:16" ht="15" customHeight="1" x14ac:dyDescent="0.3">
      <c r="A19" s="155" t="str">
        <f t="shared" si="0"/>
        <v>134</v>
      </c>
      <c r="B19" s="182">
        <f t="shared" si="2"/>
        <v>1</v>
      </c>
      <c r="C19" s="156" t="str">
        <f t="shared" si="3"/>
        <v>Stratégies</v>
      </c>
      <c r="D19" s="156" t="s">
        <v>648</v>
      </c>
      <c r="E19" s="168">
        <v>3</v>
      </c>
      <c r="F19" s="182" t="s">
        <v>108</v>
      </c>
      <c r="G19" s="402" t="s">
        <v>860</v>
      </c>
      <c r="H19" s="217" t="s">
        <v>164</v>
      </c>
      <c r="I19" s="162">
        <v>4</v>
      </c>
      <c r="J19" s="153" t="s">
        <v>862</v>
      </c>
      <c r="K19" s="153" t="s">
        <v>26</v>
      </c>
      <c r="L19" s="247"/>
      <c r="M19" s="153"/>
      <c r="N19" s="153"/>
      <c r="O19" s="199">
        <f>IFERROR(VLOOKUP($P19,Suppl!$B$2:$N$57,MATCH(BDD!$B19,Suppl!$C$1:$N$1,0)+1,FALSE),"")</f>
        <v>0</v>
      </c>
      <c r="P19" s="153" t="str">
        <f t="shared" si="1"/>
        <v>34</v>
      </c>
    </row>
    <row r="20" spans="1:16" ht="15" customHeight="1" x14ac:dyDescent="0.3">
      <c r="A20" s="155" t="str">
        <f t="shared" si="0"/>
        <v>135</v>
      </c>
      <c r="B20" s="182">
        <f t="shared" si="2"/>
        <v>1</v>
      </c>
      <c r="C20" s="156" t="str">
        <f t="shared" si="3"/>
        <v>Stratégies</v>
      </c>
      <c r="D20" s="156" t="s">
        <v>648</v>
      </c>
      <c r="E20" s="168">
        <v>3</v>
      </c>
      <c r="F20" s="182" t="s">
        <v>108</v>
      </c>
      <c r="G20" s="402" t="s">
        <v>860</v>
      </c>
      <c r="H20" s="217" t="s">
        <v>164</v>
      </c>
      <c r="I20" s="162">
        <v>5</v>
      </c>
      <c r="J20" s="153"/>
      <c r="K20" s="153"/>
      <c r="L20" s="247"/>
      <c r="M20" s="153"/>
      <c r="N20" s="153"/>
      <c r="O20" s="199">
        <f>IFERROR(VLOOKUP($P20,Suppl!$B$2:$N$57,MATCH(BDD!$B20,Suppl!$C$1:$N$1,0)+1,FALSE),"")</f>
        <v>0</v>
      </c>
      <c r="P20" s="153" t="str">
        <f t="shared" si="1"/>
        <v>35</v>
      </c>
    </row>
    <row r="21" spans="1:16" ht="15" customHeight="1" x14ac:dyDescent="0.3">
      <c r="A21" s="155" t="str">
        <f t="shared" si="0"/>
        <v>136</v>
      </c>
      <c r="B21" s="182">
        <f t="shared" si="2"/>
        <v>1</v>
      </c>
      <c r="C21" s="156" t="str">
        <f t="shared" si="3"/>
        <v>Stratégies</v>
      </c>
      <c r="D21" s="156" t="s">
        <v>648</v>
      </c>
      <c r="E21" s="168">
        <v>3</v>
      </c>
      <c r="F21" s="182" t="s">
        <v>108</v>
      </c>
      <c r="G21" s="402" t="s">
        <v>860</v>
      </c>
      <c r="H21" s="217" t="s">
        <v>164</v>
      </c>
      <c r="I21" s="162">
        <v>6</v>
      </c>
      <c r="J21" s="153"/>
      <c r="K21" s="153"/>
      <c r="L21" s="247"/>
      <c r="M21" s="153"/>
      <c r="N21" s="153"/>
      <c r="O21" s="199">
        <f>IFERROR(VLOOKUP($P21,Suppl!$B$2:$N$57,MATCH(BDD!$B21,Suppl!$C$1:$N$1,0)+1,FALSE),"")</f>
        <v>0</v>
      </c>
      <c r="P21" s="153" t="str">
        <f t="shared" si="1"/>
        <v>36</v>
      </c>
    </row>
    <row r="22" spans="1:16" ht="15" customHeight="1" x14ac:dyDescent="0.3">
      <c r="A22" s="155" t="str">
        <f t="shared" si="0"/>
        <v>137</v>
      </c>
      <c r="B22" s="183">
        <f t="shared" si="2"/>
        <v>1</v>
      </c>
      <c r="C22" s="157" t="str">
        <f t="shared" si="3"/>
        <v>Stratégies</v>
      </c>
      <c r="D22" s="157" t="s">
        <v>648</v>
      </c>
      <c r="E22" s="169">
        <v>3</v>
      </c>
      <c r="F22" s="183" t="s">
        <v>108</v>
      </c>
      <c r="G22" s="403" t="s">
        <v>860</v>
      </c>
      <c r="H22" s="217" t="s">
        <v>164</v>
      </c>
      <c r="I22" s="171">
        <v>7</v>
      </c>
      <c r="J22" s="154"/>
      <c r="K22" s="154"/>
      <c r="L22" s="323"/>
      <c r="M22" s="154"/>
      <c r="N22" s="154"/>
      <c r="O22" s="200">
        <f>IFERROR(VLOOKUP($P22,Suppl!$B$2:$N$57,MATCH(BDD!$B22,Suppl!$C$1:$N$1,0)+1,FALSE),"")</f>
        <v>0</v>
      </c>
      <c r="P22" s="154" t="str">
        <f t="shared" si="1"/>
        <v>37</v>
      </c>
    </row>
    <row r="23" spans="1:16" ht="15" customHeight="1" x14ac:dyDescent="0.3">
      <c r="A23" s="155" t="str">
        <f t="shared" si="0"/>
        <v>141</v>
      </c>
      <c r="B23" s="182">
        <f t="shared" si="2"/>
        <v>1</v>
      </c>
      <c r="C23" s="156" t="str">
        <f t="shared" si="3"/>
        <v>Stratégies</v>
      </c>
      <c r="D23" s="156" t="s">
        <v>648</v>
      </c>
      <c r="E23" s="167">
        <v>4</v>
      </c>
      <c r="F23" s="218" t="s">
        <v>110</v>
      </c>
      <c r="G23" s="404" t="s">
        <v>50</v>
      </c>
      <c r="H23" s="217" t="s">
        <v>660</v>
      </c>
      <c r="I23" s="162">
        <v>1</v>
      </c>
      <c r="J23" s="153" t="s">
        <v>863</v>
      </c>
      <c r="K23" s="153" t="s">
        <v>25</v>
      </c>
      <c r="L23" s="247" t="s">
        <v>864</v>
      </c>
      <c r="M23" s="153"/>
      <c r="N23" s="153"/>
      <c r="O23" s="199">
        <f>IFERROR(VLOOKUP($P23,Suppl!$B$2:$N$57,MATCH(BDD!$B23,Suppl!$C$1:$N$1,0)+1,FALSE),"")</f>
        <v>0</v>
      </c>
      <c r="P23" s="153" t="str">
        <f t="shared" si="1"/>
        <v>41</v>
      </c>
    </row>
    <row r="24" spans="1:16" ht="15" customHeight="1" x14ac:dyDescent="0.3">
      <c r="A24" s="155" t="str">
        <f t="shared" si="0"/>
        <v>142</v>
      </c>
      <c r="B24" s="182">
        <f t="shared" si="2"/>
        <v>1</v>
      </c>
      <c r="C24" s="156" t="str">
        <f t="shared" si="3"/>
        <v>Stratégies</v>
      </c>
      <c r="D24" s="156" t="s">
        <v>648</v>
      </c>
      <c r="E24" s="168">
        <v>4</v>
      </c>
      <c r="F24" s="182" t="s">
        <v>110</v>
      </c>
      <c r="G24" s="402" t="s">
        <v>50</v>
      </c>
      <c r="H24" s="217" t="s">
        <v>164</v>
      </c>
      <c r="I24" s="162">
        <v>2</v>
      </c>
      <c r="J24" s="153" t="s">
        <v>52</v>
      </c>
      <c r="K24" s="153" t="s">
        <v>22</v>
      </c>
      <c r="L24" s="247"/>
      <c r="M24" s="153"/>
      <c r="N24" s="153"/>
      <c r="O24" s="199">
        <f>IFERROR(VLOOKUP($P24,Suppl!$B$2:$N$57,MATCH(BDD!$B24,Suppl!$C$1:$N$1,0)+1,FALSE),"")</f>
        <v>0</v>
      </c>
      <c r="P24" s="153" t="str">
        <f t="shared" si="1"/>
        <v>42</v>
      </c>
    </row>
    <row r="25" spans="1:16" ht="15" customHeight="1" x14ac:dyDescent="0.3">
      <c r="A25" s="155" t="str">
        <f t="shared" si="0"/>
        <v>143</v>
      </c>
      <c r="B25" s="182">
        <f t="shared" si="2"/>
        <v>1</v>
      </c>
      <c r="C25" s="156" t="str">
        <f t="shared" si="3"/>
        <v>Stratégies</v>
      </c>
      <c r="D25" s="156" t="s">
        <v>648</v>
      </c>
      <c r="E25" s="168">
        <v>4</v>
      </c>
      <c r="F25" s="182" t="s">
        <v>110</v>
      </c>
      <c r="G25" s="402" t="s">
        <v>50</v>
      </c>
      <c r="H25" s="217" t="s">
        <v>164</v>
      </c>
      <c r="I25" s="162">
        <v>3</v>
      </c>
      <c r="J25" s="153" t="s">
        <v>53</v>
      </c>
      <c r="K25" s="153" t="s">
        <v>24</v>
      </c>
      <c r="L25" s="247"/>
      <c r="M25" s="153"/>
      <c r="N25" s="153"/>
      <c r="O25" s="199">
        <f>IFERROR(VLOOKUP($P25,Suppl!$B$2:$N$57,MATCH(BDD!$B25,Suppl!$C$1:$N$1,0)+1,FALSE),"")</f>
        <v>0</v>
      </c>
      <c r="P25" s="153" t="str">
        <f t="shared" si="1"/>
        <v>43</v>
      </c>
    </row>
    <row r="26" spans="1:16" ht="15" customHeight="1" x14ac:dyDescent="0.3">
      <c r="A26" s="155" t="str">
        <f t="shared" si="0"/>
        <v>144</v>
      </c>
      <c r="B26" s="182">
        <f t="shared" si="2"/>
        <v>1</v>
      </c>
      <c r="C26" s="156" t="str">
        <f t="shared" si="3"/>
        <v>Stratégies</v>
      </c>
      <c r="D26" s="156" t="s">
        <v>648</v>
      </c>
      <c r="E26" s="168">
        <v>4</v>
      </c>
      <c r="F26" s="182" t="s">
        <v>110</v>
      </c>
      <c r="G26" s="402" t="s">
        <v>50</v>
      </c>
      <c r="H26" s="217" t="s">
        <v>164</v>
      </c>
      <c r="I26" s="162">
        <v>4</v>
      </c>
      <c r="J26" s="153" t="s">
        <v>54</v>
      </c>
      <c r="K26" s="153" t="s">
        <v>24</v>
      </c>
      <c r="L26" s="247"/>
      <c r="M26" s="153"/>
      <c r="N26" s="153"/>
      <c r="O26" s="199">
        <f>IFERROR(VLOOKUP($P26,Suppl!$B$2:$N$57,MATCH(BDD!$B26,Suppl!$C$1:$N$1,0)+1,FALSE),"")</f>
        <v>0</v>
      </c>
      <c r="P26" s="153" t="str">
        <f t="shared" si="1"/>
        <v>44</v>
      </c>
    </row>
    <row r="27" spans="1:16" ht="15" customHeight="1" x14ac:dyDescent="0.3">
      <c r="A27" s="155" t="str">
        <f t="shared" si="0"/>
        <v>145</v>
      </c>
      <c r="B27" s="182">
        <f t="shared" si="2"/>
        <v>1</v>
      </c>
      <c r="C27" s="156" t="str">
        <f t="shared" si="3"/>
        <v>Stratégies</v>
      </c>
      <c r="D27" s="156" t="s">
        <v>648</v>
      </c>
      <c r="E27" s="168">
        <v>4</v>
      </c>
      <c r="F27" s="182" t="s">
        <v>110</v>
      </c>
      <c r="G27" s="402" t="s">
        <v>50</v>
      </c>
      <c r="H27" s="217" t="s">
        <v>164</v>
      </c>
      <c r="I27" s="162">
        <v>5</v>
      </c>
      <c r="J27" s="153" t="s">
        <v>55</v>
      </c>
      <c r="K27" s="153" t="s">
        <v>25</v>
      </c>
      <c r="L27" s="247"/>
      <c r="M27" s="153"/>
      <c r="N27" s="153"/>
      <c r="O27" s="199">
        <f>IFERROR(VLOOKUP($P27,Suppl!$B$2:$N$57,MATCH(BDD!$B27,Suppl!$C$1:$N$1,0)+1,FALSE),"")</f>
        <v>0</v>
      </c>
      <c r="P27" s="153" t="str">
        <f t="shared" si="1"/>
        <v>45</v>
      </c>
    </row>
    <row r="28" spans="1:16" ht="15" customHeight="1" x14ac:dyDescent="0.3">
      <c r="A28" s="155" t="str">
        <f t="shared" si="0"/>
        <v>146</v>
      </c>
      <c r="B28" s="182">
        <f t="shared" si="2"/>
        <v>1</v>
      </c>
      <c r="C28" s="156" t="str">
        <f t="shared" si="3"/>
        <v>Stratégies</v>
      </c>
      <c r="D28" s="156" t="s">
        <v>648</v>
      </c>
      <c r="E28" s="168">
        <v>4</v>
      </c>
      <c r="F28" s="182" t="s">
        <v>110</v>
      </c>
      <c r="G28" s="402" t="s">
        <v>50</v>
      </c>
      <c r="H28" s="217" t="s">
        <v>164</v>
      </c>
      <c r="I28" s="162">
        <v>6</v>
      </c>
      <c r="J28" s="153" t="s">
        <v>56</v>
      </c>
      <c r="K28" s="153" t="s">
        <v>26</v>
      </c>
      <c r="L28" s="247"/>
      <c r="M28" s="153"/>
      <c r="N28" s="153"/>
      <c r="O28" s="199">
        <f>IFERROR(VLOOKUP($P28,Suppl!$B$2:$N$57,MATCH(BDD!$B28,Suppl!$C$1:$N$1,0)+1,FALSE),"")</f>
        <v>0</v>
      </c>
      <c r="P28" s="153" t="str">
        <f t="shared" si="1"/>
        <v>46</v>
      </c>
    </row>
    <row r="29" spans="1:16" ht="15" customHeight="1" x14ac:dyDescent="0.3">
      <c r="A29" s="155" t="str">
        <f t="shared" si="0"/>
        <v>147</v>
      </c>
      <c r="B29" s="183">
        <f t="shared" si="2"/>
        <v>1</v>
      </c>
      <c r="C29" s="157" t="str">
        <f t="shared" si="3"/>
        <v>Stratégies</v>
      </c>
      <c r="D29" s="157" t="s">
        <v>648</v>
      </c>
      <c r="E29" s="169">
        <v>4</v>
      </c>
      <c r="F29" s="183" t="s">
        <v>110</v>
      </c>
      <c r="G29" s="403" t="s">
        <v>50</v>
      </c>
      <c r="H29" s="217" t="s">
        <v>164</v>
      </c>
      <c r="I29" s="171">
        <v>7</v>
      </c>
      <c r="J29" s="154"/>
      <c r="K29" s="154"/>
      <c r="L29" s="323"/>
      <c r="M29" s="154"/>
      <c r="N29" s="154"/>
      <c r="O29" s="200">
        <f>IFERROR(VLOOKUP($P29,Suppl!$B$2:$N$57,MATCH(BDD!$B29,Suppl!$C$1:$N$1,0)+1,FALSE),"")</f>
        <v>0</v>
      </c>
      <c r="P29" s="154" t="str">
        <f t="shared" si="1"/>
        <v>47</v>
      </c>
    </row>
    <row r="30" spans="1:16" ht="15" customHeight="1" x14ac:dyDescent="0.3">
      <c r="A30" s="155" t="str">
        <f t="shared" si="0"/>
        <v>151</v>
      </c>
      <c r="B30" s="182">
        <f t="shared" si="2"/>
        <v>1</v>
      </c>
      <c r="C30" s="156" t="str">
        <f t="shared" si="3"/>
        <v>Stratégies</v>
      </c>
      <c r="D30" s="156" t="s">
        <v>648</v>
      </c>
      <c r="E30" s="167">
        <v>5</v>
      </c>
      <c r="F30" s="218" t="s">
        <v>111</v>
      </c>
      <c r="G30" s="404" t="s">
        <v>865</v>
      </c>
      <c r="H30" s="217" t="s">
        <v>164</v>
      </c>
      <c r="I30" s="162">
        <v>1</v>
      </c>
      <c r="J30" s="153" t="s">
        <v>57</v>
      </c>
      <c r="K30" s="153" t="s">
        <v>24</v>
      </c>
      <c r="L30" s="247" t="s">
        <v>662</v>
      </c>
      <c r="M30" s="153"/>
      <c r="N30" s="153"/>
      <c r="O30" s="199">
        <f>IFERROR(VLOOKUP($P30,Suppl!$B$2:$N$57,MATCH(BDD!$B30,Suppl!$C$1:$N$1,0)+1,FALSE),"")</f>
        <v>0</v>
      </c>
      <c r="P30" s="153" t="str">
        <f t="shared" si="1"/>
        <v>51</v>
      </c>
    </row>
    <row r="31" spans="1:16" ht="15" customHeight="1" x14ac:dyDescent="0.3">
      <c r="A31" s="155" t="str">
        <f t="shared" si="0"/>
        <v>152</v>
      </c>
      <c r="B31" s="182">
        <f t="shared" si="2"/>
        <v>1</v>
      </c>
      <c r="C31" s="156" t="str">
        <f t="shared" si="3"/>
        <v>Stratégies</v>
      </c>
      <c r="D31" s="156" t="s">
        <v>648</v>
      </c>
      <c r="E31" s="168">
        <v>5</v>
      </c>
      <c r="F31" s="182" t="s">
        <v>111</v>
      </c>
      <c r="G31" s="402" t="s">
        <v>865</v>
      </c>
      <c r="H31" s="217" t="s">
        <v>164</v>
      </c>
      <c r="I31" s="162">
        <v>2</v>
      </c>
      <c r="J31" s="153" t="s">
        <v>58</v>
      </c>
      <c r="K31" s="153" t="s">
        <v>24</v>
      </c>
      <c r="L31" s="247" t="s">
        <v>663</v>
      </c>
      <c r="M31" s="153"/>
      <c r="N31" s="153"/>
      <c r="O31" s="199">
        <f>IFERROR(VLOOKUP($P31,Suppl!$B$2:$N$57,MATCH(BDD!$B31,Suppl!$C$1:$N$1,0)+1,FALSE),"")</f>
        <v>0</v>
      </c>
      <c r="P31" s="153" t="str">
        <f t="shared" si="1"/>
        <v>52</v>
      </c>
    </row>
    <row r="32" spans="1:16" ht="15" customHeight="1" x14ac:dyDescent="0.3">
      <c r="A32" s="155" t="str">
        <f t="shared" si="0"/>
        <v>153</v>
      </c>
      <c r="B32" s="182">
        <f t="shared" si="2"/>
        <v>1</v>
      </c>
      <c r="C32" s="156" t="str">
        <f t="shared" si="3"/>
        <v>Stratégies</v>
      </c>
      <c r="D32" s="156" t="s">
        <v>648</v>
      </c>
      <c r="E32" s="168">
        <v>5</v>
      </c>
      <c r="F32" s="182" t="s">
        <v>111</v>
      </c>
      <c r="G32" s="402" t="s">
        <v>865</v>
      </c>
      <c r="H32" s="217" t="s">
        <v>164</v>
      </c>
      <c r="I32" s="162">
        <v>3</v>
      </c>
      <c r="J32" s="153" t="s">
        <v>661</v>
      </c>
      <c r="K32" s="153" t="s">
        <v>24</v>
      </c>
      <c r="L32" s="247"/>
      <c r="M32" s="153"/>
      <c r="N32" s="153"/>
      <c r="O32" s="199">
        <f>IFERROR(VLOOKUP($P32,Suppl!$B$2:$N$57,MATCH(BDD!$B32,Suppl!$C$1:$N$1,0)+1,FALSE),"")</f>
        <v>0</v>
      </c>
      <c r="P32" s="153" t="str">
        <f t="shared" si="1"/>
        <v>53</v>
      </c>
    </row>
    <row r="33" spans="1:16" ht="15" customHeight="1" x14ac:dyDescent="0.3">
      <c r="A33" s="155" t="str">
        <f t="shared" si="0"/>
        <v>154</v>
      </c>
      <c r="B33" s="182">
        <f t="shared" si="2"/>
        <v>1</v>
      </c>
      <c r="C33" s="156" t="str">
        <f t="shared" si="3"/>
        <v>Stratégies</v>
      </c>
      <c r="D33" s="156" t="s">
        <v>648</v>
      </c>
      <c r="E33" s="168">
        <v>5</v>
      </c>
      <c r="F33" s="182" t="s">
        <v>111</v>
      </c>
      <c r="G33" s="402" t="s">
        <v>865</v>
      </c>
      <c r="H33" s="217" t="s">
        <v>164</v>
      </c>
      <c r="I33" s="162">
        <v>4</v>
      </c>
      <c r="J33" s="153" t="s">
        <v>60</v>
      </c>
      <c r="K33" s="153" t="s">
        <v>25</v>
      </c>
      <c r="L33" s="247"/>
      <c r="M33" s="153"/>
      <c r="N33" s="153"/>
      <c r="O33" s="199">
        <f>IFERROR(VLOOKUP($P33,Suppl!$B$2:$N$57,MATCH(BDD!$B33,Suppl!$C$1:$N$1,0)+1,FALSE),"")</f>
        <v>0</v>
      </c>
      <c r="P33" s="153" t="str">
        <f t="shared" si="1"/>
        <v>54</v>
      </c>
    </row>
    <row r="34" spans="1:16" ht="15" customHeight="1" x14ac:dyDescent="0.3">
      <c r="A34" s="155" t="str">
        <f t="shared" si="0"/>
        <v>155</v>
      </c>
      <c r="B34" s="182">
        <f t="shared" si="2"/>
        <v>1</v>
      </c>
      <c r="C34" s="156" t="str">
        <f t="shared" si="3"/>
        <v>Stratégies</v>
      </c>
      <c r="D34" s="156" t="s">
        <v>648</v>
      </c>
      <c r="E34" s="168">
        <v>5</v>
      </c>
      <c r="F34" s="182" t="s">
        <v>111</v>
      </c>
      <c r="G34" s="402" t="s">
        <v>865</v>
      </c>
      <c r="H34" s="217" t="s">
        <v>164</v>
      </c>
      <c r="I34" s="162">
        <v>5</v>
      </c>
      <c r="J34" s="153" t="s">
        <v>866</v>
      </c>
      <c r="K34" s="153" t="s">
        <v>26</v>
      </c>
      <c r="L34" s="247"/>
      <c r="M34" s="153"/>
      <c r="N34" s="153"/>
      <c r="O34" s="199">
        <f>IFERROR(VLOOKUP($P34,Suppl!$B$2:$N$57,MATCH(BDD!$B34,Suppl!$C$1:$N$1,0)+1,FALSE),"")</f>
        <v>0</v>
      </c>
      <c r="P34" s="153" t="str">
        <f t="shared" si="1"/>
        <v>55</v>
      </c>
    </row>
    <row r="35" spans="1:16" ht="15" customHeight="1" x14ac:dyDescent="0.3">
      <c r="A35" s="155" t="str">
        <f t="shared" si="0"/>
        <v>156</v>
      </c>
      <c r="B35" s="182">
        <f t="shared" si="2"/>
        <v>1</v>
      </c>
      <c r="C35" s="156" t="str">
        <f t="shared" si="3"/>
        <v>Stratégies</v>
      </c>
      <c r="D35" s="156" t="s">
        <v>648</v>
      </c>
      <c r="E35" s="168">
        <v>5</v>
      </c>
      <c r="F35" s="182" t="s">
        <v>111</v>
      </c>
      <c r="G35" s="402" t="s">
        <v>865</v>
      </c>
      <c r="H35" s="217" t="s">
        <v>164</v>
      </c>
      <c r="I35" s="162">
        <v>6</v>
      </c>
      <c r="J35" s="153"/>
      <c r="K35" s="153"/>
      <c r="L35" s="247"/>
      <c r="M35" s="153"/>
      <c r="N35" s="153"/>
      <c r="O35" s="199">
        <f>IFERROR(VLOOKUP($P35,Suppl!$B$2:$N$57,MATCH(BDD!$B35,Suppl!$C$1:$N$1,0)+1,FALSE),"")</f>
        <v>0</v>
      </c>
      <c r="P35" s="153" t="str">
        <f t="shared" si="1"/>
        <v>56</v>
      </c>
    </row>
    <row r="36" spans="1:16" ht="15" customHeight="1" thickBot="1" x14ac:dyDescent="0.35">
      <c r="A36" s="155" t="str">
        <f t="shared" si="0"/>
        <v>157</v>
      </c>
      <c r="B36" s="182">
        <f t="shared" si="2"/>
        <v>1</v>
      </c>
      <c r="C36" s="156" t="str">
        <f t="shared" si="3"/>
        <v>Stratégies</v>
      </c>
      <c r="D36" s="156" t="s">
        <v>648</v>
      </c>
      <c r="E36" s="168">
        <v>5</v>
      </c>
      <c r="F36" s="182" t="s">
        <v>111</v>
      </c>
      <c r="G36" s="402" t="s">
        <v>865</v>
      </c>
      <c r="H36" s="217" t="s">
        <v>164</v>
      </c>
      <c r="I36" s="162">
        <v>7</v>
      </c>
      <c r="J36" s="153"/>
      <c r="K36" s="153"/>
      <c r="L36" s="247"/>
      <c r="M36" s="153"/>
      <c r="N36" s="153"/>
      <c r="O36" s="199">
        <f>IFERROR(VLOOKUP($P36,Suppl!$B$2:$N$57,MATCH(BDD!$B36,Suppl!$C$1:$N$1,0)+1,FALSE),"")</f>
        <v>0</v>
      </c>
      <c r="P36" s="153" t="str">
        <f t="shared" si="1"/>
        <v>57</v>
      </c>
    </row>
    <row r="37" spans="1:16" ht="15" customHeight="1" x14ac:dyDescent="0.3">
      <c r="A37" s="155" t="str">
        <f t="shared" si="0"/>
        <v>211</v>
      </c>
      <c r="B37" s="333">
        <v>2</v>
      </c>
      <c r="C37" s="334" t="s">
        <v>120</v>
      </c>
      <c r="D37" s="334" t="s">
        <v>552</v>
      </c>
      <c r="E37" s="335">
        <v>1</v>
      </c>
      <c r="F37" s="334" t="s">
        <v>128</v>
      </c>
      <c r="G37" s="405" t="s">
        <v>133</v>
      </c>
      <c r="H37" s="336" t="s">
        <v>164</v>
      </c>
      <c r="I37" s="333">
        <v>1</v>
      </c>
      <c r="J37" s="334" t="s">
        <v>139</v>
      </c>
      <c r="K37" s="334" t="s">
        <v>23</v>
      </c>
      <c r="L37" s="337" t="s">
        <v>849</v>
      </c>
      <c r="M37" s="338" t="s">
        <v>115</v>
      </c>
      <c r="N37" s="339" t="s">
        <v>664</v>
      </c>
      <c r="O37" s="340">
        <f>IFERROR(VLOOKUP($P37,Suppl!$B$2:$N$57,MATCH(BDD!$B37,Suppl!$C$1:$N$1,0)+1,FALSE),"")</f>
        <v>0</v>
      </c>
      <c r="P37" s="334" t="str">
        <f t="shared" si="1"/>
        <v>11</v>
      </c>
    </row>
    <row r="38" spans="1:16" ht="15" customHeight="1" x14ac:dyDescent="0.3">
      <c r="A38" s="155" t="str">
        <f t="shared" si="0"/>
        <v>212</v>
      </c>
      <c r="B38" s="163">
        <f t="shared" ref="B38:C38" si="4">B37</f>
        <v>2</v>
      </c>
      <c r="C38" s="156" t="str">
        <f t="shared" si="4"/>
        <v>Innovation</v>
      </c>
      <c r="D38" s="156" t="s">
        <v>552</v>
      </c>
      <c r="E38" s="168">
        <v>1</v>
      </c>
      <c r="F38" s="156" t="s">
        <v>128</v>
      </c>
      <c r="G38" s="406" t="s">
        <v>133</v>
      </c>
      <c r="H38" s="185" t="s">
        <v>164</v>
      </c>
      <c r="I38" s="162">
        <v>2</v>
      </c>
      <c r="J38" s="153" t="s">
        <v>140</v>
      </c>
      <c r="K38" s="153" t="s">
        <v>23</v>
      </c>
      <c r="L38" s="247" t="s">
        <v>1042</v>
      </c>
      <c r="M38" s="174" t="s">
        <v>116</v>
      </c>
      <c r="N38" s="177" t="s">
        <v>118</v>
      </c>
      <c r="O38" s="199">
        <f>IFERROR(VLOOKUP($P38,Suppl!$B$2:$N$57,MATCH(BDD!$B38,Suppl!$C$1:$N$1,0)+1,FALSE),"")</f>
        <v>0</v>
      </c>
      <c r="P38" s="153" t="str">
        <f t="shared" si="1"/>
        <v>12</v>
      </c>
    </row>
    <row r="39" spans="1:16" ht="15" customHeight="1" x14ac:dyDescent="0.3">
      <c r="A39" s="155" t="str">
        <f t="shared" si="0"/>
        <v>213</v>
      </c>
      <c r="B39" s="163">
        <f t="shared" ref="B39:B71" si="5">B38</f>
        <v>2</v>
      </c>
      <c r="C39" s="156" t="str">
        <f t="shared" ref="C39:C71" si="6">C38</f>
        <v>Innovation</v>
      </c>
      <c r="D39" s="156" t="s">
        <v>552</v>
      </c>
      <c r="E39" s="168">
        <v>1</v>
      </c>
      <c r="F39" s="156" t="s">
        <v>128</v>
      </c>
      <c r="G39" s="406" t="s">
        <v>133</v>
      </c>
      <c r="H39" s="185" t="s">
        <v>164</v>
      </c>
      <c r="I39" s="162">
        <v>3</v>
      </c>
      <c r="J39" s="153"/>
      <c r="K39" s="153" t="s">
        <v>164</v>
      </c>
      <c r="L39" s="247"/>
      <c r="M39" s="174" t="s">
        <v>117</v>
      </c>
      <c r="N39" s="177" t="s">
        <v>621</v>
      </c>
      <c r="O39" s="199">
        <f>IFERROR(VLOOKUP($P39,Suppl!$B$2:$N$57,MATCH(BDD!$B39,Suppl!$C$1:$N$1,0)+1,FALSE),"")</f>
        <v>0</v>
      </c>
      <c r="P39" s="153" t="str">
        <f t="shared" si="1"/>
        <v>13</v>
      </c>
    </row>
    <row r="40" spans="1:16" ht="15" customHeight="1" x14ac:dyDescent="0.3">
      <c r="A40" s="155" t="str">
        <f t="shared" si="0"/>
        <v>214</v>
      </c>
      <c r="B40" s="163">
        <f t="shared" si="5"/>
        <v>2</v>
      </c>
      <c r="C40" s="156" t="str">
        <f t="shared" si="6"/>
        <v>Innovation</v>
      </c>
      <c r="D40" s="156" t="s">
        <v>552</v>
      </c>
      <c r="E40" s="168">
        <v>1</v>
      </c>
      <c r="F40" s="156" t="s">
        <v>128</v>
      </c>
      <c r="G40" s="406" t="s">
        <v>133</v>
      </c>
      <c r="H40" s="185" t="s">
        <v>164</v>
      </c>
      <c r="I40" s="162">
        <v>4</v>
      </c>
      <c r="J40" s="153"/>
      <c r="K40" s="153" t="s">
        <v>164</v>
      </c>
      <c r="L40" s="247"/>
      <c r="M40" s="174"/>
      <c r="N40" s="177" t="s">
        <v>119</v>
      </c>
      <c r="O40" s="199">
        <f>IFERROR(VLOOKUP($P40,Suppl!$B$2:$N$57,MATCH(BDD!$B40,Suppl!$C$1:$N$1,0)+1,FALSE),"")</f>
        <v>0</v>
      </c>
      <c r="P40" s="153" t="str">
        <f t="shared" si="1"/>
        <v>14</v>
      </c>
    </row>
    <row r="41" spans="1:16" ht="15" customHeight="1" x14ac:dyDescent="0.3">
      <c r="A41" s="155" t="str">
        <f t="shared" si="0"/>
        <v>215</v>
      </c>
      <c r="B41" s="163">
        <f t="shared" si="5"/>
        <v>2</v>
      </c>
      <c r="C41" s="156" t="str">
        <f t="shared" si="6"/>
        <v>Innovation</v>
      </c>
      <c r="D41" s="156" t="s">
        <v>552</v>
      </c>
      <c r="E41" s="168">
        <v>1</v>
      </c>
      <c r="F41" s="156" t="s">
        <v>128</v>
      </c>
      <c r="G41" s="406" t="s">
        <v>133</v>
      </c>
      <c r="H41" s="185" t="s">
        <v>164</v>
      </c>
      <c r="I41" s="162">
        <v>5</v>
      </c>
      <c r="J41" s="153"/>
      <c r="K41" s="153" t="s">
        <v>164</v>
      </c>
      <c r="L41" s="247"/>
      <c r="M41" s="174"/>
      <c r="N41" s="177"/>
      <c r="O41" s="199">
        <f>IFERROR(VLOOKUP($P41,Suppl!$B$2:$N$57,MATCH(BDD!$B41,Suppl!$C$1:$N$1,0)+1,FALSE),"")</f>
        <v>0</v>
      </c>
      <c r="P41" s="153" t="str">
        <f t="shared" si="1"/>
        <v>15</v>
      </c>
    </row>
    <row r="42" spans="1:16" ht="15" customHeight="1" x14ac:dyDescent="0.3">
      <c r="A42" s="155" t="str">
        <f t="shared" si="0"/>
        <v>216</v>
      </c>
      <c r="B42" s="163">
        <f t="shared" si="5"/>
        <v>2</v>
      </c>
      <c r="C42" s="156" t="str">
        <f t="shared" si="6"/>
        <v>Innovation</v>
      </c>
      <c r="D42" s="156" t="s">
        <v>552</v>
      </c>
      <c r="E42" s="168">
        <v>1</v>
      </c>
      <c r="F42" s="156" t="s">
        <v>128</v>
      </c>
      <c r="G42" s="406" t="s">
        <v>133</v>
      </c>
      <c r="H42" s="185" t="s">
        <v>164</v>
      </c>
      <c r="I42" s="162">
        <v>6</v>
      </c>
      <c r="J42" s="153"/>
      <c r="K42" s="153" t="s">
        <v>164</v>
      </c>
      <c r="L42" s="247"/>
      <c r="M42" s="174"/>
      <c r="N42" s="177"/>
      <c r="O42" s="199">
        <f>IFERROR(VLOOKUP($P42,Suppl!$B$2:$N$57,MATCH(BDD!$B42,Suppl!$C$1:$N$1,0)+1,FALSE),"")</f>
        <v>0</v>
      </c>
      <c r="P42" s="153" t="str">
        <f t="shared" si="1"/>
        <v>16</v>
      </c>
    </row>
    <row r="43" spans="1:16" ht="15" customHeight="1" x14ac:dyDescent="0.3">
      <c r="A43" s="155" t="str">
        <f t="shared" si="0"/>
        <v>217</v>
      </c>
      <c r="B43" s="164">
        <f t="shared" si="5"/>
        <v>2</v>
      </c>
      <c r="C43" s="157" t="str">
        <f t="shared" si="6"/>
        <v>Innovation</v>
      </c>
      <c r="D43" s="157" t="s">
        <v>552</v>
      </c>
      <c r="E43" s="169">
        <v>1</v>
      </c>
      <c r="F43" s="157" t="s">
        <v>128</v>
      </c>
      <c r="G43" s="407" t="s">
        <v>133</v>
      </c>
      <c r="H43" s="185" t="s">
        <v>164</v>
      </c>
      <c r="I43" s="171">
        <v>7</v>
      </c>
      <c r="J43" s="154"/>
      <c r="K43" s="154" t="s">
        <v>164</v>
      </c>
      <c r="L43" s="323"/>
      <c r="M43" s="175"/>
      <c r="N43" s="178"/>
      <c r="O43" s="200">
        <f>IFERROR(VLOOKUP($P43,Suppl!$B$2:$N$57,MATCH(BDD!$B43,Suppl!$C$1:$N$1,0)+1,FALSE),"")</f>
        <v>0</v>
      </c>
      <c r="P43" s="154" t="str">
        <f t="shared" si="1"/>
        <v>17</v>
      </c>
    </row>
    <row r="44" spans="1:16" ht="15" customHeight="1" x14ac:dyDescent="0.3">
      <c r="A44" s="155" t="str">
        <f t="shared" si="0"/>
        <v>221</v>
      </c>
      <c r="B44" s="163">
        <f t="shared" si="5"/>
        <v>2</v>
      </c>
      <c r="C44" s="156" t="str">
        <f t="shared" si="6"/>
        <v>Innovation</v>
      </c>
      <c r="D44" s="156" t="s">
        <v>552</v>
      </c>
      <c r="E44" s="167">
        <v>2</v>
      </c>
      <c r="F44" s="153" t="s">
        <v>129</v>
      </c>
      <c r="G44" s="408" t="s">
        <v>134</v>
      </c>
      <c r="H44" s="185" t="s">
        <v>665</v>
      </c>
      <c r="I44" s="162">
        <v>1</v>
      </c>
      <c r="J44" s="153" t="s">
        <v>141</v>
      </c>
      <c r="K44" s="153" t="s">
        <v>22</v>
      </c>
      <c r="L44" s="247"/>
      <c r="M44" s="153"/>
      <c r="N44" s="153"/>
      <c r="O44" s="199">
        <f>IFERROR(VLOOKUP($P44,Suppl!$B$2:$N$57,MATCH(BDD!$B44,Suppl!$C$1:$N$1,0)+1,FALSE),"")</f>
        <v>0</v>
      </c>
      <c r="P44" s="153" t="str">
        <f t="shared" si="1"/>
        <v>21</v>
      </c>
    </row>
    <row r="45" spans="1:16" ht="15" customHeight="1" x14ac:dyDescent="0.3">
      <c r="A45" s="155" t="str">
        <f t="shared" si="0"/>
        <v>222</v>
      </c>
      <c r="B45" s="163">
        <f t="shared" si="5"/>
        <v>2</v>
      </c>
      <c r="C45" s="156" t="str">
        <f t="shared" si="6"/>
        <v>Innovation</v>
      </c>
      <c r="D45" s="156" t="s">
        <v>552</v>
      </c>
      <c r="E45" s="168">
        <v>2</v>
      </c>
      <c r="F45" s="156" t="s">
        <v>129</v>
      </c>
      <c r="G45" s="406" t="s">
        <v>134</v>
      </c>
      <c r="H45" s="185" t="s">
        <v>164</v>
      </c>
      <c r="I45" s="162">
        <v>2</v>
      </c>
      <c r="J45" s="153" t="s">
        <v>142</v>
      </c>
      <c r="K45" s="153" t="s">
        <v>23</v>
      </c>
      <c r="L45" s="247" t="s">
        <v>666</v>
      </c>
      <c r="M45" s="153"/>
      <c r="N45" s="153"/>
      <c r="O45" s="199">
        <f>IFERROR(VLOOKUP($P45,Suppl!$B$2:$N$57,MATCH(BDD!$B45,Suppl!$C$1:$N$1,0)+1,FALSE),"")</f>
        <v>0</v>
      </c>
      <c r="P45" s="153" t="str">
        <f t="shared" si="1"/>
        <v>22</v>
      </c>
    </row>
    <row r="46" spans="1:16" ht="15" customHeight="1" x14ac:dyDescent="0.3">
      <c r="A46" s="155" t="str">
        <f t="shared" si="0"/>
        <v>223</v>
      </c>
      <c r="B46" s="163">
        <f t="shared" si="5"/>
        <v>2</v>
      </c>
      <c r="C46" s="156" t="str">
        <f t="shared" si="6"/>
        <v>Innovation</v>
      </c>
      <c r="D46" s="156" t="s">
        <v>552</v>
      </c>
      <c r="E46" s="168">
        <v>2</v>
      </c>
      <c r="F46" s="156" t="s">
        <v>129</v>
      </c>
      <c r="G46" s="406" t="s">
        <v>134</v>
      </c>
      <c r="H46" s="185" t="s">
        <v>164</v>
      </c>
      <c r="I46" s="162">
        <v>3</v>
      </c>
      <c r="J46" s="153" t="s">
        <v>867</v>
      </c>
      <c r="K46" s="153" t="s">
        <v>24</v>
      </c>
      <c r="L46" s="247" t="s">
        <v>667</v>
      </c>
      <c r="M46" s="153"/>
      <c r="N46" s="153"/>
      <c r="O46" s="199">
        <f>IFERROR(VLOOKUP($P46,Suppl!$B$2:$N$57,MATCH(BDD!$B46,Suppl!$C$1:$N$1,0)+1,FALSE),"")</f>
        <v>0</v>
      </c>
      <c r="P46" s="153" t="str">
        <f t="shared" si="1"/>
        <v>23</v>
      </c>
    </row>
    <row r="47" spans="1:16" ht="15" customHeight="1" x14ac:dyDescent="0.3">
      <c r="A47" s="155" t="str">
        <f t="shared" si="0"/>
        <v>224</v>
      </c>
      <c r="B47" s="163">
        <f t="shared" si="5"/>
        <v>2</v>
      </c>
      <c r="C47" s="156" t="str">
        <f t="shared" si="6"/>
        <v>Innovation</v>
      </c>
      <c r="D47" s="156" t="s">
        <v>552</v>
      </c>
      <c r="E47" s="168">
        <v>2</v>
      </c>
      <c r="F47" s="156" t="s">
        <v>129</v>
      </c>
      <c r="G47" s="406" t="s">
        <v>134</v>
      </c>
      <c r="H47" s="185" t="s">
        <v>164</v>
      </c>
      <c r="I47" s="162">
        <v>4</v>
      </c>
      <c r="J47" s="153" t="s">
        <v>143</v>
      </c>
      <c r="K47" s="153" t="s">
        <v>24</v>
      </c>
      <c r="L47" s="247" t="s">
        <v>868</v>
      </c>
      <c r="M47" s="153"/>
      <c r="N47" s="153"/>
      <c r="O47" s="199">
        <f>IFERROR(VLOOKUP($P47,Suppl!$B$2:$N$57,MATCH(BDD!$B47,Suppl!$C$1:$N$1,0)+1,FALSE),"")</f>
        <v>0</v>
      </c>
      <c r="P47" s="153" t="str">
        <f t="shared" si="1"/>
        <v>24</v>
      </c>
    </row>
    <row r="48" spans="1:16" ht="15" customHeight="1" x14ac:dyDescent="0.3">
      <c r="A48" s="155" t="str">
        <f t="shared" si="0"/>
        <v>225</v>
      </c>
      <c r="B48" s="163">
        <f t="shared" si="5"/>
        <v>2</v>
      </c>
      <c r="C48" s="156" t="str">
        <f t="shared" si="6"/>
        <v>Innovation</v>
      </c>
      <c r="D48" s="156" t="s">
        <v>552</v>
      </c>
      <c r="E48" s="168">
        <v>2</v>
      </c>
      <c r="F48" s="156" t="s">
        <v>129</v>
      </c>
      <c r="G48" s="406" t="s">
        <v>134</v>
      </c>
      <c r="H48" s="185" t="s">
        <v>164</v>
      </c>
      <c r="I48" s="162">
        <v>5</v>
      </c>
      <c r="J48" s="153" t="s">
        <v>144</v>
      </c>
      <c r="K48" s="153" t="s">
        <v>25</v>
      </c>
      <c r="L48" s="247" t="s">
        <v>668</v>
      </c>
      <c r="M48" s="153"/>
      <c r="N48" s="153"/>
      <c r="O48" s="199">
        <f>IFERROR(VLOOKUP($P48,Suppl!$B$2:$N$57,MATCH(BDD!$B48,Suppl!$C$1:$N$1,0)+1,FALSE),"")</f>
        <v>0</v>
      </c>
      <c r="P48" s="153" t="str">
        <f t="shared" si="1"/>
        <v>25</v>
      </c>
    </row>
    <row r="49" spans="1:16" ht="15" customHeight="1" x14ac:dyDescent="0.3">
      <c r="A49" s="155" t="str">
        <f t="shared" si="0"/>
        <v>226</v>
      </c>
      <c r="B49" s="163">
        <f t="shared" si="5"/>
        <v>2</v>
      </c>
      <c r="C49" s="156" t="str">
        <f t="shared" si="6"/>
        <v>Innovation</v>
      </c>
      <c r="D49" s="156" t="s">
        <v>552</v>
      </c>
      <c r="E49" s="168">
        <v>2</v>
      </c>
      <c r="F49" s="156" t="s">
        <v>129</v>
      </c>
      <c r="G49" s="406" t="s">
        <v>134</v>
      </c>
      <c r="H49" s="185" t="s">
        <v>164</v>
      </c>
      <c r="I49" s="162">
        <v>6</v>
      </c>
      <c r="J49" s="153" t="s">
        <v>145</v>
      </c>
      <c r="K49" s="153" t="s">
        <v>25</v>
      </c>
      <c r="L49" s="247" t="s">
        <v>669</v>
      </c>
      <c r="M49" s="153"/>
      <c r="N49" s="153"/>
      <c r="O49" s="199">
        <f>IFERROR(VLOOKUP($P49,Suppl!$B$2:$N$57,MATCH(BDD!$B49,Suppl!$C$1:$N$1,0)+1,FALSE),"")</f>
        <v>0</v>
      </c>
      <c r="P49" s="153" t="str">
        <f t="shared" si="1"/>
        <v>26</v>
      </c>
    </row>
    <row r="50" spans="1:16" ht="15" customHeight="1" x14ac:dyDescent="0.3">
      <c r="A50" s="155" t="str">
        <f t="shared" si="0"/>
        <v>227</v>
      </c>
      <c r="B50" s="164">
        <f t="shared" si="5"/>
        <v>2</v>
      </c>
      <c r="C50" s="157" t="str">
        <f t="shared" si="6"/>
        <v>Innovation</v>
      </c>
      <c r="D50" s="157" t="s">
        <v>552</v>
      </c>
      <c r="E50" s="169">
        <v>2</v>
      </c>
      <c r="F50" s="157" t="s">
        <v>129</v>
      </c>
      <c r="G50" s="407" t="s">
        <v>134</v>
      </c>
      <c r="H50" s="185" t="s">
        <v>164</v>
      </c>
      <c r="I50" s="171">
        <v>7</v>
      </c>
      <c r="J50" s="154"/>
      <c r="K50" s="154" t="s">
        <v>164</v>
      </c>
      <c r="L50" s="323"/>
      <c r="M50" s="154"/>
      <c r="N50" s="154"/>
      <c r="O50" s="200">
        <f>IFERROR(VLOOKUP($P50,Suppl!$B$2:$N$57,MATCH(BDD!$B50,Suppl!$C$1:$N$1,0)+1,FALSE),"")</f>
        <v>0</v>
      </c>
      <c r="P50" s="154" t="str">
        <f t="shared" si="1"/>
        <v>27</v>
      </c>
    </row>
    <row r="51" spans="1:16" ht="15" customHeight="1" x14ac:dyDescent="0.3">
      <c r="A51" s="155" t="str">
        <f>B51&amp;E51&amp;I51</f>
        <v>231</v>
      </c>
      <c r="B51" s="163">
        <f t="shared" si="5"/>
        <v>2</v>
      </c>
      <c r="C51" s="156" t="str">
        <f t="shared" si="6"/>
        <v>Innovation</v>
      </c>
      <c r="D51" s="156" t="s">
        <v>552</v>
      </c>
      <c r="E51" s="167">
        <v>3</v>
      </c>
      <c r="F51" s="180" t="s">
        <v>130</v>
      </c>
      <c r="G51" s="409" t="s">
        <v>135</v>
      </c>
      <c r="H51" s="185" t="s">
        <v>164</v>
      </c>
      <c r="I51" s="162">
        <v>1</v>
      </c>
      <c r="J51" s="153" t="s">
        <v>146</v>
      </c>
      <c r="K51" s="153" t="s">
        <v>23</v>
      </c>
      <c r="L51" s="247" t="s">
        <v>670</v>
      </c>
      <c r="M51" s="153"/>
      <c r="N51" s="153"/>
      <c r="O51" s="199">
        <f>IFERROR(VLOOKUP($P51,Suppl!$B$2:$N$57,MATCH(BDD!$B51,Suppl!$C$1:$N$1,0)+1,FALSE),"")</f>
        <v>0</v>
      </c>
      <c r="P51" s="153" t="str">
        <f t="shared" si="1"/>
        <v>31</v>
      </c>
    </row>
    <row r="52" spans="1:16" ht="15" customHeight="1" x14ac:dyDescent="0.3">
      <c r="A52" s="155" t="str">
        <f t="shared" si="0"/>
        <v>232</v>
      </c>
      <c r="B52" s="163">
        <f t="shared" si="5"/>
        <v>2</v>
      </c>
      <c r="C52" s="156" t="str">
        <f t="shared" si="6"/>
        <v>Innovation</v>
      </c>
      <c r="D52" s="156" t="s">
        <v>552</v>
      </c>
      <c r="E52" s="168">
        <v>3</v>
      </c>
      <c r="F52" s="156" t="s">
        <v>130</v>
      </c>
      <c r="G52" s="406" t="s">
        <v>135</v>
      </c>
      <c r="H52" s="185" t="s">
        <v>164</v>
      </c>
      <c r="I52" s="162">
        <v>2</v>
      </c>
      <c r="J52" s="153" t="s">
        <v>147</v>
      </c>
      <c r="K52" s="153" t="s">
        <v>23</v>
      </c>
      <c r="L52" s="247" t="s">
        <v>671</v>
      </c>
      <c r="M52" s="153"/>
      <c r="N52" s="153"/>
      <c r="O52" s="199">
        <f>IFERROR(VLOOKUP($P52,Suppl!$B$2:$N$57,MATCH(BDD!$B52,Suppl!$C$1:$N$1,0)+1,FALSE),"")</f>
        <v>0</v>
      </c>
      <c r="P52" s="153" t="str">
        <f t="shared" si="1"/>
        <v>32</v>
      </c>
    </row>
    <row r="53" spans="1:16" ht="15" customHeight="1" x14ac:dyDescent="0.3">
      <c r="A53" s="155" t="str">
        <f t="shared" si="0"/>
        <v>233</v>
      </c>
      <c r="B53" s="163">
        <f t="shared" si="5"/>
        <v>2</v>
      </c>
      <c r="C53" s="156" t="str">
        <f t="shared" si="6"/>
        <v>Innovation</v>
      </c>
      <c r="D53" s="156" t="s">
        <v>552</v>
      </c>
      <c r="E53" s="168">
        <v>3</v>
      </c>
      <c r="F53" s="156" t="s">
        <v>130</v>
      </c>
      <c r="G53" s="406" t="s">
        <v>135</v>
      </c>
      <c r="H53" s="185" t="s">
        <v>164</v>
      </c>
      <c r="I53" s="162">
        <v>3</v>
      </c>
      <c r="J53" s="153" t="s">
        <v>148</v>
      </c>
      <c r="K53" s="153" t="s">
        <v>24</v>
      </c>
      <c r="L53" s="247" t="s">
        <v>672</v>
      </c>
      <c r="M53" s="153"/>
      <c r="N53" s="153"/>
      <c r="O53" s="199">
        <f>IFERROR(VLOOKUP($P53,Suppl!$B$2:$N$57,MATCH(BDD!$B53,Suppl!$C$1:$N$1,0)+1,FALSE),"")</f>
        <v>0</v>
      </c>
      <c r="P53" s="153" t="str">
        <f t="shared" si="1"/>
        <v>33</v>
      </c>
    </row>
    <row r="54" spans="1:16" ht="15" customHeight="1" x14ac:dyDescent="0.3">
      <c r="A54" s="155" t="str">
        <f t="shared" si="0"/>
        <v>234</v>
      </c>
      <c r="B54" s="163">
        <f t="shared" si="5"/>
        <v>2</v>
      </c>
      <c r="C54" s="156" t="str">
        <f t="shared" si="6"/>
        <v>Innovation</v>
      </c>
      <c r="D54" s="156" t="s">
        <v>552</v>
      </c>
      <c r="E54" s="168">
        <v>3</v>
      </c>
      <c r="F54" s="156" t="s">
        <v>130</v>
      </c>
      <c r="G54" s="406" t="s">
        <v>135</v>
      </c>
      <c r="H54" s="185" t="s">
        <v>164</v>
      </c>
      <c r="I54" s="162">
        <v>4</v>
      </c>
      <c r="J54" s="153" t="s">
        <v>149</v>
      </c>
      <c r="K54" s="153" t="s">
        <v>22</v>
      </c>
      <c r="L54" s="247" t="s">
        <v>673</v>
      </c>
      <c r="M54" s="153"/>
      <c r="N54" s="153"/>
      <c r="O54" s="199">
        <f>IFERROR(VLOOKUP($P54,Suppl!$B$2:$N$57,MATCH(BDD!$B54,Suppl!$C$1:$N$1,0)+1,FALSE),"")</f>
        <v>0</v>
      </c>
      <c r="P54" s="153" t="str">
        <f t="shared" si="1"/>
        <v>34</v>
      </c>
    </row>
    <row r="55" spans="1:16" ht="15" customHeight="1" x14ac:dyDescent="0.3">
      <c r="A55" s="155" t="str">
        <f t="shared" si="0"/>
        <v>235</v>
      </c>
      <c r="B55" s="163">
        <f t="shared" si="5"/>
        <v>2</v>
      </c>
      <c r="C55" s="156" t="str">
        <f t="shared" si="6"/>
        <v>Innovation</v>
      </c>
      <c r="D55" s="156" t="s">
        <v>552</v>
      </c>
      <c r="E55" s="168">
        <v>3</v>
      </c>
      <c r="F55" s="156" t="s">
        <v>130</v>
      </c>
      <c r="G55" s="406" t="s">
        <v>135</v>
      </c>
      <c r="H55" s="185" t="s">
        <v>164</v>
      </c>
      <c r="I55" s="162">
        <v>5</v>
      </c>
      <c r="J55" s="153"/>
      <c r="K55" s="153" t="s">
        <v>164</v>
      </c>
      <c r="L55" s="247"/>
      <c r="M55" s="153"/>
      <c r="N55" s="153"/>
      <c r="O55" s="199">
        <f>IFERROR(VLOOKUP($P55,Suppl!$B$2:$N$57,MATCH(BDD!$B55,Suppl!$C$1:$N$1,0)+1,FALSE),"")</f>
        <v>0</v>
      </c>
      <c r="P55" s="153" t="str">
        <f t="shared" si="1"/>
        <v>35</v>
      </c>
    </row>
    <row r="56" spans="1:16" ht="15" customHeight="1" x14ac:dyDescent="0.3">
      <c r="A56" s="155" t="str">
        <f t="shared" si="0"/>
        <v>236</v>
      </c>
      <c r="B56" s="163">
        <f t="shared" si="5"/>
        <v>2</v>
      </c>
      <c r="C56" s="156" t="str">
        <f t="shared" si="6"/>
        <v>Innovation</v>
      </c>
      <c r="D56" s="156" t="s">
        <v>552</v>
      </c>
      <c r="E56" s="168">
        <v>3</v>
      </c>
      <c r="F56" s="156" t="s">
        <v>130</v>
      </c>
      <c r="G56" s="406" t="s">
        <v>135</v>
      </c>
      <c r="H56" s="185" t="s">
        <v>164</v>
      </c>
      <c r="I56" s="162">
        <v>6</v>
      </c>
      <c r="J56" s="153"/>
      <c r="K56" s="153" t="s">
        <v>164</v>
      </c>
      <c r="L56" s="247"/>
      <c r="M56" s="153"/>
      <c r="N56" s="153"/>
      <c r="O56" s="199">
        <f>IFERROR(VLOOKUP($P56,Suppl!$B$2:$N$57,MATCH(BDD!$B56,Suppl!$C$1:$N$1,0)+1,FALSE),"")</f>
        <v>0</v>
      </c>
      <c r="P56" s="153" t="str">
        <f t="shared" si="1"/>
        <v>36</v>
      </c>
    </row>
    <row r="57" spans="1:16" ht="15" customHeight="1" x14ac:dyDescent="0.3">
      <c r="A57" s="155" t="str">
        <f t="shared" si="0"/>
        <v>237</v>
      </c>
      <c r="B57" s="164">
        <f t="shared" si="5"/>
        <v>2</v>
      </c>
      <c r="C57" s="157" t="str">
        <f t="shared" si="6"/>
        <v>Innovation</v>
      </c>
      <c r="D57" s="157" t="s">
        <v>552</v>
      </c>
      <c r="E57" s="169">
        <v>3</v>
      </c>
      <c r="F57" s="157" t="s">
        <v>130</v>
      </c>
      <c r="G57" s="407" t="s">
        <v>135</v>
      </c>
      <c r="H57" s="185" t="s">
        <v>164</v>
      </c>
      <c r="I57" s="171">
        <v>7</v>
      </c>
      <c r="J57" s="154"/>
      <c r="K57" s="154" t="s">
        <v>164</v>
      </c>
      <c r="L57" s="323"/>
      <c r="M57" s="154"/>
      <c r="N57" s="154"/>
      <c r="O57" s="200">
        <f>IFERROR(VLOOKUP($P57,Suppl!$B$2:$N$57,MATCH(BDD!$B57,Suppl!$C$1:$N$1,0)+1,FALSE),"")</f>
        <v>0</v>
      </c>
      <c r="P57" s="154" t="str">
        <f t="shared" si="1"/>
        <v>37</v>
      </c>
    </row>
    <row r="58" spans="1:16" ht="15" customHeight="1" x14ac:dyDescent="0.3">
      <c r="A58" s="155" t="str">
        <f t="shared" si="0"/>
        <v>241</v>
      </c>
      <c r="B58" s="163">
        <f t="shared" si="5"/>
        <v>2</v>
      </c>
      <c r="C58" s="156" t="str">
        <f t="shared" si="6"/>
        <v>Innovation</v>
      </c>
      <c r="D58" s="156" t="s">
        <v>552</v>
      </c>
      <c r="E58" s="167">
        <v>4</v>
      </c>
      <c r="F58" s="180" t="s">
        <v>131</v>
      </c>
      <c r="G58" s="409" t="s">
        <v>136</v>
      </c>
      <c r="H58" s="185" t="s">
        <v>554</v>
      </c>
      <c r="I58" s="162">
        <v>1</v>
      </c>
      <c r="J58" s="153" t="s">
        <v>150</v>
      </c>
      <c r="K58" s="153" t="s">
        <v>23</v>
      </c>
      <c r="L58" s="247" t="s">
        <v>674</v>
      </c>
      <c r="M58" s="153"/>
      <c r="N58" s="153"/>
      <c r="O58" s="199">
        <f>IFERROR(VLOOKUP($P58,Suppl!$B$2:$N$57,MATCH(BDD!$B58,Suppl!$C$1:$N$1,0)+1,FALSE),"")</f>
        <v>0</v>
      </c>
      <c r="P58" s="153" t="str">
        <f t="shared" si="1"/>
        <v>41</v>
      </c>
    </row>
    <row r="59" spans="1:16" ht="15" customHeight="1" x14ac:dyDescent="0.3">
      <c r="A59" s="155" t="str">
        <f t="shared" si="0"/>
        <v>242</v>
      </c>
      <c r="B59" s="163">
        <f t="shared" si="5"/>
        <v>2</v>
      </c>
      <c r="C59" s="156" t="str">
        <f t="shared" si="6"/>
        <v>Innovation</v>
      </c>
      <c r="D59" s="156" t="s">
        <v>552</v>
      </c>
      <c r="E59" s="168">
        <v>4</v>
      </c>
      <c r="F59" s="156" t="s">
        <v>131</v>
      </c>
      <c r="G59" s="406" t="s">
        <v>136</v>
      </c>
      <c r="H59" s="185" t="s">
        <v>164</v>
      </c>
      <c r="I59" s="162">
        <v>2</v>
      </c>
      <c r="J59" s="153" t="s">
        <v>151</v>
      </c>
      <c r="K59" s="153" t="s">
        <v>24</v>
      </c>
      <c r="L59" s="247" t="s">
        <v>675</v>
      </c>
      <c r="M59" s="153"/>
      <c r="N59" s="153"/>
      <c r="O59" s="199">
        <f>IFERROR(VLOOKUP($P59,Suppl!$B$2:$N$57,MATCH(BDD!$B59,Suppl!$C$1:$N$1,0)+1,FALSE),"")</f>
        <v>0</v>
      </c>
      <c r="P59" s="153" t="str">
        <f t="shared" si="1"/>
        <v>42</v>
      </c>
    </row>
    <row r="60" spans="1:16" ht="15" customHeight="1" x14ac:dyDescent="0.3">
      <c r="A60" s="155" t="str">
        <f t="shared" si="0"/>
        <v>243</v>
      </c>
      <c r="B60" s="163">
        <f t="shared" si="5"/>
        <v>2</v>
      </c>
      <c r="C60" s="156" t="str">
        <f t="shared" si="6"/>
        <v>Innovation</v>
      </c>
      <c r="D60" s="156" t="s">
        <v>552</v>
      </c>
      <c r="E60" s="168">
        <v>4</v>
      </c>
      <c r="F60" s="156" t="s">
        <v>131</v>
      </c>
      <c r="G60" s="406" t="s">
        <v>136</v>
      </c>
      <c r="H60" s="185" t="s">
        <v>164</v>
      </c>
      <c r="I60" s="162">
        <v>3</v>
      </c>
      <c r="J60" s="153" t="s">
        <v>152</v>
      </c>
      <c r="K60" s="153" t="s">
        <v>25</v>
      </c>
      <c r="L60" s="247"/>
      <c r="M60" s="153"/>
      <c r="N60" s="153"/>
      <c r="O60" s="199">
        <f>IFERROR(VLOOKUP($P60,Suppl!$B$2:$N$57,MATCH(BDD!$B60,Suppl!$C$1:$N$1,0)+1,FALSE),"")</f>
        <v>0</v>
      </c>
      <c r="P60" s="153" t="str">
        <f t="shared" si="1"/>
        <v>43</v>
      </c>
    </row>
    <row r="61" spans="1:16" ht="15" customHeight="1" x14ac:dyDescent="0.3">
      <c r="A61" s="155" t="str">
        <f t="shared" si="0"/>
        <v>244</v>
      </c>
      <c r="B61" s="163">
        <f t="shared" si="5"/>
        <v>2</v>
      </c>
      <c r="C61" s="156" t="str">
        <f t="shared" si="6"/>
        <v>Innovation</v>
      </c>
      <c r="D61" s="156" t="s">
        <v>552</v>
      </c>
      <c r="E61" s="168">
        <v>4</v>
      </c>
      <c r="F61" s="156" t="s">
        <v>131</v>
      </c>
      <c r="G61" s="406" t="s">
        <v>136</v>
      </c>
      <c r="H61" s="185" t="s">
        <v>164</v>
      </c>
      <c r="I61" s="162">
        <v>4</v>
      </c>
      <c r="J61" s="153" t="s">
        <v>153</v>
      </c>
      <c r="K61" s="153" t="s">
        <v>24</v>
      </c>
      <c r="L61" s="247"/>
      <c r="M61" s="153"/>
      <c r="N61" s="153"/>
      <c r="O61" s="199">
        <f>IFERROR(VLOOKUP($P61,Suppl!$B$2:$N$57,MATCH(BDD!$B61,Suppl!$C$1:$N$1,0)+1,FALSE),"")</f>
        <v>0</v>
      </c>
      <c r="P61" s="153" t="str">
        <f t="shared" si="1"/>
        <v>44</v>
      </c>
    </row>
    <row r="62" spans="1:16" ht="15" customHeight="1" x14ac:dyDescent="0.3">
      <c r="A62" s="155" t="str">
        <f t="shared" si="0"/>
        <v>245</v>
      </c>
      <c r="B62" s="163">
        <f t="shared" si="5"/>
        <v>2</v>
      </c>
      <c r="C62" s="156" t="str">
        <f t="shared" si="6"/>
        <v>Innovation</v>
      </c>
      <c r="D62" s="156" t="s">
        <v>552</v>
      </c>
      <c r="E62" s="168">
        <v>4</v>
      </c>
      <c r="F62" s="156" t="s">
        <v>131</v>
      </c>
      <c r="G62" s="406" t="s">
        <v>136</v>
      </c>
      <c r="H62" s="185" t="s">
        <v>164</v>
      </c>
      <c r="I62" s="162">
        <v>5</v>
      </c>
      <c r="J62" s="153" t="s">
        <v>154</v>
      </c>
      <c r="K62" s="153" t="s">
        <v>25</v>
      </c>
      <c r="L62" s="247" t="s">
        <v>869</v>
      </c>
      <c r="M62" s="153"/>
      <c r="N62" s="153"/>
      <c r="O62" s="199">
        <f>IFERROR(VLOOKUP($P62,Suppl!$B$2:$N$57,MATCH(BDD!$B62,Suppl!$C$1:$N$1,0)+1,FALSE),"")</f>
        <v>0</v>
      </c>
      <c r="P62" s="189" t="str">
        <f t="shared" si="1"/>
        <v>45</v>
      </c>
    </row>
    <row r="63" spans="1:16" ht="15" customHeight="1" x14ac:dyDescent="0.3">
      <c r="A63" s="155" t="str">
        <f t="shared" si="0"/>
        <v>246</v>
      </c>
      <c r="B63" s="163">
        <f t="shared" si="5"/>
        <v>2</v>
      </c>
      <c r="C63" s="156" t="str">
        <f t="shared" si="6"/>
        <v>Innovation</v>
      </c>
      <c r="D63" s="156" t="s">
        <v>552</v>
      </c>
      <c r="E63" s="168">
        <v>4</v>
      </c>
      <c r="F63" s="156" t="s">
        <v>131</v>
      </c>
      <c r="G63" s="406" t="s">
        <v>136</v>
      </c>
      <c r="H63" s="185" t="s">
        <v>164</v>
      </c>
      <c r="I63" s="162">
        <v>6</v>
      </c>
      <c r="J63" s="153"/>
      <c r="K63" s="153" t="s">
        <v>164</v>
      </c>
      <c r="L63" s="247"/>
      <c r="M63" s="153"/>
      <c r="N63" s="153"/>
      <c r="O63" s="199">
        <f>IFERROR(VLOOKUP($P63,Suppl!$B$2:$N$57,MATCH(BDD!$B63,Suppl!$C$1:$N$1,0)+1,FALSE),"")</f>
        <v>0</v>
      </c>
      <c r="P63" s="189" t="str">
        <f t="shared" si="1"/>
        <v>46</v>
      </c>
    </row>
    <row r="64" spans="1:16" ht="15" customHeight="1" x14ac:dyDescent="0.3">
      <c r="A64" s="155" t="str">
        <f t="shared" si="0"/>
        <v>247</v>
      </c>
      <c r="B64" s="164">
        <f t="shared" si="5"/>
        <v>2</v>
      </c>
      <c r="C64" s="157" t="str">
        <f t="shared" si="6"/>
        <v>Innovation</v>
      </c>
      <c r="D64" s="157" t="s">
        <v>552</v>
      </c>
      <c r="E64" s="169">
        <v>4</v>
      </c>
      <c r="F64" s="157" t="s">
        <v>131</v>
      </c>
      <c r="G64" s="407" t="s">
        <v>136</v>
      </c>
      <c r="H64" s="185" t="s">
        <v>164</v>
      </c>
      <c r="I64" s="171">
        <v>7</v>
      </c>
      <c r="J64" s="154"/>
      <c r="K64" s="154" t="s">
        <v>164</v>
      </c>
      <c r="L64" s="323"/>
      <c r="M64" s="154"/>
      <c r="N64" s="154"/>
      <c r="O64" s="200">
        <f>IFERROR(VLOOKUP($P64,Suppl!$B$2:$N$57,MATCH(BDD!$B64,Suppl!$C$1:$N$1,0)+1,FALSE),"")</f>
        <v>0</v>
      </c>
      <c r="P64" s="154" t="str">
        <f t="shared" si="1"/>
        <v>47</v>
      </c>
    </row>
    <row r="65" spans="1:16" ht="15" customHeight="1" x14ac:dyDescent="0.3">
      <c r="A65" s="155" t="str">
        <f t="shared" si="0"/>
        <v>251</v>
      </c>
      <c r="B65" s="163">
        <f t="shared" si="5"/>
        <v>2</v>
      </c>
      <c r="C65" s="156" t="str">
        <f t="shared" si="6"/>
        <v>Innovation</v>
      </c>
      <c r="D65" s="156" t="s">
        <v>552</v>
      </c>
      <c r="E65" s="167">
        <v>5</v>
      </c>
      <c r="F65" s="180" t="s">
        <v>132</v>
      </c>
      <c r="G65" s="409" t="s">
        <v>137</v>
      </c>
      <c r="H65" s="185" t="s">
        <v>553</v>
      </c>
      <c r="I65" s="162">
        <v>1</v>
      </c>
      <c r="J65" s="153" t="s">
        <v>155</v>
      </c>
      <c r="K65" s="153" t="s">
        <v>23</v>
      </c>
      <c r="L65" s="247" t="s">
        <v>676</v>
      </c>
      <c r="M65" s="153"/>
      <c r="N65" s="153"/>
      <c r="O65" s="199">
        <f>IFERROR(VLOOKUP($P65,Suppl!$B$2:$N$57,MATCH(BDD!$B65,Suppl!$C$1:$N$1,0)+1,FALSE),"")</f>
        <v>0</v>
      </c>
      <c r="P65" s="153" t="str">
        <f t="shared" si="1"/>
        <v>51</v>
      </c>
    </row>
    <row r="66" spans="1:16" ht="15" customHeight="1" x14ac:dyDescent="0.3">
      <c r="A66" s="155" t="str">
        <f t="shared" si="0"/>
        <v>252</v>
      </c>
      <c r="B66" s="163">
        <f t="shared" si="5"/>
        <v>2</v>
      </c>
      <c r="C66" s="156" t="str">
        <f t="shared" si="6"/>
        <v>Innovation</v>
      </c>
      <c r="D66" s="156" t="s">
        <v>552</v>
      </c>
      <c r="E66" s="168">
        <v>5</v>
      </c>
      <c r="F66" s="156" t="s">
        <v>132</v>
      </c>
      <c r="G66" s="406" t="s">
        <v>137</v>
      </c>
      <c r="H66" s="185" t="s">
        <v>164</v>
      </c>
      <c r="I66" s="162">
        <v>2</v>
      </c>
      <c r="J66" s="153" t="s">
        <v>156</v>
      </c>
      <c r="K66" s="153" t="s">
        <v>25</v>
      </c>
      <c r="L66" s="247"/>
      <c r="M66" s="153"/>
      <c r="N66" s="153"/>
      <c r="O66" s="199">
        <f>IFERROR(VLOOKUP($P66,Suppl!$B$2:$N$57,MATCH(BDD!$B66,Suppl!$C$1:$N$1,0)+1,FALSE),"")</f>
        <v>0</v>
      </c>
      <c r="P66" s="153" t="str">
        <f t="shared" si="1"/>
        <v>52</v>
      </c>
    </row>
    <row r="67" spans="1:16" ht="15" customHeight="1" x14ac:dyDescent="0.3">
      <c r="A67" s="155" t="str">
        <f t="shared" ref="A67:A137" si="7">B67&amp;E67&amp;I67</f>
        <v>253</v>
      </c>
      <c r="B67" s="163">
        <f t="shared" si="5"/>
        <v>2</v>
      </c>
      <c r="C67" s="156" t="str">
        <f t="shared" si="6"/>
        <v>Innovation</v>
      </c>
      <c r="D67" s="156" t="s">
        <v>552</v>
      </c>
      <c r="E67" s="168">
        <v>5</v>
      </c>
      <c r="F67" s="156" t="s">
        <v>132</v>
      </c>
      <c r="G67" s="406" t="s">
        <v>137</v>
      </c>
      <c r="H67" s="185" t="s">
        <v>164</v>
      </c>
      <c r="I67" s="162">
        <v>3</v>
      </c>
      <c r="J67" s="153" t="s">
        <v>157</v>
      </c>
      <c r="K67" s="153" t="s">
        <v>24</v>
      </c>
      <c r="L67" s="247"/>
      <c r="M67" s="153"/>
      <c r="N67" s="153"/>
      <c r="O67" s="199">
        <f>IFERROR(VLOOKUP($P67,Suppl!$B$2:$N$57,MATCH(BDD!$B67,Suppl!$C$1:$N$1,0)+1,FALSE),"")</f>
        <v>0</v>
      </c>
      <c r="P67" s="153" t="str">
        <f t="shared" ref="P67:P137" si="8">E67&amp;I67</f>
        <v>53</v>
      </c>
    </row>
    <row r="68" spans="1:16" ht="15" customHeight="1" x14ac:dyDescent="0.3">
      <c r="A68" s="155" t="str">
        <f t="shared" si="7"/>
        <v>254</v>
      </c>
      <c r="B68" s="163">
        <f t="shared" si="5"/>
        <v>2</v>
      </c>
      <c r="C68" s="156" t="str">
        <f t="shared" si="6"/>
        <v>Innovation</v>
      </c>
      <c r="D68" s="156" t="s">
        <v>552</v>
      </c>
      <c r="E68" s="168">
        <v>5</v>
      </c>
      <c r="F68" s="156" t="s">
        <v>132</v>
      </c>
      <c r="G68" s="406" t="s">
        <v>137</v>
      </c>
      <c r="H68" s="185" t="s">
        <v>164</v>
      </c>
      <c r="I68" s="162">
        <v>4</v>
      </c>
      <c r="J68" s="153" t="s">
        <v>158</v>
      </c>
      <c r="K68" s="153" t="s">
        <v>26</v>
      </c>
      <c r="L68" s="247"/>
      <c r="M68" s="153"/>
      <c r="N68" s="153"/>
      <c r="O68" s="199">
        <f>IFERROR(VLOOKUP($P68,Suppl!$B$2:$N$57,MATCH(BDD!$B68,Suppl!$C$1:$N$1,0)+1,FALSE),"")</f>
        <v>0</v>
      </c>
      <c r="P68" s="153" t="str">
        <f t="shared" si="8"/>
        <v>54</v>
      </c>
    </row>
    <row r="69" spans="1:16" ht="15" customHeight="1" x14ac:dyDescent="0.3">
      <c r="A69" s="155" t="str">
        <f t="shared" si="7"/>
        <v>255</v>
      </c>
      <c r="B69" s="163">
        <f t="shared" si="5"/>
        <v>2</v>
      </c>
      <c r="C69" s="156" t="str">
        <f t="shared" si="6"/>
        <v>Innovation</v>
      </c>
      <c r="D69" s="156" t="s">
        <v>552</v>
      </c>
      <c r="E69" s="168">
        <v>5</v>
      </c>
      <c r="F69" s="156" t="s">
        <v>132</v>
      </c>
      <c r="G69" s="406" t="s">
        <v>137</v>
      </c>
      <c r="H69" s="185" t="s">
        <v>164</v>
      </c>
      <c r="I69" s="162">
        <v>5</v>
      </c>
      <c r="J69" s="153"/>
      <c r="K69" s="153" t="s">
        <v>164</v>
      </c>
      <c r="L69" s="247"/>
      <c r="M69" s="153"/>
      <c r="N69" s="153"/>
      <c r="O69" s="199">
        <f>IFERROR(VLOOKUP($P69,Suppl!$B$2:$N$57,MATCH(BDD!$B69,Suppl!$C$1:$N$1,0)+1,FALSE),"")</f>
        <v>0</v>
      </c>
      <c r="P69" s="153" t="str">
        <f t="shared" si="8"/>
        <v>55</v>
      </c>
    </row>
    <row r="70" spans="1:16" ht="15" customHeight="1" x14ac:dyDescent="0.3">
      <c r="A70" s="155" t="str">
        <f t="shared" si="7"/>
        <v>256</v>
      </c>
      <c r="B70" s="163">
        <f t="shared" si="5"/>
        <v>2</v>
      </c>
      <c r="C70" s="156" t="str">
        <f t="shared" si="6"/>
        <v>Innovation</v>
      </c>
      <c r="D70" s="156" t="s">
        <v>552</v>
      </c>
      <c r="E70" s="168">
        <v>5</v>
      </c>
      <c r="F70" s="156" t="s">
        <v>132</v>
      </c>
      <c r="G70" s="406" t="s">
        <v>137</v>
      </c>
      <c r="H70" s="185" t="s">
        <v>164</v>
      </c>
      <c r="I70" s="162">
        <v>6</v>
      </c>
      <c r="J70" s="153"/>
      <c r="K70" s="153" t="s">
        <v>164</v>
      </c>
      <c r="L70" s="247"/>
      <c r="M70" s="153"/>
      <c r="N70" s="153"/>
      <c r="O70" s="199">
        <f>IFERROR(VLOOKUP($P70,Suppl!$B$2:$N$57,MATCH(BDD!$B70,Suppl!$C$1:$N$1,0)+1,FALSE),"")</f>
        <v>0</v>
      </c>
      <c r="P70" s="153" t="str">
        <f t="shared" si="8"/>
        <v>56</v>
      </c>
    </row>
    <row r="71" spans="1:16" ht="15" customHeight="1" x14ac:dyDescent="0.3">
      <c r="A71" s="155" t="str">
        <f t="shared" si="7"/>
        <v>257</v>
      </c>
      <c r="B71" s="164">
        <f t="shared" si="5"/>
        <v>2</v>
      </c>
      <c r="C71" s="157" t="str">
        <f t="shared" si="6"/>
        <v>Innovation</v>
      </c>
      <c r="D71" s="157" t="s">
        <v>552</v>
      </c>
      <c r="E71" s="169">
        <v>5</v>
      </c>
      <c r="F71" s="157" t="s">
        <v>132</v>
      </c>
      <c r="G71" s="407" t="s">
        <v>137</v>
      </c>
      <c r="H71" s="185" t="s">
        <v>164</v>
      </c>
      <c r="I71" s="171">
        <v>7</v>
      </c>
      <c r="J71" s="154"/>
      <c r="K71" s="154" t="s">
        <v>164</v>
      </c>
      <c r="L71" s="323"/>
      <c r="M71" s="154"/>
      <c r="N71" s="154"/>
      <c r="O71" s="200">
        <f>IFERROR(VLOOKUP($P71,Suppl!$B$2:$N$57,MATCH(BDD!$B71,Suppl!$C$1:$N$1,0)+1,FALSE),"")</f>
        <v>0</v>
      </c>
      <c r="P71" s="154" t="str">
        <f t="shared" si="8"/>
        <v>57</v>
      </c>
    </row>
    <row r="72" spans="1:16" ht="15" customHeight="1" x14ac:dyDescent="0.3">
      <c r="A72" s="155" t="str">
        <f t="shared" si="7"/>
        <v>261</v>
      </c>
      <c r="B72" s="163">
        <f t="shared" ref="B72:B78" si="9">B71</f>
        <v>2</v>
      </c>
      <c r="C72" s="156" t="str">
        <f t="shared" ref="C72:C78" si="10">C71</f>
        <v>Innovation</v>
      </c>
      <c r="D72" s="156" t="s">
        <v>552</v>
      </c>
      <c r="E72" s="167">
        <v>6</v>
      </c>
      <c r="F72" s="180" t="s">
        <v>108</v>
      </c>
      <c r="G72" s="409" t="s">
        <v>138</v>
      </c>
      <c r="H72" s="185" t="s">
        <v>677</v>
      </c>
      <c r="I72" s="162">
        <v>1</v>
      </c>
      <c r="J72" s="153" t="s">
        <v>159</v>
      </c>
      <c r="K72" s="153" t="s">
        <v>23</v>
      </c>
      <c r="M72" s="153"/>
      <c r="N72" s="153"/>
      <c r="O72" s="199">
        <f>IFERROR(VLOOKUP($P72,Suppl!$B$2:$N$57,MATCH(BDD!$B72,Suppl!$C$1:$N$1,0)+1,FALSE),"")</f>
        <v>0</v>
      </c>
      <c r="P72" s="153" t="str">
        <f t="shared" si="8"/>
        <v>61</v>
      </c>
    </row>
    <row r="73" spans="1:16" ht="15" customHeight="1" x14ac:dyDescent="0.3">
      <c r="A73" s="155" t="str">
        <f t="shared" si="7"/>
        <v>262</v>
      </c>
      <c r="B73" s="163">
        <f t="shared" si="9"/>
        <v>2</v>
      </c>
      <c r="C73" s="156" t="str">
        <f t="shared" si="10"/>
        <v>Innovation</v>
      </c>
      <c r="D73" s="156" t="s">
        <v>552</v>
      </c>
      <c r="E73" s="168">
        <v>6</v>
      </c>
      <c r="F73" s="156" t="s">
        <v>108</v>
      </c>
      <c r="G73" s="406" t="s">
        <v>138</v>
      </c>
      <c r="H73" s="185" t="s">
        <v>164</v>
      </c>
      <c r="I73" s="162">
        <v>2</v>
      </c>
      <c r="J73" s="153" t="s">
        <v>160</v>
      </c>
      <c r="K73" s="153" t="s">
        <v>24</v>
      </c>
      <c r="L73" s="247" t="s">
        <v>678</v>
      </c>
      <c r="M73" s="153"/>
      <c r="N73" s="153"/>
      <c r="O73" s="199">
        <f>IFERROR(VLOOKUP($P73,Suppl!$B$2:$N$57,MATCH(BDD!$B73,Suppl!$C$1:$N$1,0)+1,FALSE),"")</f>
        <v>0</v>
      </c>
      <c r="P73" s="153" t="str">
        <f t="shared" si="8"/>
        <v>62</v>
      </c>
    </row>
    <row r="74" spans="1:16" ht="15" customHeight="1" x14ac:dyDescent="0.3">
      <c r="A74" s="155" t="str">
        <f t="shared" si="7"/>
        <v>263</v>
      </c>
      <c r="B74" s="163">
        <f t="shared" si="9"/>
        <v>2</v>
      </c>
      <c r="C74" s="156" t="str">
        <f t="shared" si="10"/>
        <v>Innovation</v>
      </c>
      <c r="D74" s="156" t="s">
        <v>552</v>
      </c>
      <c r="E74" s="168">
        <v>6</v>
      </c>
      <c r="F74" s="156" t="s">
        <v>108</v>
      </c>
      <c r="G74" s="406" t="s">
        <v>138</v>
      </c>
      <c r="H74" s="185" t="s">
        <v>164</v>
      </c>
      <c r="I74" s="162">
        <v>3</v>
      </c>
      <c r="J74" s="153" t="s">
        <v>161</v>
      </c>
      <c r="K74" s="153" t="s">
        <v>25</v>
      </c>
      <c r="L74" s="247" t="s">
        <v>679</v>
      </c>
      <c r="M74" s="153"/>
      <c r="N74" s="153"/>
      <c r="O74" s="199">
        <f>IFERROR(VLOOKUP($P74,Suppl!$B$2:$N$57,MATCH(BDD!$B74,Suppl!$C$1:$N$1,0)+1,FALSE),"")</f>
        <v>0</v>
      </c>
      <c r="P74" s="153" t="str">
        <f t="shared" si="8"/>
        <v>63</v>
      </c>
    </row>
    <row r="75" spans="1:16" ht="15" customHeight="1" x14ac:dyDescent="0.3">
      <c r="A75" s="155" t="str">
        <f t="shared" si="7"/>
        <v>264</v>
      </c>
      <c r="B75" s="163">
        <f t="shared" si="9"/>
        <v>2</v>
      </c>
      <c r="C75" s="156" t="str">
        <f t="shared" si="10"/>
        <v>Innovation</v>
      </c>
      <c r="D75" s="156" t="s">
        <v>552</v>
      </c>
      <c r="E75" s="168">
        <v>6</v>
      </c>
      <c r="F75" s="156" t="s">
        <v>108</v>
      </c>
      <c r="G75" s="406" t="s">
        <v>138</v>
      </c>
      <c r="H75" s="185" t="s">
        <v>164</v>
      </c>
      <c r="I75" s="162">
        <v>4</v>
      </c>
      <c r="J75" s="153" t="s">
        <v>162</v>
      </c>
      <c r="K75" s="153" t="s">
        <v>26</v>
      </c>
      <c r="L75" s="247"/>
      <c r="M75" s="153"/>
      <c r="N75" s="153"/>
      <c r="O75" s="199">
        <f>IFERROR(VLOOKUP($P75,Suppl!$B$2:$N$57,MATCH(BDD!$B75,Suppl!$C$1:$N$1,0)+1,FALSE),"")</f>
        <v>0</v>
      </c>
      <c r="P75" s="153" t="str">
        <f t="shared" si="8"/>
        <v>64</v>
      </c>
    </row>
    <row r="76" spans="1:16" ht="15" customHeight="1" x14ac:dyDescent="0.3">
      <c r="A76" s="155" t="str">
        <f t="shared" si="7"/>
        <v>265</v>
      </c>
      <c r="B76" s="163">
        <f t="shared" si="9"/>
        <v>2</v>
      </c>
      <c r="C76" s="156" t="str">
        <f t="shared" si="10"/>
        <v>Innovation</v>
      </c>
      <c r="D76" s="156" t="s">
        <v>552</v>
      </c>
      <c r="E76" s="168">
        <v>6</v>
      </c>
      <c r="F76" s="156" t="s">
        <v>108</v>
      </c>
      <c r="G76" s="406" t="s">
        <v>138</v>
      </c>
      <c r="H76" s="185" t="s">
        <v>164</v>
      </c>
      <c r="I76" s="162">
        <v>5</v>
      </c>
      <c r="J76" s="153"/>
      <c r="K76" s="153"/>
      <c r="L76" s="247"/>
      <c r="M76" s="153"/>
      <c r="N76" s="153"/>
      <c r="O76" s="199">
        <f>IFERROR(VLOOKUP($P76,Suppl!$B$2:$N$57,MATCH(BDD!$B76,Suppl!$C$1:$N$1,0)+1,FALSE),"")</f>
        <v>0</v>
      </c>
      <c r="P76" s="153" t="str">
        <f t="shared" si="8"/>
        <v>65</v>
      </c>
    </row>
    <row r="77" spans="1:16" ht="15" customHeight="1" x14ac:dyDescent="0.3">
      <c r="A77" s="155" t="str">
        <f t="shared" si="7"/>
        <v>266</v>
      </c>
      <c r="B77" s="163">
        <f t="shared" si="9"/>
        <v>2</v>
      </c>
      <c r="C77" s="156" t="str">
        <f t="shared" si="10"/>
        <v>Innovation</v>
      </c>
      <c r="D77" s="156" t="s">
        <v>552</v>
      </c>
      <c r="E77" s="168">
        <v>6</v>
      </c>
      <c r="F77" s="156" t="s">
        <v>108</v>
      </c>
      <c r="G77" s="406" t="s">
        <v>138</v>
      </c>
      <c r="H77" s="185" t="s">
        <v>164</v>
      </c>
      <c r="I77" s="162">
        <v>6</v>
      </c>
      <c r="J77" s="153"/>
      <c r="K77" s="153"/>
      <c r="L77" s="247"/>
      <c r="M77" s="153"/>
      <c r="N77" s="153"/>
      <c r="O77" s="199">
        <f>IFERROR(VLOOKUP($P77,Suppl!$B$2:$N$57,MATCH(BDD!$B77,Suppl!$C$1:$N$1,0)+1,FALSE),"")</f>
        <v>0</v>
      </c>
      <c r="P77" s="153" t="str">
        <f t="shared" si="8"/>
        <v>66</v>
      </c>
    </row>
    <row r="78" spans="1:16" ht="15" customHeight="1" thickBot="1" x14ac:dyDescent="0.35">
      <c r="A78" s="155" t="str">
        <f t="shared" si="7"/>
        <v>267</v>
      </c>
      <c r="B78" s="164">
        <f t="shared" si="9"/>
        <v>2</v>
      </c>
      <c r="C78" s="157" t="str">
        <f t="shared" si="10"/>
        <v>Innovation</v>
      </c>
      <c r="D78" s="157" t="s">
        <v>552</v>
      </c>
      <c r="E78" s="169">
        <v>6</v>
      </c>
      <c r="F78" s="160" t="s">
        <v>108</v>
      </c>
      <c r="G78" s="410" t="s">
        <v>138</v>
      </c>
      <c r="H78" s="185" t="s">
        <v>164</v>
      </c>
      <c r="I78" s="171">
        <v>7</v>
      </c>
      <c r="J78" s="158"/>
      <c r="K78" s="158"/>
      <c r="L78" s="254"/>
      <c r="M78" s="158"/>
      <c r="N78" s="158"/>
      <c r="O78" s="201">
        <f>IFERROR(VLOOKUP($P78,Suppl!$B$2:$N$57,MATCH(BDD!$B78,Suppl!$C$1:$N$1,0)+1,FALSE),"")</f>
        <v>0</v>
      </c>
      <c r="P78" s="158" t="str">
        <f t="shared" si="8"/>
        <v>67</v>
      </c>
    </row>
    <row r="79" spans="1:16" ht="15" customHeight="1" x14ac:dyDescent="0.3">
      <c r="A79" s="155" t="str">
        <f t="shared" si="7"/>
        <v>311</v>
      </c>
      <c r="B79" s="181">
        <v>3</v>
      </c>
      <c r="C79" s="153" t="s">
        <v>1089</v>
      </c>
      <c r="D79" s="153" t="s">
        <v>166</v>
      </c>
      <c r="E79" s="167">
        <v>1</v>
      </c>
      <c r="F79" s="181" t="s">
        <v>165</v>
      </c>
      <c r="G79" s="401" t="s">
        <v>680</v>
      </c>
      <c r="H79" s="217" t="s">
        <v>164</v>
      </c>
      <c r="I79" s="162">
        <v>1</v>
      </c>
      <c r="J79" s="153" t="s">
        <v>172</v>
      </c>
      <c r="K79" s="153" t="s">
        <v>22</v>
      </c>
      <c r="L79" s="247" t="s">
        <v>681</v>
      </c>
      <c r="M79" s="173" t="s">
        <v>195</v>
      </c>
      <c r="N79" s="176" t="s">
        <v>200</v>
      </c>
      <c r="O79" s="199">
        <f>IFERROR(VLOOKUP($P79,Suppl!$B$2:$N$57,MATCH(BDD!$B79,Suppl!$C$1:$N$1,0)+1,FALSE),"")</f>
        <v>0</v>
      </c>
      <c r="P79" s="153" t="str">
        <f t="shared" si="8"/>
        <v>11</v>
      </c>
    </row>
    <row r="80" spans="1:16" ht="15" customHeight="1" x14ac:dyDescent="0.3">
      <c r="A80" s="155" t="str">
        <f t="shared" si="7"/>
        <v>312</v>
      </c>
      <c r="B80" s="182">
        <f t="shared" ref="B80:C80" si="11">B79</f>
        <v>3</v>
      </c>
      <c r="C80" s="156" t="str">
        <f t="shared" si="11"/>
        <v>Risques &amp; conformité</v>
      </c>
      <c r="D80" s="156" t="s">
        <v>166</v>
      </c>
      <c r="E80" s="168">
        <v>1</v>
      </c>
      <c r="F80" s="182" t="s">
        <v>165</v>
      </c>
      <c r="G80" s="402" t="s">
        <v>680</v>
      </c>
      <c r="H80" s="217" t="s">
        <v>164</v>
      </c>
      <c r="I80" s="162">
        <v>2</v>
      </c>
      <c r="J80" s="153" t="s">
        <v>173</v>
      </c>
      <c r="K80" s="153" t="s">
        <v>24</v>
      </c>
      <c r="L80" s="247" t="s">
        <v>870</v>
      </c>
      <c r="M80" s="174" t="s">
        <v>196</v>
      </c>
      <c r="N80" s="177" t="s">
        <v>201</v>
      </c>
      <c r="O80" s="199">
        <f>IFERROR(VLOOKUP($P80,Suppl!$B$2:$N$57,MATCH(BDD!$B80,Suppl!$C$1:$N$1,0)+1,FALSE),"")</f>
        <v>0</v>
      </c>
      <c r="P80" s="153" t="str">
        <f t="shared" si="8"/>
        <v>12</v>
      </c>
    </row>
    <row r="81" spans="1:16" ht="15" customHeight="1" x14ac:dyDescent="0.3">
      <c r="A81" s="155" t="str">
        <f t="shared" si="7"/>
        <v>313</v>
      </c>
      <c r="B81" s="182">
        <f t="shared" ref="B81:B134" si="12">B80</f>
        <v>3</v>
      </c>
      <c r="C81" s="156" t="str">
        <f t="shared" ref="C81:C134" si="13">C80</f>
        <v>Risques &amp; conformité</v>
      </c>
      <c r="D81" s="156" t="s">
        <v>166</v>
      </c>
      <c r="E81" s="168">
        <v>1</v>
      </c>
      <c r="F81" s="182" t="s">
        <v>165</v>
      </c>
      <c r="G81" s="402" t="s">
        <v>680</v>
      </c>
      <c r="H81" s="217" t="s">
        <v>164</v>
      </c>
      <c r="I81" s="162">
        <v>3</v>
      </c>
      <c r="J81" s="153" t="s">
        <v>1076</v>
      </c>
      <c r="K81" s="153" t="s">
        <v>25</v>
      </c>
      <c r="L81" s="247" t="s">
        <v>682</v>
      </c>
      <c r="M81" s="174" t="s">
        <v>197</v>
      </c>
      <c r="N81" s="177" t="s">
        <v>202</v>
      </c>
      <c r="O81" s="199">
        <f>IFERROR(VLOOKUP($P81,Suppl!$B$2:$N$57,MATCH(BDD!$B81,Suppl!$C$1:$N$1,0)+1,FALSE),"")</f>
        <v>0</v>
      </c>
      <c r="P81" s="153" t="str">
        <f t="shared" si="8"/>
        <v>13</v>
      </c>
    </row>
    <row r="82" spans="1:16" ht="15" customHeight="1" x14ac:dyDescent="0.3">
      <c r="A82" s="155" t="str">
        <f t="shared" si="7"/>
        <v>314</v>
      </c>
      <c r="B82" s="182">
        <f t="shared" si="12"/>
        <v>3</v>
      </c>
      <c r="C82" s="156" t="str">
        <f t="shared" si="13"/>
        <v>Risques &amp; conformité</v>
      </c>
      <c r="D82" s="156" t="s">
        <v>166</v>
      </c>
      <c r="E82" s="168">
        <v>1</v>
      </c>
      <c r="F82" s="182" t="s">
        <v>165</v>
      </c>
      <c r="G82" s="402" t="s">
        <v>680</v>
      </c>
      <c r="H82" s="217" t="s">
        <v>164</v>
      </c>
      <c r="I82" s="162">
        <v>4</v>
      </c>
      <c r="J82" s="153" t="s">
        <v>174</v>
      </c>
      <c r="K82" s="153" t="s">
        <v>23</v>
      </c>
      <c r="L82" s="247" t="s">
        <v>1077</v>
      </c>
      <c r="M82" s="174" t="s">
        <v>198</v>
      </c>
      <c r="N82" s="177" t="s">
        <v>203</v>
      </c>
      <c r="O82" s="199">
        <f>IFERROR(VLOOKUP($P82,Suppl!$B$2:$N$57,MATCH(BDD!$B82,Suppl!$C$1:$N$1,0)+1,FALSE),"")</f>
        <v>0</v>
      </c>
      <c r="P82" s="153" t="str">
        <f t="shared" si="8"/>
        <v>14</v>
      </c>
    </row>
    <row r="83" spans="1:16" ht="15" customHeight="1" x14ac:dyDescent="0.3">
      <c r="A83" s="155" t="str">
        <f t="shared" si="7"/>
        <v>315</v>
      </c>
      <c r="B83" s="182">
        <f t="shared" si="12"/>
        <v>3</v>
      </c>
      <c r="C83" s="156" t="str">
        <f t="shared" si="13"/>
        <v>Risques &amp; conformité</v>
      </c>
      <c r="D83" s="156" t="s">
        <v>166</v>
      </c>
      <c r="E83" s="168">
        <v>1</v>
      </c>
      <c r="F83" s="182" t="s">
        <v>165</v>
      </c>
      <c r="G83" s="402" t="s">
        <v>680</v>
      </c>
      <c r="H83" s="217" t="s">
        <v>164</v>
      </c>
      <c r="I83" s="162">
        <v>5</v>
      </c>
      <c r="J83" s="153" t="s">
        <v>175</v>
      </c>
      <c r="K83" s="153" t="s">
        <v>24</v>
      </c>
      <c r="L83" s="247" t="s">
        <v>871</v>
      </c>
      <c r="M83" s="174" t="s">
        <v>199</v>
      </c>
      <c r="N83" s="177" t="s">
        <v>204</v>
      </c>
      <c r="O83" s="199">
        <f>IFERROR(VLOOKUP($P83,Suppl!$B$2:$N$57,MATCH(BDD!$B83,Suppl!$C$1:$N$1,0)+1,FALSE),"")</f>
        <v>0</v>
      </c>
      <c r="P83" s="153" t="str">
        <f t="shared" si="8"/>
        <v>15</v>
      </c>
    </row>
    <row r="84" spans="1:16" ht="15" customHeight="1" x14ac:dyDescent="0.3">
      <c r="A84" s="155" t="str">
        <f t="shared" si="7"/>
        <v>316</v>
      </c>
      <c r="B84" s="182">
        <f t="shared" si="12"/>
        <v>3</v>
      </c>
      <c r="C84" s="156" t="str">
        <f t="shared" si="13"/>
        <v>Risques &amp; conformité</v>
      </c>
      <c r="D84" s="156" t="s">
        <v>166</v>
      </c>
      <c r="E84" s="168">
        <v>1</v>
      </c>
      <c r="F84" s="182" t="s">
        <v>165</v>
      </c>
      <c r="G84" s="402" t="s">
        <v>680</v>
      </c>
      <c r="H84" s="217" t="s">
        <v>164</v>
      </c>
      <c r="I84" s="162">
        <v>6</v>
      </c>
      <c r="J84" s="153" t="s">
        <v>176</v>
      </c>
      <c r="K84" s="153" t="s">
        <v>23</v>
      </c>
      <c r="L84" s="247" t="s">
        <v>683</v>
      </c>
      <c r="M84" s="174"/>
      <c r="N84" s="177" t="s">
        <v>205</v>
      </c>
      <c r="O84" s="199">
        <f>IFERROR(VLOOKUP($P84,Suppl!$B$2:$N$57,MATCH(BDD!$B84,Suppl!$C$1:$N$1,0)+1,FALSE),"")</f>
        <v>0</v>
      </c>
      <c r="P84" s="153" t="str">
        <f t="shared" si="8"/>
        <v>16</v>
      </c>
    </row>
    <row r="85" spans="1:16" ht="15" customHeight="1" x14ac:dyDescent="0.3">
      <c r="A85" s="155" t="str">
        <f t="shared" si="7"/>
        <v>317</v>
      </c>
      <c r="B85" s="183">
        <f t="shared" si="12"/>
        <v>3</v>
      </c>
      <c r="C85" s="157" t="str">
        <f t="shared" si="13"/>
        <v>Risques &amp; conformité</v>
      </c>
      <c r="D85" s="157" t="s">
        <v>166</v>
      </c>
      <c r="E85" s="169">
        <v>1</v>
      </c>
      <c r="F85" s="183" t="s">
        <v>165</v>
      </c>
      <c r="G85" s="403" t="s">
        <v>680</v>
      </c>
      <c r="H85" s="217" t="s">
        <v>164</v>
      </c>
      <c r="I85" s="171">
        <v>7</v>
      </c>
      <c r="J85" s="154" t="s">
        <v>177</v>
      </c>
      <c r="K85" s="154" t="s">
        <v>24</v>
      </c>
      <c r="L85" s="323"/>
      <c r="M85" s="175"/>
      <c r="N85" s="178"/>
      <c r="O85" s="200">
        <f>IFERROR(VLOOKUP($P85,Suppl!$B$2:$N$57,MATCH(BDD!$B85,Suppl!$C$1:$N$1,0)+1,FALSE),"")</f>
        <v>0</v>
      </c>
      <c r="P85" s="154" t="str">
        <f t="shared" si="8"/>
        <v>17</v>
      </c>
    </row>
    <row r="86" spans="1:16" ht="15" customHeight="1" x14ac:dyDescent="0.3">
      <c r="A86" s="155" t="str">
        <f t="shared" si="7"/>
        <v>321</v>
      </c>
      <c r="B86" s="182">
        <f t="shared" si="12"/>
        <v>3</v>
      </c>
      <c r="C86" s="156" t="str">
        <f t="shared" si="13"/>
        <v>Risques &amp; conformité</v>
      </c>
      <c r="D86" s="156" t="s">
        <v>166</v>
      </c>
      <c r="E86" s="167">
        <v>2</v>
      </c>
      <c r="F86" s="218" t="s">
        <v>696</v>
      </c>
      <c r="G86" s="404" t="s">
        <v>184</v>
      </c>
      <c r="H86" s="217" t="s">
        <v>164</v>
      </c>
      <c r="I86" s="162">
        <v>1</v>
      </c>
      <c r="J86" s="153" t="s">
        <v>178</v>
      </c>
      <c r="K86" s="153" t="s">
        <v>22</v>
      </c>
      <c r="L86" s="325" t="s">
        <v>684</v>
      </c>
      <c r="M86" s="153"/>
      <c r="N86" s="153"/>
      <c r="O86" s="199">
        <f>IFERROR(VLOOKUP($P86,Suppl!$B$2:$N$57,MATCH(BDD!$B86,Suppl!$C$1:$N$1,0)+1,FALSE),"")</f>
        <v>0</v>
      </c>
      <c r="P86" s="153" t="str">
        <f t="shared" si="8"/>
        <v>21</v>
      </c>
    </row>
    <row r="87" spans="1:16" ht="15" customHeight="1" x14ac:dyDescent="0.3">
      <c r="A87" s="155" t="str">
        <f t="shared" si="7"/>
        <v>322</v>
      </c>
      <c r="B87" s="182">
        <f t="shared" si="12"/>
        <v>3</v>
      </c>
      <c r="C87" s="156" t="str">
        <f t="shared" si="13"/>
        <v>Risques &amp; conformité</v>
      </c>
      <c r="D87" s="156" t="s">
        <v>166</v>
      </c>
      <c r="E87" s="168">
        <v>2</v>
      </c>
      <c r="F87" s="182" t="s">
        <v>696</v>
      </c>
      <c r="G87" s="402" t="s">
        <v>184</v>
      </c>
      <c r="H87" s="217" t="s">
        <v>164</v>
      </c>
      <c r="I87" s="162">
        <v>2</v>
      </c>
      <c r="J87" s="153" t="s">
        <v>179</v>
      </c>
      <c r="K87" s="153" t="s">
        <v>23</v>
      </c>
      <c r="L87" s="247" t="s">
        <v>685</v>
      </c>
      <c r="M87" s="153"/>
      <c r="N87" s="153"/>
      <c r="O87" s="199">
        <f>IFERROR(VLOOKUP($P87,Suppl!$B$2:$N$57,MATCH(BDD!$B87,Suppl!$C$1:$N$1,0)+1,FALSE),"")</f>
        <v>0</v>
      </c>
      <c r="P87" s="153" t="str">
        <f t="shared" si="8"/>
        <v>22</v>
      </c>
    </row>
    <row r="88" spans="1:16" ht="15" customHeight="1" x14ac:dyDescent="0.3">
      <c r="A88" s="155" t="str">
        <f t="shared" si="7"/>
        <v>323</v>
      </c>
      <c r="B88" s="182">
        <f t="shared" si="12"/>
        <v>3</v>
      </c>
      <c r="C88" s="156" t="str">
        <f t="shared" si="13"/>
        <v>Risques &amp; conformité</v>
      </c>
      <c r="D88" s="156" t="s">
        <v>166</v>
      </c>
      <c r="E88" s="168">
        <v>2</v>
      </c>
      <c r="F88" s="182" t="s">
        <v>696</v>
      </c>
      <c r="G88" s="402" t="s">
        <v>184</v>
      </c>
      <c r="H88" s="217" t="s">
        <v>164</v>
      </c>
      <c r="I88" s="162">
        <v>3</v>
      </c>
      <c r="J88" s="153" t="s">
        <v>180</v>
      </c>
      <c r="K88" s="153" t="s">
        <v>23</v>
      </c>
      <c r="L88" s="247" t="s">
        <v>686</v>
      </c>
      <c r="M88" s="153"/>
      <c r="N88" s="153"/>
      <c r="O88" s="199">
        <f>IFERROR(VLOOKUP($P88,Suppl!$B$2:$N$57,MATCH(BDD!$B88,Suppl!$C$1:$N$1,0)+1,FALSE),"")</f>
        <v>0</v>
      </c>
      <c r="P88" s="153" t="str">
        <f t="shared" si="8"/>
        <v>23</v>
      </c>
    </row>
    <row r="89" spans="1:16" ht="15" customHeight="1" x14ac:dyDescent="0.3">
      <c r="A89" s="155" t="str">
        <f t="shared" si="7"/>
        <v>324</v>
      </c>
      <c r="B89" s="182">
        <f t="shared" si="12"/>
        <v>3</v>
      </c>
      <c r="C89" s="156" t="str">
        <f t="shared" si="13"/>
        <v>Risques &amp; conformité</v>
      </c>
      <c r="D89" s="156" t="s">
        <v>166</v>
      </c>
      <c r="E89" s="168">
        <v>2</v>
      </c>
      <c r="F89" s="182" t="s">
        <v>696</v>
      </c>
      <c r="G89" s="402" t="s">
        <v>184</v>
      </c>
      <c r="H89" s="217" t="s">
        <v>164</v>
      </c>
      <c r="I89" s="162">
        <v>4</v>
      </c>
      <c r="J89" s="153" t="s">
        <v>697</v>
      </c>
      <c r="K89" s="153" t="s">
        <v>24</v>
      </c>
      <c r="L89" s="247" t="s">
        <v>698</v>
      </c>
      <c r="M89" s="153"/>
      <c r="N89" s="153"/>
      <c r="O89" s="199">
        <f>IFERROR(VLOOKUP($P89,Suppl!$B$2:$N$57,MATCH(BDD!$B89,Suppl!$C$1:$N$1,0)+1,FALSE),"")</f>
        <v>0</v>
      </c>
      <c r="P89" s="153" t="str">
        <f t="shared" si="8"/>
        <v>24</v>
      </c>
    </row>
    <row r="90" spans="1:16" ht="15" customHeight="1" x14ac:dyDescent="0.3">
      <c r="A90" s="155" t="str">
        <f t="shared" si="7"/>
        <v>325</v>
      </c>
      <c r="B90" s="182">
        <f t="shared" si="12"/>
        <v>3</v>
      </c>
      <c r="C90" s="156" t="str">
        <f t="shared" si="13"/>
        <v>Risques &amp; conformité</v>
      </c>
      <c r="D90" s="156" t="s">
        <v>166</v>
      </c>
      <c r="E90" s="168">
        <v>2</v>
      </c>
      <c r="F90" s="182" t="s">
        <v>696</v>
      </c>
      <c r="G90" s="402" t="s">
        <v>184</v>
      </c>
      <c r="H90" s="217" t="s">
        <v>164</v>
      </c>
      <c r="I90" s="162">
        <v>5</v>
      </c>
      <c r="J90" s="153" t="s">
        <v>181</v>
      </c>
      <c r="K90" s="153" t="s">
        <v>23</v>
      </c>
      <c r="L90" s="247" t="s">
        <v>699</v>
      </c>
      <c r="M90" s="153"/>
      <c r="N90" s="153"/>
      <c r="O90" s="199">
        <f>IFERROR(VLOOKUP($P90,Suppl!$B$2:$N$57,MATCH(BDD!$B90,Suppl!$C$1:$N$1,0)+1,FALSE),"")</f>
        <v>0</v>
      </c>
      <c r="P90" s="153" t="str">
        <f t="shared" si="8"/>
        <v>25</v>
      </c>
    </row>
    <row r="91" spans="1:16" ht="15" customHeight="1" x14ac:dyDescent="0.3">
      <c r="A91" s="155" t="str">
        <f t="shared" si="7"/>
        <v>326</v>
      </c>
      <c r="B91" s="182">
        <f t="shared" si="12"/>
        <v>3</v>
      </c>
      <c r="C91" s="156" t="str">
        <f t="shared" si="13"/>
        <v>Risques &amp; conformité</v>
      </c>
      <c r="D91" s="156" t="s">
        <v>166</v>
      </c>
      <c r="E91" s="168">
        <v>2</v>
      </c>
      <c r="F91" s="182" t="s">
        <v>696</v>
      </c>
      <c r="G91" s="402" t="s">
        <v>184</v>
      </c>
      <c r="H91" s="217" t="s">
        <v>164</v>
      </c>
      <c r="I91" s="162">
        <v>6</v>
      </c>
      <c r="J91" s="153" t="s">
        <v>182</v>
      </c>
      <c r="K91" s="153" t="s">
        <v>22</v>
      </c>
      <c r="L91" s="247" t="s">
        <v>687</v>
      </c>
      <c r="M91" s="153"/>
      <c r="N91" s="153"/>
      <c r="O91" s="199">
        <f>IFERROR(VLOOKUP($P91,Suppl!$B$2:$N$57,MATCH(BDD!$B91,Suppl!$C$1:$N$1,0)+1,FALSE),"")</f>
        <v>0</v>
      </c>
      <c r="P91" s="153" t="str">
        <f t="shared" si="8"/>
        <v>26</v>
      </c>
    </row>
    <row r="92" spans="1:16" ht="15" customHeight="1" x14ac:dyDescent="0.3">
      <c r="A92" s="155" t="str">
        <f t="shared" si="7"/>
        <v>327</v>
      </c>
      <c r="B92" s="183">
        <f t="shared" si="12"/>
        <v>3</v>
      </c>
      <c r="C92" s="157" t="str">
        <f t="shared" si="13"/>
        <v>Risques &amp; conformité</v>
      </c>
      <c r="D92" s="157" t="s">
        <v>166</v>
      </c>
      <c r="E92" s="169">
        <v>2</v>
      </c>
      <c r="F92" s="183" t="s">
        <v>696</v>
      </c>
      <c r="G92" s="403" t="s">
        <v>184</v>
      </c>
      <c r="H92" s="217" t="s">
        <v>164</v>
      </c>
      <c r="I92" s="171">
        <v>7</v>
      </c>
      <c r="J92" s="154" t="s">
        <v>183</v>
      </c>
      <c r="K92" s="154" t="s">
        <v>25</v>
      </c>
      <c r="L92" s="323" t="s">
        <v>700</v>
      </c>
      <c r="M92" s="154"/>
      <c r="N92" s="154"/>
      <c r="O92" s="200">
        <f>IFERROR(VLOOKUP($P92,Suppl!$B$2:$N$57,MATCH(BDD!$B92,Suppl!$C$1:$N$1,0)+1,FALSE),"")</f>
        <v>0</v>
      </c>
      <c r="P92" s="154" t="str">
        <f t="shared" si="8"/>
        <v>27</v>
      </c>
    </row>
    <row r="93" spans="1:16" ht="15" customHeight="1" x14ac:dyDescent="0.3">
      <c r="A93" s="155" t="str">
        <f t="shared" si="7"/>
        <v>331</v>
      </c>
      <c r="B93" s="182">
        <f t="shared" si="12"/>
        <v>3</v>
      </c>
      <c r="C93" s="156" t="str">
        <f t="shared" si="13"/>
        <v>Risques &amp; conformité</v>
      </c>
      <c r="D93" s="156" t="s">
        <v>166</v>
      </c>
      <c r="E93" s="167">
        <v>3</v>
      </c>
      <c r="F93" s="218" t="s">
        <v>167</v>
      </c>
      <c r="G93" s="404" t="s">
        <v>185</v>
      </c>
      <c r="H93" s="217" t="s">
        <v>164</v>
      </c>
      <c r="I93" s="162">
        <v>1</v>
      </c>
      <c r="J93" s="153" t="s">
        <v>215</v>
      </c>
      <c r="K93" s="153" t="s">
        <v>25</v>
      </c>
      <c r="L93" s="247" t="s">
        <v>688</v>
      </c>
      <c r="M93" s="153"/>
      <c r="N93" s="153"/>
      <c r="O93" s="199">
        <f>IFERROR(VLOOKUP($P93,Suppl!$B$2:$N$57,MATCH(BDD!$B93,Suppl!$C$1:$N$1,0)+1,FALSE),"")</f>
        <v>0</v>
      </c>
      <c r="P93" s="153" t="str">
        <f t="shared" si="8"/>
        <v>31</v>
      </c>
    </row>
    <row r="94" spans="1:16" ht="15" customHeight="1" x14ac:dyDescent="0.3">
      <c r="A94" s="155" t="str">
        <f t="shared" si="7"/>
        <v>332</v>
      </c>
      <c r="B94" s="182">
        <f t="shared" si="12"/>
        <v>3</v>
      </c>
      <c r="C94" s="156" t="str">
        <f t="shared" si="13"/>
        <v>Risques &amp; conformité</v>
      </c>
      <c r="D94" s="156" t="s">
        <v>166</v>
      </c>
      <c r="E94" s="168">
        <v>3</v>
      </c>
      <c r="F94" s="182" t="s">
        <v>167</v>
      </c>
      <c r="G94" s="402" t="s">
        <v>185</v>
      </c>
      <c r="H94" s="217" t="s">
        <v>164</v>
      </c>
      <c r="I94" s="162">
        <v>2</v>
      </c>
      <c r="J94" s="153" t="s">
        <v>872</v>
      </c>
      <c r="K94" s="153" t="s">
        <v>25</v>
      </c>
      <c r="L94" s="247" t="s">
        <v>689</v>
      </c>
      <c r="M94" s="153"/>
      <c r="N94" s="153"/>
      <c r="O94" s="199">
        <f>IFERROR(VLOOKUP($P94,Suppl!$B$2:$N$57,MATCH(BDD!$B94,Suppl!$C$1:$N$1,0)+1,FALSE),"")</f>
        <v>0</v>
      </c>
      <c r="P94" s="153" t="str">
        <f t="shared" si="8"/>
        <v>32</v>
      </c>
    </row>
    <row r="95" spans="1:16" ht="15" customHeight="1" x14ac:dyDescent="0.3">
      <c r="A95" s="155" t="str">
        <f t="shared" si="7"/>
        <v>333</v>
      </c>
      <c r="B95" s="182">
        <f t="shared" si="12"/>
        <v>3</v>
      </c>
      <c r="C95" s="156" t="str">
        <f t="shared" si="13"/>
        <v>Risques &amp; conformité</v>
      </c>
      <c r="D95" s="156" t="s">
        <v>166</v>
      </c>
      <c r="E95" s="168">
        <v>3</v>
      </c>
      <c r="F95" s="182" t="s">
        <v>167</v>
      </c>
      <c r="G95" s="402" t="s">
        <v>185</v>
      </c>
      <c r="H95" s="217" t="s">
        <v>164</v>
      </c>
      <c r="I95" s="162">
        <v>3</v>
      </c>
      <c r="J95" s="153" t="s">
        <v>216</v>
      </c>
      <c r="K95" s="153" t="s">
        <v>24</v>
      </c>
      <c r="L95" s="247"/>
      <c r="M95" s="153"/>
      <c r="N95" s="153"/>
      <c r="O95" s="199">
        <f>IFERROR(VLOOKUP($P95,Suppl!$B$2:$N$57,MATCH(BDD!$B95,Suppl!$C$1:$N$1,0)+1,FALSE),"")</f>
        <v>0</v>
      </c>
      <c r="P95" s="153" t="str">
        <f t="shared" si="8"/>
        <v>33</v>
      </c>
    </row>
    <row r="96" spans="1:16" ht="15" customHeight="1" x14ac:dyDescent="0.3">
      <c r="A96" s="155" t="str">
        <f t="shared" si="7"/>
        <v>334</v>
      </c>
      <c r="B96" s="182">
        <f t="shared" si="12"/>
        <v>3</v>
      </c>
      <c r="C96" s="156" t="str">
        <f t="shared" si="13"/>
        <v>Risques &amp; conformité</v>
      </c>
      <c r="D96" s="156" t="s">
        <v>166</v>
      </c>
      <c r="E96" s="168">
        <v>3</v>
      </c>
      <c r="F96" s="182" t="s">
        <v>167</v>
      </c>
      <c r="G96" s="402" t="s">
        <v>185</v>
      </c>
      <c r="H96" s="217" t="s">
        <v>164</v>
      </c>
      <c r="I96" s="162">
        <v>4</v>
      </c>
      <c r="J96" s="153"/>
      <c r="K96" s="153" t="s">
        <v>164</v>
      </c>
      <c r="L96" s="247"/>
      <c r="M96" s="153"/>
      <c r="N96" s="153"/>
      <c r="O96" s="199">
        <f>IFERROR(VLOOKUP($P96,Suppl!$B$2:$N$57,MATCH(BDD!$B96,Suppl!$C$1:$N$1,0)+1,FALSE),"")</f>
        <v>0</v>
      </c>
      <c r="P96" s="153" t="str">
        <f t="shared" si="8"/>
        <v>34</v>
      </c>
    </row>
    <row r="97" spans="1:16" ht="15" customHeight="1" x14ac:dyDescent="0.3">
      <c r="A97" s="155" t="str">
        <f t="shared" si="7"/>
        <v>335</v>
      </c>
      <c r="B97" s="182">
        <f t="shared" si="12"/>
        <v>3</v>
      </c>
      <c r="C97" s="156" t="str">
        <f t="shared" si="13"/>
        <v>Risques &amp; conformité</v>
      </c>
      <c r="D97" s="156" t="s">
        <v>166</v>
      </c>
      <c r="E97" s="168">
        <v>3</v>
      </c>
      <c r="F97" s="182" t="s">
        <v>167</v>
      </c>
      <c r="G97" s="402" t="s">
        <v>185</v>
      </c>
      <c r="H97" s="217" t="s">
        <v>164</v>
      </c>
      <c r="I97" s="162">
        <v>5</v>
      </c>
      <c r="J97" s="153"/>
      <c r="K97" s="153" t="s">
        <v>164</v>
      </c>
      <c r="L97" s="247"/>
      <c r="M97" s="153"/>
      <c r="N97" s="153"/>
      <c r="O97" s="199">
        <f>IFERROR(VLOOKUP($P97,Suppl!$B$2:$N$57,MATCH(BDD!$B97,Suppl!$C$1:$N$1,0)+1,FALSE),"")</f>
        <v>0</v>
      </c>
      <c r="P97" s="153" t="str">
        <f t="shared" si="8"/>
        <v>35</v>
      </c>
    </row>
    <row r="98" spans="1:16" ht="15" customHeight="1" x14ac:dyDescent="0.3">
      <c r="A98" s="155" t="str">
        <f t="shared" si="7"/>
        <v>336</v>
      </c>
      <c r="B98" s="182">
        <f t="shared" si="12"/>
        <v>3</v>
      </c>
      <c r="C98" s="156" t="str">
        <f t="shared" si="13"/>
        <v>Risques &amp; conformité</v>
      </c>
      <c r="D98" s="156" t="s">
        <v>166</v>
      </c>
      <c r="E98" s="168">
        <v>3</v>
      </c>
      <c r="F98" s="182" t="s">
        <v>167</v>
      </c>
      <c r="G98" s="402" t="s">
        <v>185</v>
      </c>
      <c r="H98" s="217" t="s">
        <v>164</v>
      </c>
      <c r="I98" s="162">
        <v>6</v>
      </c>
      <c r="J98" s="153"/>
      <c r="K98" s="153" t="s">
        <v>164</v>
      </c>
      <c r="L98" s="247"/>
      <c r="M98" s="153"/>
      <c r="N98" s="153"/>
      <c r="O98" s="199">
        <f>IFERROR(VLOOKUP($P98,Suppl!$B$2:$N$57,MATCH(BDD!$B98,Suppl!$C$1:$N$1,0)+1,FALSE),"")</f>
        <v>0</v>
      </c>
      <c r="P98" s="153" t="str">
        <f t="shared" si="8"/>
        <v>36</v>
      </c>
    </row>
    <row r="99" spans="1:16" ht="15" customHeight="1" x14ac:dyDescent="0.3">
      <c r="A99" s="155" t="str">
        <f t="shared" si="7"/>
        <v>337</v>
      </c>
      <c r="B99" s="183">
        <f t="shared" si="12"/>
        <v>3</v>
      </c>
      <c r="C99" s="157" t="str">
        <f t="shared" si="13"/>
        <v>Risques &amp; conformité</v>
      </c>
      <c r="D99" s="157" t="s">
        <v>166</v>
      </c>
      <c r="E99" s="169">
        <v>3</v>
      </c>
      <c r="F99" s="183" t="s">
        <v>167</v>
      </c>
      <c r="G99" s="403" t="s">
        <v>185</v>
      </c>
      <c r="H99" s="217" t="s">
        <v>164</v>
      </c>
      <c r="I99" s="171">
        <v>7</v>
      </c>
      <c r="J99" s="154"/>
      <c r="K99" s="154" t="s">
        <v>164</v>
      </c>
      <c r="L99" s="323"/>
      <c r="M99" s="154"/>
      <c r="N99" s="154"/>
      <c r="O99" s="200">
        <f>IFERROR(VLOOKUP($P99,Suppl!$B$2:$N$57,MATCH(BDD!$B99,Suppl!$C$1:$N$1,0)+1,FALSE),"")</f>
        <v>0</v>
      </c>
      <c r="P99" s="154" t="str">
        <f t="shared" si="8"/>
        <v>37</v>
      </c>
    </row>
    <row r="100" spans="1:16" ht="15" customHeight="1" x14ac:dyDescent="0.3">
      <c r="A100" s="155" t="str">
        <f t="shared" si="7"/>
        <v>341</v>
      </c>
      <c r="B100" s="182">
        <f t="shared" si="12"/>
        <v>3</v>
      </c>
      <c r="C100" s="156" t="str">
        <f t="shared" si="13"/>
        <v>Risques &amp; conformité</v>
      </c>
      <c r="D100" s="156" t="s">
        <v>166</v>
      </c>
      <c r="E100" s="167">
        <v>4</v>
      </c>
      <c r="F100" s="218" t="s">
        <v>168</v>
      </c>
      <c r="G100" s="404" t="s">
        <v>186</v>
      </c>
      <c r="H100" s="217" t="s">
        <v>164</v>
      </c>
      <c r="I100" s="162">
        <v>1</v>
      </c>
      <c r="J100" s="153" t="s">
        <v>217</v>
      </c>
      <c r="K100" s="153" t="s">
        <v>22</v>
      </c>
      <c r="L100" s="247"/>
      <c r="M100" s="153"/>
      <c r="N100" s="153"/>
      <c r="O100" s="199">
        <f>IFERROR(VLOOKUP($P100,Suppl!$B$2:$N$57,MATCH(BDD!$B100,Suppl!$C$1:$N$1,0)+1,FALSE),"")</f>
        <v>0</v>
      </c>
      <c r="P100" s="153" t="str">
        <f t="shared" si="8"/>
        <v>41</v>
      </c>
    </row>
    <row r="101" spans="1:16" ht="15" customHeight="1" x14ac:dyDescent="0.3">
      <c r="A101" s="155" t="str">
        <f t="shared" si="7"/>
        <v>342</v>
      </c>
      <c r="B101" s="182">
        <f t="shared" si="12"/>
        <v>3</v>
      </c>
      <c r="C101" s="156" t="str">
        <f t="shared" si="13"/>
        <v>Risques &amp; conformité</v>
      </c>
      <c r="D101" s="156" t="s">
        <v>166</v>
      </c>
      <c r="E101" s="168">
        <v>4</v>
      </c>
      <c r="F101" s="182" t="s">
        <v>168</v>
      </c>
      <c r="G101" s="402" t="s">
        <v>186</v>
      </c>
      <c r="H101" s="217" t="s">
        <v>164</v>
      </c>
      <c r="I101" s="162">
        <v>2</v>
      </c>
      <c r="J101" s="153" t="s">
        <v>218</v>
      </c>
      <c r="K101" s="153" t="s">
        <v>22</v>
      </c>
      <c r="L101" s="247" t="s">
        <v>690</v>
      </c>
      <c r="M101" s="153"/>
      <c r="N101" s="153"/>
      <c r="O101" s="199">
        <f>IFERROR(VLOOKUP($P101,Suppl!$B$2:$N$57,MATCH(BDD!$B101,Suppl!$C$1:$N$1,0)+1,FALSE),"")</f>
        <v>0</v>
      </c>
      <c r="P101" s="153" t="str">
        <f t="shared" si="8"/>
        <v>42</v>
      </c>
    </row>
    <row r="102" spans="1:16" ht="15" customHeight="1" x14ac:dyDescent="0.3">
      <c r="A102" s="155" t="str">
        <f t="shared" si="7"/>
        <v>343</v>
      </c>
      <c r="B102" s="182">
        <f t="shared" si="12"/>
        <v>3</v>
      </c>
      <c r="C102" s="156" t="str">
        <f t="shared" si="13"/>
        <v>Risques &amp; conformité</v>
      </c>
      <c r="D102" s="156" t="s">
        <v>166</v>
      </c>
      <c r="E102" s="168">
        <v>4</v>
      </c>
      <c r="F102" s="182" t="s">
        <v>168</v>
      </c>
      <c r="G102" s="402" t="s">
        <v>186</v>
      </c>
      <c r="H102" s="217" t="s">
        <v>164</v>
      </c>
      <c r="I102" s="162">
        <v>3</v>
      </c>
      <c r="J102" s="153" t="s">
        <v>219</v>
      </c>
      <c r="K102" s="153" t="s">
        <v>22</v>
      </c>
      <c r="L102" s="247" t="s">
        <v>691</v>
      </c>
      <c r="M102" s="153"/>
      <c r="N102" s="153"/>
      <c r="O102" s="199">
        <f>IFERROR(VLOOKUP($P102,Suppl!$B$2:$N$57,MATCH(BDD!$B102,Suppl!$C$1:$N$1,0)+1,FALSE),"")</f>
        <v>0</v>
      </c>
      <c r="P102" s="153" t="str">
        <f t="shared" si="8"/>
        <v>43</v>
      </c>
    </row>
    <row r="103" spans="1:16" ht="15" customHeight="1" x14ac:dyDescent="0.3">
      <c r="A103" s="155" t="str">
        <f t="shared" si="7"/>
        <v>344</v>
      </c>
      <c r="B103" s="182">
        <f t="shared" si="12"/>
        <v>3</v>
      </c>
      <c r="C103" s="156" t="str">
        <f t="shared" si="13"/>
        <v>Risques &amp; conformité</v>
      </c>
      <c r="D103" s="156" t="s">
        <v>166</v>
      </c>
      <c r="E103" s="168">
        <v>4</v>
      </c>
      <c r="F103" s="182" t="s">
        <v>168</v>
      </c>
      <c r="G103" s="402" t="s">
        <v>186</v>
      </c>
      <c r="H103" s="217" t="s">
        <v>164</v>
      </c>
      <c r="I103" s="162">
        <v>4</v>
      </c>
      <c r="J103" s="153" t="s">
        <v>220</v>
      </c>
      <c r="K103" s="153" t="s">
        <v>23</v>
      </c>
      <c r="L103" s="247" t="s">
        <v>692</v>
      </c>
      <c r="M103" s="153"/>
      <c r="N103" s="153"/>
      <c r="O103" s="199">
        <f>IFERROR(VLOOKUP($P103,Suppl!$B$2:$N$57,MATCH(BDD!$B103,Suppl!$C$1:$N$1,0)+1,FALSE),"")</f>
        <v>0</v>
      </c>
      <c r="P103" s="153" t="str">
        <f t="shared" si="8"/>
        <v>44</v>
      </c>
    </row>
    <row r="104" spans="1:16" ht="15" customHeight="1" x14ac:dyDescent="0.3">
      <c r="A104" s="155" t="str">
        <f t="shared" si="7"/>
        <v>345</v>
      </c>
      <c r="B104" s="182">
        <f t="shared" si="12"/>
        <v>3</v>
      </c>
      <c r="C104" s="156" t="str">
        <f t="shared" si="13"/>
        <v>Risques &amp; conformité</v>
      </c>
      <c r="D104" s="156" t="s">
        <v>166</v>
      </c>
      <c r="E104" s="168">
        <v>4</v>
      </c>
      <c r="F104" s="182" t="s">
        <v>168</v>
      </c>
      <c r="G104" s="402" t="s">
        <v>186</v>
      </c>
      <c r="H104" s="217" t="s">
        <v>164</v>
      </c>
      <c r="I104" s="162">
        <v>5</v>
      </c>
      <c r="J104" s="153" t="s">
        <v>221</v>
      </c>
      <c r="K104" s="153" t="s">
        <v>25</v>
      </c>
      <c r="L104" s="247"/>
      <c r="M104" s="153"/>
      <c r="N104" s="153"/>
      <c r="O104" s="199">
        <f>IFERROR(VLOOKUP($P104,Suppl!$B$2:$N$57,MATCH(BDD!$B104,Suppl!$C$1:$N$1,0)+1,FALSE),"")</f>
        <v>0</v>
      </c>
      <c r="P104" s="153" t="str">
        <f t="shared" si="8"/>
        <v>45</v>
      </c>
    </row>
    <row r="105" spans="1:16" ht="15" customHeight="1" x14ac:dyDescent="0.3">
      <c r="A105" s="155" t="str">
        <f t="shared" si="7"/>
        <v>346</v>
      </c>
      <c r="B105" s="182">
        <f t="shared" si="12"/>
        <v>3</v>
      </c>
      <c r="C105" s="156" t="str">
        <f t="shared" si="13"/>
        <v>Risques &amp; conformité</v>
      </c>
      <c r="D105" s="156" t="s">
        <v>166</v>
      </c>
      <c r="E105" s="168">
        <v>4</v>
      </c>
      <c r="F105" s="182" t="s">
        <v>168</v>
      </c>
      <c r="G105" s="402" t="s">
        <v>186</v>
      </c>
      <c r="H105" s="217" t="s">
        <v>164</v>
      </c>
      <c r="I105" s="162">
        <v>6</v>
      </c>
      <c r="J105" s="153" t="s">
        <v>222</v>
      </c>
      <c r="K105" s="153" t="s">
        <v>23</v>
      </c>
      <c r="L105" s="247" t="s">
        <v>693</v>
      </c>
      <c r="M105" s="153"/>
      <c r="N105" s="153"/>
      <c r="O105" s="199">
        <f>IFERROR(VLOOKUP($P105,Suppl!$B$2:$N$57,MATCH(BDD!$B105,Suppl!$C$1:$N$1,0)+1,FALSE),"")</f>
        <v>0</v>
      </c>
      <c r="P105" s="153" t="str">
        <f t="shared" si="8"/>
        <v>46</v>
      </c>
    </row>
    <row r="106" spans="1:16" ht="15" customHeight="1" x14ac:dyDescent="0.3">
      <c r="A106" s="155" t="str">
        <f t="shared" si="7"/>
        <v>347</v>
      </c>
      <c r="B106" s="183">
        <f t="shared" si="12"/>
        <v>3</v>
      </c>
      <c r="C106" s="157" t="str">
        <f t="shared" si="13"/>
        <v>Risques &amp; conformité</v>
      </c>
      <c r="D106" s="157" t="s">
        <v>166</v>
      </c>
      <c r="E106" s="169">
        <v>4</v>
      </c>
      <c r="F106" s="183" t="s">
        <v>168</v>
      </c>
      <c r="G106" s="403" t="s">
        <v>186</v>
      </c>
      <c r="H106" s="217" t="s">
        <v>164</v>
      </c>
      <c r="I106" s="171">
        <v>7</v>
      </c>
      <c r="J106" s="154"/>
      <c r="K106" s="154" t="s">
        <v>164</v>
      </c>
      <c r="L106" s="323"/>
      <c r="M106" s="154"/>
      <c r="N106" s="154"/>
      <c r="O106" s="200">
        <f>IFERROR(VLOOKUP($P106,Suppl!$B$2:$N$57,MATCH(BDD!$B106,Suppl!$C$1:$N$1,0)+1,FALSE),"")</f>
        <v>0</v>
      </c>
      <c r="P106" s="154" t="str">
        <f t="shared" si="8"/>
        <v>47</v>
      </c>
    </row>
    <row r="107" spans="1:16" ht="15" customHeight="1" x14ac:dyDescent="0.3">
      <c r="A107" s="155" t="str">
        <f t="shared" si="7"/>
        <v>351</v>
      </c>
      <c r="B107" s="182">
        <f t="shared" si="12"/>
        <v>3</v>
      </c>
      <c r="C107" s="156" t="str">
        <f t="shared" si="13"/>
        <v>Risques &amp; conformité</v>
      </c>
      <c r="D107" s="156" t="s">
        <v>166</v>
      </c>
      <c r="E107" s="167">
        <v>5</v>
      </c>
      <c r="F107" s="218" t="s">
        <v>169</v>
      </c>
      <c r="G107" s="404" t="s">
        <v>187</v>
      </c>
      <c r="H107" s="217" t="s">
        <v>164</v>
      </c>
      <c r="I107" s="162">
        <v>1</v>
      </c>
      <c r="J107" s="153" t="s">
        <v>873</v>
      </c>
      <c r="K107" s="153" t="s">
        <v>22</v>
      </c>
      <c r="L107" s="247" t="s">
        <v>694</v>
      </c>
      <c r="M107" s="153"/>
      <c r="N107" s="153"/>
      <c r="O107" s="199">
        <f>IFERROR(VLOOKUP($P107,Suppl!$B$2:$N$57,MATCH(BDD!$B107,Suppl!$C$1:$N$1,0)+1,FALSE),"")</f>
        <v>0</v>
      </c>
      <c r="P107" s="153" t="str">
        <f t="shared" si="8"/>
        <v>51</v>
      </c>
    </row>
    <row r="108" spans="1:16" ht="15" customHeight="1" x14ac:dyDescent="0.3">
      <c r="A108" s="155" t="str">
        <f t="shared" si="7"/>
        <v>352</v>
      </c>
      <c r="B108" s="182">
        <f t="shared" si="12"/>
        <v>3</v>
      </c>
      <c r="C108" s="156" t="str">
        <f t="shared" si="13"/>
        <v>Risques &amp; conformité</v>
      </c>
      <c r="D108" s="156" t="s">
        <v>166</v>
      </c>
      <c r="E108" s="168">
        <v>5</v>
      </c>
      <c r="F108" s="182" t="s">
        <v>169</v>
      </c>
      <c r="G108" s="402" t="s">
        <v>187</v>
      </c>
      <c r="H108" s="217" t="s">
        <v>164</v>
      </c>
      <c r="I108" s="162">
        <v>2</v>
      </c>
      <c r="J108" s="153" t="s">
        <v>211</v>
      </c>
      <c r="K108" s="153" t="s">
        <v>22</v>
      </c>
      <c r="L108" s="247" t="s">
        <v>695</v>
      </c>
      <c r="M108" s="153"/>
      <c r="N108" s="153"/>
      <c r="O108" s="199">
        <f>IFERROR(VLOOKUP($P108,Suppl!$B$2:$N$57,MATCH(BDD!$B108,Suppl!$C$1:$N$1,0)+1,FALSE),"")</f>
        <v>0</v>
      </c>
      <c r="P108" s="153" t="str">
        <f t="shared" si="8"/>
        <v>52</v>
      </c>
    </row>
    <row r="109" spans="1:16" ht="15" customHeight="1" x14ac:dyDescent="0.3">
      <c r="A109" s="155" t="str">
        <f t="shared" si="7"/>
        <v>353</v>
      </c>
      <c r="B109" s="182">
        <f t="shared" si="12"/>
        <v>3</v>
      </c>
      <c r="C109" s="156" t="str">
        <f t="shared" si="13"/>
        <v>Risques &amp; conformité</v>
      </c>
      <c r="D109" s="156" t="s">
        <v>166</v>
      </c>
      <c r="E109" s="168">
        <v>5</v>
      </c>
      <c r="F109" s="182" t="s">
        <v>169</v>
      </c>
      <c r="G109" s="402" t="s">
        <v>187</v>
      </c>
      <c r="H109" s="217" t="s">
        <v>164</v>
      </c>
      <c r="I109" s="162">
        <v>3</v>
      </c>
      <c r="J109" s="153" t="s">
        <v>212</v>
      </c>
      <c r="K109" s="153" t="s">
        <v>23</v>
      </c>
      <c r="L109" s="247"/>
      <c r="M109" s="153"/>
      <c r="N109" s="153"/>
      <c r="O109" s="199">
        <f>IFERROR(VLOOKUP($P109,Suppl!$B$2:$N$57,MATCH(BDD!$B109,Suppl!$C$1:$N$1,0)+1,FALSE),"")</f>
        <v>0</v>
      </c>
      <c r="P109" s="153" t="str">
        <f t="shared" si="8"/>
        <v>53</v>
      </c>
    </row>
    <row r="110" spans="1:16" ht="15" customHeight="1" x14ac:dyDescent="0.3">
      <c r="A110" s="155" t="str">
        <f t="shared" si="7"/>
        <v>354</v>
      </c>
      <c r="B110" s="182">
        <f t="shared" si="12"/>
        <v>3</v>
      </c>
      <c r="C110" s="156" t="str">
        <f t="shared" si="13"/>
        <v>Risques &amp; conformité</v>
      </c>
      <c r="D110" s="156" t="s">
        <v>166</v>
      </c>
      <c r="E110" s="168">
        <v>5</v>
      </c>
      <c r="F110" s="182" t="s">
        <v>169</v>
      </c>
      <c r="G110" s="402" t="s">
        <v>187</v>
      </c>
      <c r="H110" s="217" t="s">
        <v>164</v>
      </c>
      <c r="I110" s="162">
        <v>4</v>
      </c>
      <c r="J110" s="153" t="s">
        <v>213</v>
      </c>
      <c r="K110" s="153" t="s">
        <v>23</v>
      </c>
      <c r="L110" s="247" t="s">
        <v>703</v>
      </c>
      <c r="M110" s="153"/>
      <c r="N110" s="153"/>
      <c r="O110" s="199">
        <f>IFERROR(VLOOKUP($P110,Suppl!$B$2:$N$57,MATCH(BDD!$B110,Suppl!$C$1:$N$1,0)+1,FALSE),"")</f>
        <v>0</v>
      </c>
      <c r="P110" s="153" t="str">
        <f t="shared" si="8"/>
        <v>54</v>
      </c>
    </row>
    <row r="111" spans="1:16" ht="15" customHeight="1" x14ac:dyDescent="0.3">
      <c r="A111" s="155" t="str">
        <f t="shared" si="7"/>
        <v>355</v>
      </c>
      <c r="B111" s="182">
        <f t="shared" si="12"/>
        <v>3</v>
      </c>
      <c r="C111" s="156" t="str">
        <f t="shared" si="13"/>
        <v>Risques &amp; conformité</v>
      </c>
      <c r="D111" s="156" t="s">
        <v>166</v>
      </c>
      <c r="E111" s="168">
        <v>5</v>
      </c>
      <c r="F111" s="182" t="s">
        <v>169</v>
      </c>
      <c r="G111" s="402" t="s">
        <v>187</v>
      </c>
      <c r="H111" s="217" t="s">
        <v>164</v>
      </c>
      <c r="I111" s="162">
        <v>5</v>
      </c>
      <c r="J111" s="153" t="s">
        <v>214</v>
      </c>
      <c r="K111" s="153" t="s">
        <v>22</v>
      </c>
      <c r="L111" s="247" t="s">
        <v>704</v>
      </c>
      <c r="M111" s="153"/>
      <c r="N111" s="153"/>
      <c r="O111" s="199">
        <f>IFERROR(VLOOKUP($P111,Suppl!$B$2:$N$57,MATCH(BDD!$B111,Suppl!$C$1:$N$1,0)+1,FALSE),"")</f>
        <v>0</v>
      </c>
      <c r="P111" s="153" t="str">
        <f t="shared" si="8"/>
        <v>55</v>
      </c>
    </row>
    <row r="112" spans="1:16" ht="15" customHeight="1" x14ac:dyDescent="0.3">
      <c r="A112" s="155" t="str">
        <f t="shared" si="7"/>
        <v>356</v>
      </c>
      <c r="B112" s="182">
        <f t="shared" si="12"/>
        <v>3</v>
      </c>
      <c r="C112" s="156" t="str">
        <f t="shared" si="13"/>
        <v>Risques &amp; conformité</v>
      </c>
      <c r="D112" s="156" t="s">
        <v>166</v>
      </c>
      <c r="E112" s="168">
        <v>5</v>
      </c>
      <c r="F112" s="182" t="s">
        <v>169</v>
      </c>
      <c r="G112" s="402" t="s">
        <v>187</v>
      </c>
      <c r="H112" s="217" t="s">
        <v>164</v>
      </c>
      <c r="I112" s="162">
        <v>6</v>
      </c>
      <c r="J112" s="153"/>
      <c r="K112" s="153" t="s">
        <v>164</v>
      </c>
      <c r="L112" s="247"/>
      <c r="M112" s="153"/>
      <c r="N112" s="153"/>
      <c r="O112" s="199">
        <f>IFERROR(VLOOKUP($P112,Suppl!$B$2:$N$57,MATCH(BDD!$B112,Suppl!$C$1:$N$1,0)+1,FALSE),"")</f>
        <v>0</v>
      </c>
      <c r="P112" s="153" t="str">
        <f t="shared" si="8"/>
        <v>56</v>
      </c>
    </row>
    <row r="113" spans="1:16" ht="15" customHeight="1" x14ac:dyDescent="0.3">
      <c r="A113" s="155" t="str">
        <f t="shared" si="7"/>
        <v>357</v>
      </c>
      <c r="B113" s="183">
        <f t="shared" si="12"/>
        <v>3</v>
      </c>
      <c r="C113" s="157" t="str">
        <f t="shared" si="13"/>
        <v>Risques &amp; conformité</v>
      </c>
      <c r="D113" s="157" t="s">
        <v>166</v>
      </c>
      <c r="E113" s="169">
        <v>5</v>
      </c>
      <c r="F113" s="183" t="s">
        <v>169</v>
      </c>
      <c r="G113" s="403" t="s">
        <v>187</v>
      </c>
      <c r="H113" s="217" t="s">
        <v>164</v>
      </c>
      <c r="I113" s="171">
        <v>7</v>
      </c>
      <c r="J113" s="154"/>
      <c r="K113" s="154" t="s">
        <v>164</v>
      </c>
      <c r="L113" s="323"/>
      <c r="M113" s="154"/>
      <c r="N113" s="154"/>
      <c r="O113" s="200">
        <f>IFERROR(VLOOKUP($P113,Suppl!$B$2:$N$57,MATCH(BDD!$B113,Suppl!$C$1:$N$1,0)+1,FALSE),"")</f>
        <v>0</v>
      </c>
      <c r="P113" s="154" t="str">
        <f t="shared" si="8"/>
        <v>57</v>
      </c>
    </row>
    <row r="114" spans="1:16" ht="15" customHeight="1" x14ac:dyDescent="0.3">
      <c r="A114" s="155" t="str">
        <f t="shared" si="7"/>
        <v>361</v>
      </c>
      <c r="B114" s="182">
        <f t="shared" si="12"/>
        <v>3</v>
      </c>
      <c r="C114" s="156" t="str">
        <f t="shared" si="13"/>
        <v>Risques &amp; conformité</v>
      </c>
      <c r="D114" s="156" t="s">
        <v>166</v>
      </c>
      <c r="E114" s="167">
        <v>6</v>
      </c>
      <c r="F114" s="218" t="s">
        <v>170</v>
      </c>
      <c r="G114" s="404" t="s">
        <v>1075</v>
      </c>
      <c r="H114" s="217" t="s">
        <v>1074</v>
      </c>
      <c r="I114" s="162">
        <v>1</v>
      </c>
      <c r="J114" s="153" t="s">
        <v>206</v>
      </c>
      <c r="K114" s="153" t="s">
        <v>22</v>
      </c>
      <c r="M114" s="153"/>
      <c r="O114" s="202">
        <f>IFERROR(VLOOKUP($P114,Suppl!$B$2:$N$57,MATCH(BDD!$B114,Suppl!$C$1:$N$1,0)+1,FALSE),"")</f>
        <v>0</v>
      </c>
      <c r="P114" s="341" t="str">
        <f t="shared" si="8"/>
        <v>61</v>
      </c>
    </row>
    <row r="115" spans="1:16" ht="15" customHeight="1" x14ac:dyDescent="0.3">
      <c r="A115" s="155" t="str">
        <f t="shared" si="7"/>
        <v>362</v>
      </c>
      <c r="B115" s="182">
        <f t="shared" si="12"/>
        <v>3</v>
      </c>
      <c r="C115" s="156" t="str">
        <f t="shared" si="13"/>
        <v>Risques &amp; conformité</v>
      </c>
      <c r="D115" s="156" t="s">
        <v>166</v>
      </c>
      <c r="E115" s="168">
        <v>6</v>
      </c>
      <c r="F115" s="182" t="s">
        <v>170</v>
      </c>
      <c r="G115" s="402" t="s">
        <v>980</v>
      </c>
      <c r="H115" s="217" t="s">
        <v>164</v>
      </c>
      <c r="I115" s="162">
        <v>2</v>
      </c>
      <c r="J115" s="153" t="s">
        <v>207</v>
      </c>
      <c r="K115" s="153" t="s">
        <v>24</v>
      </c>
      <c r="M115" s="153"/>
      <c r="O115" s="202">
        <f>IFERROR(VLOOKUP($P115,Suppl!$B$2:$N$57,MATCH(BDD!$B115,Suppl!$C$1:$N$1,0)+1,FALSE),"")</f>
        <v>0</v>
      </c>
      <c r="P115" s="341" t="str">
        <f t="shared" si="8"/>
        <v>62</v>
      </c>
    </row>
    <row r="116" spans="1:16" ht="15" customHeight="1" x14ac:dyDescent="0.3">
      <c r="A116" s="155" t="str">
        <f t="shared" si="7"/>
        <v>363</v>
      </c>
      <c r="B116" s="182">
        <f t="shared" si="12"/>
        <v>3</v>
      </c>
      <c r="C116" s="156" t="str">
        <f t="shared" si="13"/>
        <v>Risques &amp; conformité</v>
      </c>
      <c r="D116" s="156" t="s">
        <v>166</v>
      </c>
      <c r="E116" s="168">
        <v>6</v>
      </c>
      <c r="F116" s="182" t="s">
        <v>170</v>
      </c>
      <c r="G116" s="402" t="s">
        <v>980</v>
      </c>
      <c r="H116" s="217" t="s">
        <v>164</v>
      </c>
      <c r="I116" s="162">
        <v>3</v>
      </c>
      <c r="J116" s="153" t="s">
        <v>208</v>
      </c>
      <c r="K116" s="153" t="s">
        <v>25</v>
      </c>
      <c r="L116" s="255" t="s">
        <v>705</v>
      </c>
      <c r="M116" s="153"/>
      <c r="O116" s="202">
        <f>IFERROR(VLOOKUP($P116,Suppl!$B$2:$N$57,MATCH(BDD!$B116,Suppl!$C$1:$N$1,0)+1,FALSE),"")</f>
        <v>0</v>
      </c>
      <c r="P116" s="341" t="str">
        <f t="shared" si="8"/>
        <v>63</v>
      </c>
    </row>
    <row r="117" spans="1:16" ht="15" customHeight="1" x14ac:dyDescent="0.3">
      <c r="A117" s="155" t="str">
        <f t="shared" si="7"/>
        <v>364</v>
      </c>
      <c r="B117" s="182">
        <f t="shared" si="12"/>
        <v>3</v>
      </c>
      <c r="C117" s="156" t="str">
        <f t="shared" si="13"/>
        <v>Risques &amp; conformité</v>
      </c>
      <c r="D117" s="156" t="s">
        <v>166</v>
      </c>
      <c r="E117" s="168">
        <v>6</v>
      </c>
      <c r="F117" s="182" t="s">
        <v>170</v>
      </c>
      <c r="G117" s="402" t="s">
        <v>980</v>
      </c>
      <c r="H117" s="217" t="s">
        <v>164</v>
      </c>
      <c r="I117" s="162">
        <v>4</v>
      </c>
      <c r="J117" s="153" t="s">
        <v>209</v>
      </c>
      <c r="K117" s="153" t="s">
        <v>26</v>
      </c>
      <c r="M117" s="153"/>
      <c r="O117" s="202">
        <f>IFERROR(VLOOKUP($P117,Suppl!$B$2:$N$57,MATCH(BDD!$B117,Suppl!$C$1:$N$1,0)+1,FALSE),"")</f>
        <v>0</v>
      </c>
      <c r="P117" s="341" t="str">
        <f t="shared" si="8"/>
        <v>64</v>
      </c>
    </row>
    <row r="118" spans="1:16" ht="15" customHeight="1" x14ac:dyDescent="0.3">
      <c r="A118" s="155" t="str">
        <f t="shared" si="7"/>
        <v>365</v>
      </c>
      <c r="B118" s="182">
        <f t="shared" si="12"/>
        <v>3</v>
      </c>
      <c r="C118" s="156" t="str">
        <f t="shared" si="13"/>
        <v>Risques &amp; conformité</v>
      </c>
      <c r="D118" s="156" t="s">
        <v>166</v>
      </c>
      <c r="E118" s="168">
        <v>6</v>
      </c>
      <c r="F118" s="182" t="s">
        <v>170</v>
      </c>
      <c r="G118" s="402" t="s">
        <v>980</v>
      </c>
      <c r="H118" s="217" t="s">
        <v>164</v>
      </c>
      <c r="I118" s="162">
        <v>5</v>
      </c>
      <c r="J118" s="153" t="s">
        <v>210</v>
      </c>
      <c r="K118" s="153" t="s">
        <v>26</v>
      </c>
      <c r="L118" s="255" t="s">
        <v>706</v>
      </c>
      <c r="M118" s="153"/>
      <c r="O118" s="202">
        <f>IFERROR(VLOOKUP($P118,Suppl!$B$2:$N$57,MATCH(BDD!$B118,Suppl!$C$1:$N$1,0)+1,FALSE),"")</f>
        <v>0</v>
      </c>
      <c r="P118" s="341" t="str">
        <f t="shared" si="8"/>
        <v>65</v>
      </c>
    </row>
    <row r="119" spans="1:16" ht="15" customHeight="1" x14ac:dyDescent="0.3">
      <c r="A119" s="155" t="str">
        <f t="shared" si="7"/>
        <v>366</v>
      </c>
      <c r="B119" s="182">
        <f t="shared" si="12"/>
        <v>3</v>
      </c>
      <c r="C119" s="156" t="str">
        <f t="shared" si="13"/>
        <v>Risques &amp; conformité</v>
      </c>
      <c r="D119" s="156" t="s">
        <v>166</v>
      </c>
      <c r="E119" s="168">
        <v>6</v>
      </c>
      <c r="F119" s="182" t="s">
        <v>170</v>
      </c>
      <c r="G119" s="402" t="s">
        <v>980</v>
      </c>
      <c r="H119" s="217" t="s">
        <v>164</v>
      </c>
      <c r="I119" s="162">
        <v>6</v>
      </c>
      <c r="J119" s="153"/>
      <c r="K119" s="153" t="s">
        <v>164</v>
      </c>
      <c r="M119" s="153"/>
      <c r="O119" s="202">
        <f>IFERROR(VLOOKUP($P119,Suppl!$B$2:$N$57,MATCH(BDD!$B119,Suppl!$C$1:$N$1,0)+1,FALSE),"")</f>
        <v>0</v>
      </c>
      <c r="P119" s="341" t="str">
        <f t="shared" si="8"/>
        <v>66</v>
      </c>
    </row>
    <row r="120" spans="1:16" ht="15" customHeight="1" x14ac:dyDescent="0.3">
      <c r="A120" s="155" t="str">
        <f t="shared" si="7"/>
        <v>367</v>
      </c>
      <c r="B120" s="183">
        <f t="shared" si="12"/>
        <v>3</v>
      </c>
      <c r="C120" s="157" t="str">
        <f t="shared" si="13"/>
        <v>Risques &amp; conformité</v>
      </c>
      <c r="D120" s="157" t="s">
        <v>166</v>
      </c>
      <c r="E120" s="169">
        <v>6</v>
      </c>
      <c r="F120" s="183" t="s">
        <v>170</v>
      </c>
      <c r="G120" s="403" t="s">
        <v>980</v>
      </c>
      <c r="H120" s="217" t="s">
        <v>164</v>
      </c>
      <c r="I120" s="171">
        <v>7</v>
      </c>
      <c r="J120" s="154"/>
      <c r="K120" s="154" t="s">
        <v>164</v>
      </c>
      <c r="L120" s="323"/>
      <c r="M120" s="154"/>
      <c r="N120" s="154"/>
      <c r="O120" s="200">
        <f>IFERROR(VLOOKUP($P120,Suppl!$B$2:$N$57,MATCH(BDD!$B120,Suppl!$C$1:$N$1,0)+1,FALSE),"")</f>
        <v>0</v>
      </c>
      <c r="P120" s="154" t="str">
        <f t="shared" si="8"/>
        <v>67</v>
      </c>
    </row>
    <row r="121" spans="1:16" ht="15" customHeight="1" x14ac:dyDescent="0.3">
      <c r="A121" s="155" t="str">
        <f t="shared" si="7"/>
        <v>371</v>
      </c>
      <c r="B121" s="182">
        <f t="shared" si="12"/>
        <v>3</v>
      </c>
      <c r="C121" s="156" t="str">
        <f t="shared" si="13"/>
        <v>Risques &amp; conformité</v>
      </c>
      <c r="D121" s="156" t="s">
        <v>166</v>
      </c>
      <c r="E121" s="167">
        <v>7</v>
      </c>
      <c r="F121" s="218" t="s">
        <v>171</v>
      </c>
      <c r="G121" s="404" t="s">
        <v>188</v>
      </c>
      <c r="H121" s="217" t="s">
        <v>189</v>
      </c>
      <c r="I121" s="162">
        <v>1</v>
      </c>
      <c r="J121" s="153" t="s">
        <v>190</v>
      </c>
      <c r="K121" s="153" t="s">
        <v>22</v>
      </c>
      <c r="L121" s="247" t="s">
        <v>707</v>
      </c>
      <c r="M121" s="153"/>
      <c r="N121" s="153" t="s">
        <v>164</v>
      </c>
      <c r="O121" s="199">
        <f>IFERROR(VLOOKUP($P121,Suppl!$B$2:$N$57,MATCH(BDD!$B121,Suppl!$C$1:$N$1,0)+1,FALSE),"")</f>
        <v>0</v>
      </c>
      <c r="P121" s="153" t="str">
        <f t="shared" si="8"/>
        <v>71</v>
      </c>
    </row>
    <row r="122" spans="1:16" ht="15" customHeight="1" x14ac:dyDescent="0.3">
      <c r="A122" s="155" t="str">
        <f t="shared" si="7"/>
        <v>372</v>
      </c>
      <c r="B122" s="182">
        <f t="shared" si="12"/>
        <v>3</v>
      </c>
      <c r="C122" s="156" t="str">
        <f t="shared" si="13"/>
        <v>Risques &amp; conformité</v>
      </c>
      <c r="D122" s="156" t="s">
        <v>166</v>
      </c>
      <c r="E122" s="168">
        <v>7</v>
      </c>
      <c r="F122" s="182" t="s">
        <v>171</v>
      </c>
      <c r="G122" s="402" t="s">
        <v>188</v>
      </c>
      <c r="H122" s="217" t="s">
        <v>164</v>
      </c>
      <c r="I122" s="162">
        <v>2</v>
      </c>
      <c r="J122" s="153" t="s">
        <v>191</v>
      </c>
      <c r="K122" s="153" t="s">
        <v>22</v>
      </c>
      <c r="L122" s="255" t="s">
        <v>708</v>
      </c>
      <c r="M122" s="153"/>
      <c r="O122" s="202">
        <f>IFERROR(VLOOKUP($P122,Suppl!$B$2:$N$57,MATCH(BDD!$B122,Suppl!$C$1:$N$1,0)+1,FALSE),"")</f>
        <v>0</v>
      </c>
      <c r="P122" s="341" t="str">
        <f t="shared" si="8"/>
        <v>72</v>
      </c>
    </row>
    <row r="123" spans="1:16" ht="15" customHeight="1" x14ac:dyDescent="0.3">
      <c r="A123" s="155" t="str">
        <f t="shared" si="7"/>
        <v>373</v>
      </c>
      <c r="B123" s="182">
        <f t="shared" si="12"/>
        <v>3</v>
      </c>
      <c r="C123" s="156" t="str">
        <f t="shared" si="13"/>
        <v>Risques &amp; conformité</v>
      </c>
      <c r="D123" s="156" t="s">
        <v>166</v>
      </c>
      <c r="E123" s="168">
        <v>7</v>
      </c>
      <c r="F123" s="182" t="s">
        <v>171</v>
      </c>
      <c r="G123" s="402" t="s">
        <v>188</v>
      </c>
      <c r="H123" s="217" t="s">
        <v>164</v>
      </c>
      <c r="I123" s="162">
        <v>3</v>
      </c>
      <c r="J123" s="153" t="s">
        <v>192</v>
      </c>
      <c r="K123" s="153" t="s">
        <v>24</v>
      </c>
      <c r="M123" s="153"/>
      <c r="O123" s="202">
        <f>IFERROR(VLOOKUP($P123,Suppl!$B$2:$N$57,MATCH(BDD!$B123,Suppl!$C$1:$N$1,0)+1,FALSE),"")</f>
        <v>0</v>
      </c>
      <c r="P123" s="341" t="str">
        <f t="shared" si="8"/>
        <v>73</v>
      </c>
    </row>
    <row r="124" spans="1:16" ht="15" customHeight="1" x14ac:dyDescent="0.3">
      <c r="A124" s="155" t="str">
        <f t="shared" si="7"/>
        <v>374</v>
      </c>
      <c r="B124" s="182">
        <f t="shared" si="12"/>
        <v>3</v>
      </c>
      <c r="C124" s="156" t="str">
        <f t="shared" si="13"/>
        <v>Risques &amp; conformité</v>
      </c>
      <c r="D124" s="156" t="s">
        <v>166</v>
      </c>
      <c r="E124" s="168">
        <v>7</v>
      </c>
      <c r="F124" s="182" t="s">
        <v>171</v>
      </c>
      <c r="G124" s="402" t="s">
        <v>188</v>
      </c>
      <c r="H124" s="217" t="s">
        <v>164</v>
      </c>
      <c r="I124" s="162">
        <v>4</v>
      </c>
      <c r="J124" s="153" t="s">
        <v>193</v>
      </c>
      <c r="K124" s="153" t="s">
        <v>23</v>
      </c>
      <c r="L124" s="255" t="s">
        <v>709</v>
      </c>
      <c r="M124" s="153"/>
      <c r="O124" s="202">
        <f>IFERROR(VLOOKUP($P124,Suppl!$B$2:$N$57,MATCH(BDD!$B124,Suppl!$C$1:$N$1,0)+1,FALSE),"")</f>
        <v>0</v>
      </c>
      <c r="P124" s="341" t="str">
        <f t="shared" si="8"/>
        <v>74</v>
      </c>
    </row>
    <row r="125" spans="1:16" ht="15" customHeight="1" x14ac:dyDescent="0.3">
      <c r="A125" s="155" t="str">
        <f t="shared" si="7"/>
        <v>375</v>
      </c>
      <c r="B125" s="182">
        <f t="shared" si="12"/>
        <v>3</v>
      </c>
      <c r="C125" s="156" t="str">
        <f t="shared" si="13"/>
        <v>Risques &amp; conformité</v>
      </c>
      <c r="D125" s="156" t="s">
        <v>166</v>
      </c>
      <c r="E125" s="168">
        <v>7</v>
      </c>
      <c r="F125" s="182" t="s">
        <v>171</v>
      </c>
      <c r="G125" s="402" t="s">
        <v>188</v>
      </c>
      <c r="H125" s="217" t="s">
        <v>164</v>
      </c>
      <c r="I125" s="162">
        <v>5</v>
      </c>
      <c r="J125" s="153" t="s">
        <v>194</v>
      </c>
      <c r="K125" s="153" t="s">
        <v>24</v>
      </c>
      <c r="M125" s="153"/>
      <c r="O125" s="202">
        <f>IFERROR(VLOOKUP($P125,Suppl!$B$2:$N$57,MATCH(BDD!$B125,Suppl!$C$1:$N$1,0)+1,FALSE),"")</f>
        <v>0</v>
      </c>
      <c r="P125" s="341" t="str">
        <f t="shared" si="8"/>
        <v>75</v>
      </c>
    </row>
    <row r="126" spans="1:16" ht="15" customHeight="1" x14ac:dyDescent="0.3">
      <c r="A126" s="155" t="str">
        <f t="shared" si="7"/>
        <v>376</v>
      </c>
      <c r="B126" s="182">
        <f t="shared" si="12"/>
        <v>3</v>
      </c>
      <c r="C126" s="156" t="str">
        <f t="shared" si="13"/>
        <v>Risques &amp; conformité</v>
      </c>
      <c r="D126" s="156" t="s">
        <v>166</v>
      </c>
      <c r="E126" s="168">
        <v>7</v>
      </c>
      <c r="F126" s="182" t="s">
        <v>171</v>
      </c>
      <c r="G126" s="402" t="s">
        <v>188</v>
      </c>
      <c r="H126" s="217" t="s">
        <v>164</v>
      </c>
      <c r="I126" s="162">
        <v>6</v>
      </c>
      <c r="J126" s="153"/>
      <c r="K126" s="153" t="s">
        <v>164</v>
      </c>
      <c r="M126" s="153"/>
      <c r="O126" s="202">
        <f>IFERROR(VLOOKUP($P126,Suppl!$B$2:$N$57,MATCH(BDD!$B126,Suppl!$C$1:$N$1,0)+1,FALSE),"")</f>
        <v>0</v>
      </c>
      <c r="P126" s="341" t="str">
        <f t="shared" si="8"/>
        <v>76</v>
      </c>
    </row>
    <row r="127" spans="1:16" ht="15" customHeight="1" x14ac:dyDescent="0.3">
      <c r="A127" s="155" t="str">
        <f t="shared" si="7"/>
        <v>377</v>
      </c>
      <c r="B127" s="183">
        <f t="shared" si="12"/>
        <v>3</v>
      </c>
      <c r="C127" s="157" t="str">
        <f t="shared" si="13"/>
        <v>Risques &amp; conformité</v>
      </c>
      <c r="D127" s="157" t="s">
        <v>166</v>
      </c>
      <c r="E127" s="169">
        <v>7</v>
      </c>
      <c r="F127" s="183" t="s">
        <v>171</v>
      </c>
      <c r="G127" s="403" t="s">
        <v>188</v>
      </c>
      <c r="H127" s="217" t="s">
        <v>164</v>
      </c>
      <c r="I127" s="171">
        <v>7</v>
      </c>
      <c r="J127" s="154"/>
      <c r="K127" s="154"/>
      <c r="L127" s="323"/>
      <c r="M127" s="154"/>
      <c r="N127" s="154"/>
      <c r="O127" s="200">
        <f>IFERROR(VLOOKUP($P127,Suppl!$B$2:$N$57,MATCH(BDD!$B127,Suppl!$C$1:$N$1,0)+1,FALSE),"")</f>
        <v>0</v>
      </c>
      <c r="P127" s="154" t="str">
        <f t="shared" si="8"/>
        <v>77</v>
      </c>
    </row>
    <row r="128" spans="1:16" ht="15" customHeight="1" x14ac:dyDescent="0.3">
      <c r="A128" s="155" t="str">
        <f t="shared" ref="A128:A134" si="14">B128&amp;E128&amp;I128</f>
        <v>381</v>
      </c>
      <c r="B128" s="182">
        <f t="shared" si="12"/>
        <v>3</v>
      </c>
      <c r="C128" s="156" t="str">
        <f t="shared" si="13"/>
        <v>Risques &amp; conformité</v>
      </c>
      <c r="D128" s="156" t="s">
        <v>166</v>
      </c>
      <c r="E128" s="167">
        <v>8</v>
      </c>
      <c r="F128" s="218" t="s">
        <v>610</v>
      </c>
      <c r="G128" s="404" t="s">
        <v>611</v>
      </c>
      <c r="H128" s="217" t="s">
        <v>612</v>
      </c>
      <c r="I128" s="162">
        <v>1</v>
      </c>
      <c r="J128" s="247" t="s">
        <v>625</v>
      </c>
      <c r="K128" s="153" t="s">
        <v>22</v>
      </c>
      <c r="L128" s="247" t="s">
        <v>614</v>
      </c>
      <c r="M128" s="153"/>
      <c r="N128" s="153" t="s">
        <v>164</v>
      </c>
      <c r="O128" s="199">
        <f>IFERROR(VLOOKUP($P128,Suppl!$B$2:$N$57,MATCH(BDD!$B128,Suppl!$C$1:$N$1,0)+1,FALSE),"")</f>
        <v>0</v>
      </c>
      <c r="P128" s="153" t="str">
        <f t="shared" ref="P128:P134" si="15">E128&amp;I128</f>
        <v>81</v>
      </c>
    </row>
    <row r="129" spans="1:16" ht="15" customHeight="1" x14ac:dyDescent="0.3">
      <c r="A129" s="155" t="str">
        <f t="shared" si="14"/>
        <v>382</v>
      </c>
      <c r="B129" s="182">
        <f t="shared" si="12"/>
        <v>3</v>
      </c>
      <c r="C129" s="156" t="str">
        <f t="shared" si="13"/>
        <v>Risques &amp; conformité</v>
      </c>
      <c r="D129" s="156" t="s">
        <v>166</v>
      </c>
      <c r="E129" s="168">
        <v>8</v>
      </c>
      <c r="F129" s="182" t="s">
        <v>610</v>
      </c>
      <c r="G129" s="402" t="s">
        <v>611</v>
      </c>
      <c r="H129" s="217" t="s">
        <v>164</v>
      </c>
      <c r="I129" s="162">
        <v>2</v>
      </c>
      <c r="J129" s="247" t="s">
        <v>624</v>
      </c>
      <c r="K129" s="153" t="s">
        <v>23</v>
      </c>
      <c r="L129" s="255" t="s">
        <v>616</v>
      </c>
      <c r="M129" s="153"/>
      <c r="O129" s="202">
        <f>IFERROR(VLOOKUP($P129,Suppl!$B$2:$N$57,MATCH(BDD!$B129,Suppl!$C$1:$N$1,0)+1,FALSE),"")</f>
        <v>0</v>
      </c>
      <c r="P129" s="341" t="str">
        <f t="shared" si="15"/>
        <v>82</v>
      </c>
    </row>
    <row r="130" spans="1:16" ht="15" customHeight="1" x14ac:dyDescent="0.3">
      <c r="A130" s="155" t="str">
        <f t="shared" si="14"/>
        <v>383</v>
      </c>
      <c r="B130" s="182">
        <f t="shared" si="12"/>
        <v>3</v>
      </c>
      <c r="C130" s="156" t="str">
        <f t="shared" si="13"/>
        <v>Risques &amp; conformité</v>
      </c>
      <c r="D130" s="156" t="s">
        <v>166</v>
      </c>
      <c r="E130" s="168">
        <v>8</v>
      </c>
      <c r="F130" s="182" t="s">
        <v>610</v>
      </c>
      <c r="G130" s="402" t="s">
        <v>611</v>
      </c>
      <c r="H130" s="217" t="s">
        <v>164</v>
      </c>
      <c r="I130" s="162">
        <v>3</v>
      </c>
      <c r="J130" s="247" t="s">
        <v>623</v>
      </c>
      <c r="K130" s="153" t="s">
        <v>24</v>
      </c>
      <c r="L130" s="255" t="s">
        <v>615</v>
      </c>
      <c r="M130" s="153"/>
      <c r="O130" s="202">
        <f>IFERROR(VLOOKUP($P130,Suppl!$B$2:$N$57,MATCH(BDD!$B130,Suppl!$C$1:$N$1,0)+1,FALSE),"")</f>
        <v>0</v>
      </c>
      <c r="P130" s="341" t="str">
        <f t="shared" si="15"/>
        <v>83</v>
      </c>
    </row>
    <row r="131" spans="1:16" ht="15" customHeight="1" x14ac:dyDescent="0.3">
      <c r="A131" s="155" t="str">
        <f t="shared" si="14"/>
        <v>384</v>
      </c>
      <c r="B131" s="182">
        <f t="shared" si="12"/>
        <v>3</v>
      </c>
      <c r="C131" s="156" t="str">
        <f t="shared" si="13"/>
        <v>Risques &amp; conformité</v>
      </c>
      <c r="D131" s="156" t="s">
        <v>166</v>
      </c>
      <c r="E131" s="168">
        <v>8</v>
      </c>
      <c r="F131" s="182" t="s">
        <v>610</v>
      </c>
      <c r="G131" s="402" t="s">
        <v>611</v>
      </c>
      <c r="H131" s="217" t="s">
        <v>164</v>
      </c>
      <c r="I131" s="162">
        <v>4</v>
      </c>
      <c r="J131" s="246" t="s">
        <v>613</v>
      </c>
      <c r="K131" s="153" t="s">
        <v>23</v>
      </c>
      <c r="L131" s="255" t="s">
        <v>617</v>
      </c>
      <c r="M131" s="153"/>
      <c r="O131" s="202">
        <f>IFERROR(VLOOKUP($P131,Suppl!$B$2:$N$57,MATCH(BDD!$B131,Suppl!$C$1:$N$1,0)+1,FALSE),"")</f>
        <v>0</v>
      </c>
      <c r="P131" s="341" t="str">
        <f t="shared" si="15"/>
        <v>84</v>
      </c>
    </row>
    <row r="132" spans="1:16" ht="15" customHeight="1" x14ac:dyDescent="0.3">
      <c r="A132" s="155" t="str">
        <f t="shared" si="14"/>
        <v>385</v>
      </c>
      <c r="B132" s="182">
        <f t="shared" si="12"/>
        <v>3</v>
      </c>
      <c r="C132" s="156" t="str">
        <f t="shared" si="13"/>
        <v>Risques &amp; conformité</v>
      </c>
      <c r="D132" s="156" t="s">
        <v>166</v>
      </c>
      <c r="E132" s="168">
        <v>8</v>
      </c>
      <c r="F132" s="182" t="s">
        <v>610</v>
      </c>
      <c r="G132" s="402" t="s">
        <v>611</v>
      </c>
      <c r="H132" s="217" t="s">
        <v>164</v>
      </c>
      <c r="I132" s="162">
        <v>5</v>
      </c>
      <c r="J132" s="246" t="s">
        <v>874</v>
      </c>
      <c r="K132" s="153" t="s">
        <v>24</v>
      </c>
      <c r="M132" s="153"/>
      <c r="O132" s="202">
        <f>IFERROR(VLOOKUP($P132,Suppl!$B$2:$N$57,MATCH(BDD!$B132,Suppl!$C$1:$N$1,0)+1,FALSE),"")</f>
        <v>0</v>
      </c>
      <c r="P132" s="341" t="str">
        <f t="shared" si="15"/>
        <v>85</v>
      </c>
    </row>
    <row r="133" spans="1:16" ht="15" customHeight="1" x14ac:dyDescent="0.3">
      <c r="A133" s="155" t="str">
        <f t="shared" si="14"/>
        <v>386</v>
      </c>
      <c r="B133" s="182">
        <f t="shared" si="12"/>
        <v>3</v>
      </c>
      <c r="C133" s="156" t="str">
        <f t="shared" si="13"/>
        <v>Risques &amp; conformité</v>
      </c>
      <c r="D133" s="156" t="s">
        <v>166</v>
      </c>
      <c r="E133" s="168">
        <v>8</v>
      </c>
      <c r="F133" s="182" t="s">
        <v>610</v>
      </c>
      <c r="G133" s="402" t="s">
        <v>611</v>
      </c>
      <c r="H133" s="217" t="s">
        <v>164</v>
      </c>
      <c r="I133" s="162">
        <v>6</v>
      </c>
      <c r="J133" s="247" t="s">
        <v>622</v>
      </c>
      <c r="K133" s="153" t="s">
        <v>25</v>
      </c>
      <c r="L133" s="255" t="s">
        <v>618</v>
      </c>
      <c r="M133" s="153"/>
      <c r="O133" s="202">
        <f>IFERROR(VLOOKUP($P133,Suppl!$B$2:$N$57,MATCH(BDD!$B133,Suppl!$C$1:$N$1,0)+1,FALSE),"")</f>
        <v>0</v>
      </c>
      <c r="P133" s="341" t="str">
        <f t="shared" si="15"/>
        <v>86</v>
      </c>
    </row>
    <row r="134" spans="1:16" ht="15" customHeight="1" thickBot="1" x14ac:dyDescent="0.35">
      <c r="A134" s="155" t="str">
        <f t="shared" si="14"/>
        <v>387</v>
      </c>
      <c r="B134" s="184">
        <f t="shared" si="12"/>
        <v>3</v>
      </c>
      <c r="C134" s="160" t="str">
        <f t="shared" si="13"/>
        <v>Risques &amp; conformité</v>
      </c>
      <c r="D134" s="160" t="s">
        <v>166</v>
      </c>
      <c r="E134" s="170">
        <v>8</v>
      </c>
      <c r="F134" s="184" t="s">
        <v>610</v>
      </c>
      <c r="G134" s="411" t="s">
        <v>611</v>
      </c>
      <c r="H134" s="342" t="s">
        <v>164</v>
      </c>
      <c r="I134" s="172">
        <v>7</v>
      </c>
      <c r="J134" s="254" t="s">
        <v>875</v>
      </c>
      <c r="K134" s="158" t="s">
        <v>24</v>
      </c>
      <c r="L134" s="256" t="s">
        <v>619</v>
      </c>
      <c r="M134" s="179"/>
      <c r="N134" s="179"/>
      <c r="O134" s="203">
        <f>IFERROR(VLOOKUP($P134,Suppl!$B$2:$N$57,MATCH(BDD!$B134,Suppl!$C$1:$N$1,0)+1,FALSE),"")</f>
        <v>0</v>
      </c>
      <c r="P134" s="343" t="str">
        <f t="shared" si="15"/>
        <v>87</v>
      </c>
    </row>
    <row r="135" spans="1:16" ht="15" customHeight="1" x14ac:dyDescent="0.3">
      <c r="A135" s="155" t="str">
        <f t="shared" si="7"/>
        <v>411</v>
      </c>
      <c r="B135" s="162">
        <v>4</v>
      </c>
      <c r="C135" s="153" t="s">
        <v>95</v>
      </c>
      <c r="D135" s="153" t="s">
        <v>252</v>
      </c>
      <c r="E135" s="167">
        <v>1</v>
      </c>
      <c r="F135" s="153" t="s">
        <v>250</v>
      </c>
      <c r="G135" s="408" t="s">
        <v>260</v>
      </c>
      <c r="H135" s="185" t="s">
        <v>1073</v>
      </c>
      <c r="I135" s="162">
        <v>1</v>
      </c>
      <c r="J135" s="153" t="s">
        <v>876</v>
      </c>
      <c r="K135" s="153" t="s">
        <v>23</v>
      </c>
      <c r="L135" s="247" t="s">
        <v>164</v>
      </c>
      <c r="M135" s="186" t="s">
        <v>223</v>
      </c>
      <c r="N135" s="187" t="s">
        <v>227</v>
      </c>
      <c r="O135" s="199">
        <f>IFERROR(VLOOKUP($P135,Suppl!$B$2:$N$57,MATCH(BDD!$B135,Suppl!$C$1:$N$1,0)+1,FALSE),"")</f>
        <v>0</v>
      </c>
      <c r="P135" s="153" t="str">
        <f t="shared" si="8"/>
        <v>11</v>
      </c>
    </row>
    <row r="136" spans="1:16" ht="15" customHeight="1" x14ac:dyDescent="0.3">
      <c r="A136" s="155" t="str">
        <f t="shared" si="7"/>
        <v>412</v>
      </c>
      <c r="B136" s="163">
        <f t="shared" ref="B136:C136" si="16">B135</f>
        <v>4</v>
      </c>
      <c r="C136" s="156" t="str">
        <f t="shared" si="16"/>
        <v>RSE</v>
      </c>
      <c r="D136" s="156" t="s">
        <v>252</v>
      </c>
      <c r="E136" s="168">
        <v>1</v>
      </c>
      <c r="F136" s="156" t="s">
        <v>250</v>
      </c>
      <c r="G136" s="406" t="s">
        <v>260</v>
      </c>
      <c r="H136" s="185" t="s">
        <v>164</v>
      </c>
      <c r="I136" s="162">
        <v>2</v>
      </c>
      <c r="J136" s="153" t="s">
        <v>233</v>
      </c>
      <c r="K136" s="153" t="s">
        <v>23</v>
      </c>
      <c r="L136" s="247"/>
      <c r="M136" s="174" t="s">
        <v>224</v>
      </c>
      <c r="N136" s="177" t="s">
        <v>228</v>
      </c>
      <c r="O136" s="199">
        <f>IFERROR(VLOOKUP($P136,Suppl!$B$2:$N$57,MATCH(BDD!$B136,Suppl!$C$1:$N$1,0)+1,FALSE),"")</f>
        <v>0</v>
      </c>
      <c r="P136" s="153" t="str">
        <f t="shared" si="8"/>
        <v>12</v>
      </c>
    </row>
    <row r="137" spans="1:16" ht="15" customHeight="1" x14ac:dyDescent="0.3">
      <c r="A137" s="155" t="str">
        <f t="shared" si="7"/>
        <v>413</v>
      </c>
      <c r="B137" s="163">
        <f t="shared" ref="B137:B169" si="17">B136</f>
        <v>4</v>
      </c>
      <c r="C137" s="156" t="str">
        <f t="shared" ref="C137:C169" si="18">C136</f>
        <v>RSE</v>
      </c>
      <c r="D137" s="156" t="s">
        <v>252</v>
      </c>
      <c r="E137" s="168">
        <v>1</v>
      </c>
      <c r="F137" s="156" t="s">
        <v>250</v>
      </c>
      <c r="G137" s="406" t="s">
        <v>260</v>
      </c>
      <c r="H137" s="185" t="s">
        <v>164</v>
      </c>
      <c r="I137" s="162">
        <v>3</v>
      </c>
      <c r="J137" s="153" t="s">
        <v>234</v>
      </c>
      <c r="K137" s="153" t="s">
        <v>22</v>
      </c>
      <c r="L137" s="247"/>
      <c r="M137" s="174" t="s">
        <v>225</v>
      </c>
      <c r="N137" s="177" t="s">
        <v>229</v>
      </c>
      <c r="O137" s="199">
        <f>IFERROR(VLOOKUP($P137,Suppl!$B$2:$N$57,MATCH(BDD!$B137,Suppl!$C$1:$N$1,0)+1,FALSE),"")</f>
        <v>0</v>
      </c>
      <c r="P137" s="153" t="str">
        <f t="shared" si="8"/>
        <v>13</v>
      </c>
    </row>
    <row r="138" spans="1:16" ht="15" customHeight="1" x14ac:dyDescent="0.3">
      <c r="A138" s="155" t="str">
        <f t="shared" ref="A138:A201" si="19">B138&amp;E138&amp;I138</f>
        <v>414</v>
      </c>
      <c r="B138" s="163">
        <f t="shared" si="17"/>
        <v>4</v>
      </c>
      <c r="C138" s="156" t="str">
        <f t="shared" si="18"/>
        <v>RSE</v>
      </c>
      <c r="D138" s="156" t="s">
        <v>252</v>
      </c>
      <c r="E138" s="168">
        <v>1</v>
      </c>
      <c r="F138" s="156" t="s">
        <v>250</v>
      </c>
      <c r="G138" s="406" t="s">
        <v>260</v>
      </c>
      <c r="H138" s="185" t="s">
        <v>164</v>
      </c>
      <c r="I138" s="162">
        <v>4</v>
      </c>
      <c r="J138" s="153"/>
      <c r="K138" s="153"/>
      <c r="L138" s="247"/>
      <c r="M138" s="174" t="s">
        <v>226</v>
      </c>
      <c r="N138" s="177" t="s">
        <v>230</v>
      </c>
      <c r="O138" s="199">
        <f>IFERROR(VLOOKUP($P138,Suppl!$B$2:$N$57,MATCH(BDD!$B138,Suppl!$C$1:$N$1,0)+1,FALSE),"")</f>
        <v>0</v>
      </c>
      <c r="P138" s="153" t="str">
        <f t="shared" ref="P138:P201" si="20">E138&amp;I138</f>
        <v>14</v>
      </c>
    </row>
    <row r="139" spans="1:16" ht="15" customHeight="1" x14ac:dyDescent="0.3">
      <c r="A139" s="155" t="str">
        <f t="shared" si="19"/>
        <v>415</v>
      </c>
      <c r="B139" s="163">
        <f t="shared" si="17"/>
        <v>4</v>
      </c>
      <c r="C139" s="156" t="str">
        <f t="shared" si="18"/>
        <v>RSE</v>
      </c>
      <c r="D139" s="156" t="s">
        <v>252</v>
      </c>
      <c r="E139" s="168">
        <v>1</v>
      </c>
      <c r="F139" s="156" t="s">
        <v>250</v>
      </c>
      <c r="G139" s="406" t="s">
        <v>260</v>
      </c>
      <c r="H139" s="185" t="s">
        <v>164</v>
      </c>
      <c r="I139" s="162">
        <v>5</v>
      </c>
      <c r="J139" s="153"/>
      <c r="K139" s="153"/>
      <c r="L139" s="247"/>
      <c r="M139" s="174"/>
      <c r="N139" s="177" t="s">
        <v>231</v>
      </c>
      <c r="O139" s="199">
        <f>IFERROR(VLOOKUP($P139,Suppl!$B$2:$N$57,MATCH(BDD!$B139,Suppl!$C$1:$N$1,0)+1,FALSE),"")</f>
        <v>0</v>
      </c>
      <c r="P139" s="153" t="str">
        <f t="shared" si="20"/>
        <v>15</v>
      </c>
    </row>
    <row r="140" spans="1:16" ht="15" customHeight="1" x14ac:dyDescent="0.3">
      <c r="A140" s="155" t="str">
        <f t="shared" si="19"/>
        <v>416</v>
      </c>
      <c r="B140" s="163">
        <f t="shared" si="17"/>
        <v>4</v>
      </c>
      <c r="C140" s="156" t="str">
        <f t="shared" si="18"/>
        <v>RSE</v>
      </c>
      <c r="D140" s="156" t="s">
        <v>252</v>
      </c>
      <c r="E140" s="168">
        <v>1</v>
      </c>
      <c r="F140" s="156" t="s">
        <v>250</v>
      </c>
      <c r="G140" s="406" t="s">
        <v>260</v>
      </c>
      <c r="H140" s="185" t="s">
        <v>164</v>
      </c>
      <c r="I140" s="162">
        <v>6</v>
      </c>
      <c r="J140" s="153"/>
      <c r="K140" s="153"/>
      <c r="L140" s="247"/>
      <c r="M140" s="174"/>
      <c r="N140" s="177" t="s">
        <v>232</v>
      </c>
      <c r="O140" s="199">
        <f>IFERROR(VLOOKUP($P140,Suppl!$B$2:$N$57,MATCH(BDD!$B140,Suppl!$C$1:$N$1,0)+1,FALSE),"")</f>
        <v>0</v>
      </c>
      <c r="P140" s="153" t="str">
        <f t="shared" si="20"/>
        <v>16</v>
      </c>
    </row>
    <row r="141" spans="1:16" ht="15" customHeight="1" x14ac:dyDescent="0.3">
      <c r="A141" s="155" t="str">
        <f t="shared" si="19"/>
        <v>417</v>
      </c>
      <c r="B141" s="164">
        <f t="shared" si="17"/>
        <v>4</v>
      </c>
      <c r="C141" s="157" t="str">
        <f t="shared" si="18"/>
        <v>RSE</v>
      </c>
      <c r="D141" s="157" t="s">
        <v>252</v>
      </c>
      <c r="E141" s="169">
        <v>1</v>
      </c>
      <c r="F141" s="157" t="s">
        <v>250</v>
      </c>
      <c r="G141" s="407" t="s">
        <v>260</v>
      </c>
      <c r="H141" s="185" t="s">
        <v>164</v>
      </c>
      <c r="I141" s="171">
        <v>7</v>
      </c>
      <c r="J141" s="154"/>
      <c r="K141" s="154"/>
      <c r="L141" s="323"/>
      <c r="M141" s="175"/>
      <c r="N141" s="178"/>
      <c r="O141" s="200">
        <f>IFERROR(VLOOKUP($P141,Suppl!$B$2:$N$57,MATCH(BDD!$B141,Suppl!$C$1:$N$1,0)+1,FALSE),"")</f>
        <v>0</v>
      </c>
      <c r="P141" s="154" t="str">
        <f t="shared" si="20"/>
        <v>17</v>
      </c>
    </row>
    <row r="142" spans="1:16" ht="15" customHeight="1" x14ac:dyDescent="0.3">
      <c r="A142" s="155" t="str">
        <f t="shared" si="19"/>
        <v>421</v>
      </c>
      <c r="B142" s="163">
        <f t="shared" si="17"/>
        <v>4</v>
      </c>
      <c r="C142" s="156" t="str">
        <f t="shared" si="18"/>
        <v>RSE</v>
      </c>
      <c r="D142" s="156" t="s">
        <v>252</v>
      </c>
      <c r="E142" s="167">
        <v>2</v>
      </c>
      <c r="F142" s="180" t="s">
        <v>251</v>
      </c>
      <c r="G142" s="409" t="s">
        <v>259</v>
      </c>
      <c r="H142" s="185" t="s">
        <v>164</v>
      </c>
      <c r="I142" s="162">
        <v>1</v>
      </c>
      <c r="J142" s="153" t="s">
        <v>235</v>
      </c>
      <c r="K142" s="153" t="s">
        <v>23</v>
      </c>
      <c r="L142" s="247" t="s">
        <v>710</v>
      </c>
      <c r="M142" s="153"/>
      <c r="N142" s="153"/>
      <c r="O142" s="199">
        <f>IFERROR(VLOOKUP($P142,Suppl!$B$2:$N$57,MATCH(BDD!$B142,Suppl!$C$1:$N$1,0)+1,FALSE),"")</f>
        <v>0</v>
      </c>
      <c r="P142" s="153" t="str">
        <f t="shared" si="20"/>
        <v>21</v>
      </c>
    </row>
    <row r="143" spans="1:16" ht="15" customHeight="1" x14ac:dyDescent="0.3">
      <c r="A143" s="155" t="str">
        <f t="shared" si="19"/>
        <v>422</v>
      </c>
      <c r="B143" s="163">
        <f t="shared" si="17"/>
        <v>4</v>
      </c>
      <c r="C143" s="156" t="str">
        <f t="shared" si="18"/>
        <v>RSE</v>
      </c>
      <c r="D143" s="156" t="s">
        <v>252</v>
      </c>
      <c r="E143" s="168">
        <v>2</v>
      </c>
      <c r="F143" s="156" t="s">
        <v>251</v>
      </c>
      <c r="G143" s="406" t="s">
        <v>259</v>
      </c>
      <c r="H143" s="185" t="s">
        <v>164</v>
      </c>
      <c r="I143" s="162">
        <v>2</v>
      </c>
      <c r="J143" s="153" t="s">
        <v>236</v>
      </c>
      <c r="K143" s="153" t="s">
        <v>23</v>
      </c>
      <c r="L143" s="247"/>
      <c r="M143" s="153"/>
      <c r="N143" s="153"/>
      <c r="O143" s="199">
        <f>IFERROR(VLOOKUP($P143,Suppl!$B$2:$N$57,MATCH(BDD!$B143,Suppl!$C$1:$N$1,0)+1,FALSE),"")</f>
        <v>0</v>
      </c>
      <c r="P143" s="153" t="str">
        <f t="shared" si="20"/>
        <v>22</v>
      </c>
    </row>
    <row r="144" spans="1:16" ht="15" customHeight="1" x14ac:dyDescent="0.3">
      <c r="A144" s="155" t="str">
        <f t="shared" si="19"/>
        <v>423</v>
      </c>
      <c r="B144" s="163">
        <f t="shared" si="17"/>
        <v>4</v>
      </c>
      <c r="C144" s="156" t="str">
        <f t="shared" si="18"/>
        <v>RSE</v>
      </c>
      <c r="D144" s="156" t="s">
        <v>252</v>
      </c>
      <c r="E144" s="168">
        <v>2</v>
      </c>
      <c r="F144" s="156" t="s">
        <v>251</v>
      </c>
      <c r="G144" s="406" t="s">
        <v>259</v>
      </c>
      <c r="H144" s="185" t="s">
        <v>164</v>
      </c>
      <c r="I144" s="162">
        <v>3</v>
      </c>
      <c r="J144" s="153" t="s">
        <v>237</v>
      </c>
      <c r="K144" s="153" t="s">
        <v>24</v>
      </c>
      <c r="L144" s="247" t="s">
        <v>711</v>
      </c>
      <c r="M144" s="153"/>
      <c r="N144" s="153"/>
      <c r="O144" s="199">
        <f>IFERROR(VLOOKUP($P144,Suppl!$B$2:$N$57,MATCH(BDD!$B144,Suppl!$C$1:$N$1,0)+1,FALSE),"")</f>
        <v>0</v>
      </c>
      <c r="P144" s="153" t="str">
        <f t="shared" si="20"/>
        <v>23</v>
      </c>
    </row>
    <row r="145" spans="1:16" ht="15" customHeight="1" x14ac:dyDescent="0.3">
      <c r="A145" s="155" t="str">
        <f t="shared" si="19"/>
        <v>424</v>
      </c>
      <c r="B145" s="163">
        <f t="shared" si="17"/>
        <v>4</v>
      </c>
      <c r="C145" s="156" t="str">
        <f t="shared" si="18"/>
        <v>RSE</v>
      </c>
      <c r="D145" s="156" t="s">
        <v>252</v>
      </c>
      <c r="E145" s="168">
        <v>2</v>
      </c>
      <c r="F145" s="156" t="s">
        <v>251</v>
      </c>
      <c r="G145" s="406" t="s">
        <v>259</v>
      </c>
      <c r="H145" s="185" t="s">
        <v>164</v>
      </c>
      <c r="I145" s="162">
        <v>4</v>
      </c>
      <c r="K145" s="153"/>
      <c r="L145" s="247"/>
      <c r="M145" s="153"/>
      <c r="N145" s="153"/>
      <c r="O145" s="199">
        <f>IFERROR(VLOOKUP($P145,Suppl!$B$2:$N$57,MATCH(BDD!$B145,Suppl!$C$1:$N$1,0)+1,FALSE),"")</f>
        <v>0</v>
      </c>
      <c r="P145" s="153" t="str">
        <f t="shared" si="20"/>
        <v>24</v>
      </c>
    </row>
    <row r="146" spans="1:16" ht="15" customHeight="1" x14ac:dyDescent="0.3">
      <c r="A146" s="155" t="str">
        <f t="shared" si="19"/>
        <v>425</v>
      </c>
      <c r="B146" s="163">
        <f t="shared" si="17"/>
        <v>4</v>
      </c>
      <c r="C146" s="156" t="str">
        <f t="shared" si="18"/>
        <v>RSE</v>
      </c>
      <c r="D146" s="156" t="s">
        <v>252</v>
      </c>
      <c r="E146" s="168">
        <v>2</v>
      </c>
      <c r="F146" s="156" t="s">
        <v>251</v>
      </c>
      <c r="G146" s="406" t="s">
        <v>259</v>
      </c>
      <c r="H146" s="185" t="s">
        <v>164</v>
      </c>
      <c r="I146" s="162">
        <v>5</v>
      </c>
      <c r="K146" s="153"/>
      <c r="L146" s="247"/>
      <c r="M146" s="153"/>
      <c r="N146" s="153"/>
      <c r="O146" s="199">
        <f>IFERROR(VLOOKUP($P146,Suppl!$B$2:$N$57,MATCH(BDD!$B146,Suppl!$C$1:$N$1,0)+1,FALSE),"")</f>
        <v>0</v>
      </c>
      <c r="P146" s="153" t="str">
        <f t="shared" si="20"/>
        <v>25</v>
      </c>
    </row>
    <row r="147" spans="1:16" ht="15" customHeight="1" x14ac:dyDescent="0.3">
      <c r="A147" s="155" t="str">
        <f t="shared" si="19"/>
        <v>426</v>
      </c>
      <c r="B147" s="163">
        <f t="shared" si="17"/>
        <v>4</v>
      </c>
      <c r="C147" s="156" t="str">
        <f t="shared" si="18"/>
        <v>RSE</v>
      </c>
      <c r="D147" s="156" t="s">
        <v>252</v>
      </c>
      <c r="E147" s="168">
        <v>2</v>
      </c>
      <c r="F147" s="156" t="s">
        <v>251</v>
      </c>
      <c r="G147" s="406" t="s">
        <v>259</v>
      </c>
      <c r="H147" s="185" t="s">
        <v>164</v>
      </c>
      <c r="I147" s="162">
        <v>6</v>
      </c>
      <c r="J147" s="153"/>
      <c r="K147" s="153"/>
      <c r="L147" s="247"/>
      <c r="M147" s="153"/>
      <c r="N147" s="153"/>
      <c r="O147" s="199">
        <f>IFERROR(VLOOKUP($P147,Suppl!$B$2:$N$57,MATCH(BDD!$B147,Suppl!$C$1:$N$1,0)+1,FALSE),"")</f>
        <v>0</v>
      </c>
      <c r="P147" s="153" t="str">
        <f t="shared" si="20"/>
        <v>26</v>
      </c>
    </row>
    <row r="148" spans="1:16" ht="15" customHeight="1" x14ac:dyDescent="0.3">
      <c r="A148" s="155" t="str">
        <f t="shared" si="19"/>
        <v>427</v>
      </c>
      <c r="B148" s="164">
        <f t="shared" si="17"/>
        <v>4</v>
      </c>
      <c r="C148" s="157" t="str">
        <f t="shared" si="18"/>
        <v>RSE</v>
      </c>
      <c r="D148" s="157" t="s">
        <v>252</v>
      </c>
      <c r="E148" s="169">
        <v>2</v>
      </c>
      <c r="F148" s="157" t="s">
        <v>251</v>
      </c>
      <c r="G148" s="407" t="s">
        <v>259</v>
      </c>
      <c r="H148" s="185" t="s">
        <v>164</v>
      </c>
      <c r="I148" s="171">
        <v>7</v>
      </c>
      <c r="J148" s="154"/>
      <c r="K148" s="154"/>
      <c r="L148" s="323"/>
      <c r="M148" s="154"/>
      <c r="N148" s="154"/>
      <c r="O148" s="200">
        <f>IFERROR(VLOOKUP($P148,Suppl!$B$2:$N$57,MATCH(BDD!$B148,Suppl!$C$1:$N$1,0)+1,FALSE),"")</f>
        <v>0</v>
      </c>
      <c r="P148" s="154" t="str">
        <f t="shared" si="20"/>
        <v>27</v>
      </c>
    </row>
    <row r="149" spans="1:16" ht="15" customHeight="1" x14ac:dyDescent="0.3">
      <c r="A149" s="155" t="str">
        <f t="shared" si="19"/>
        <v>431</v>
      </c>
      <c r="B149" s="163">
        <f t="shared" si="17"/>
        <v>4</v>
      </c>
      <c r="C149" s="156" t="str">
        <f t="shared" si="18"/>
        <v>RSE</v>
      </c>
      <c r="D149" s="156" t="s">
        <v>252</v>
      </c>
      <c r="E149" s="167">
        <v>3</v>
      </c>
      <c r="F149" s="180" t="s">
        <v>253</v>
      </c>
      <c r="G149" s="409" t="s">
        <v>258</v>
      </c>
      <c r="H149" s="185" t="s">
        <v>164</v>
      </c>
      <c r="I149" s="162">
        <v>1</v>
      </c>
      <c r="J149" s="153" t="s">
        <v>238</v>
      </c>
      <c r="K149" s="153" t="s">
        <v>25</v>
      </c>
      <c r="L149" s="247" t="s">
        <v>712</v>
      </c>
      <c r="M149" s="153"/>
      <c r="N149" s="153"/>
      <c r="O149" s="199">
        <f>IFERROR(VLOOKUP($P149,Suppl!$B$2:$N$57,MATCH(BDD!$B149,Suppl!$C$1:$N$1,0)+1,FALSE),"")</f>
        <v>0</v>
      </c>
      <c r="P149" s="153" t="str">
        <f t="shared" si="20"/>
        <v>31</v>
      </c>
    </row>
    <row r="150" spans="1:16" ht="15" customHeight="1" x14ac:dyDescent="0.3">
      <c r="A150" s="155" t="str">
        <f t="shared" si="19"/>
        <v>432</v>
      </c>
      <c r="B150" s="163">
        <f t="shared" si="17"/>
        <v>4</v>
      </c>
      <c r="C150" s="156" t="str">
        <f t="shared" si="18"/>
        <v>RSE</v>
      </c>
      <c r="D150" s="156" t="s">
        <v>252</v>
      </c>
      <c r="E150" s="168">
        <v>3</v>
      </c>
      <c r="F150" s="156" t="s">
        <v>253</v>
      </c>
      <c r="G150" s="406" t="s">
        <v>258</v>
      </c>
      <c r="H150" s="185" t="s">
        <v>164</v>
      </c>
      <c r="I150" s="162">
        <v>2</v>
      </c>
      <c r="J150" s="153" t="s">
        <v>239</v>
      </c>
      <c r="K150" s="153" t="s">
        <v>24</v>
      </c>
      <c r="L150" s="247"/>
      <c r="M150" s="153"/>
      <c r="N150" s="153"/>
      <c r="O150" s="199">
        <f>IFERROR(VLOOKUP($P150,Suppl!$B$2:$N$57,MATCH(BDD!$B150,Suppl!$C$1:$N$1,0)+1,FALSE),"")</f>
        <v>0</v>
      </c>
      <c r="P150" s="153" t="str">
        <f t="shared" si="20"/>
        <v>32</v>
      </c>
    </row>
    <row r="151" spans="1:16" ht="15" customHeight="1" x14ac:dyDescent="0.3">
      <c r="A151" s="155" t="str">
        <f t="shared" si="19"/>
        <v>433</v>
      </c>
      <c r="B151" s="163">
        <f t="shared" si="17"/>
        <v>4</v>
      </c>
      <c r="C151" s="156" t="str">
        <f t="shared" si="18"/>
        <v>RSE</v>
      </c>
      <c r="D151" s="156" t="s">
        <v>252</v>
      </c>
      <c r="E151" s="168">
        <v>3</v>
      </c>
      <c r="F151" s="156" t="s">
        <v>253</v>
      </c>
      <c r="G151" s="406" t="s">
        <v>258</v>
      </c>
      <c r="H151" s="185" t="s">
        <v>164</v>
      </c>
      <c r="I151" s="162">
        <v>3</v>
      </c>
      <c r="J151" s="153" t="s">
        <v>240</v>
      </c>
      <c r="K151" s="153" t="s">
        <v>24</v>
      </c>
      <c r="L151" s="247" t="s">
        <v>713</v>
      </c>
      <c r="M151" s="153"/>
      <c r="N151" s="153"/>
      <c r="O151" s="199">
        <f>IFERROR(VLOOKUP($P151,Suppl!$B$2:$N$57,MATCH(BDD!$B151,Suppl!$C$1:$N$1,0)+1,FALSE),"")</f>
        <v>0</v>
      </c>
      <c r="P151" s="153" t="str">
        <f t="shared" si="20"/>
        <v>33</v>
      </c>
    </row>
    <row r="152" spans="1:16" ht="15" customHeight="1" x14ac:dyDescent="0.3">
      <c r="A152" s="155" t="str">
        <f t="shared" si="19"/>
        <v>434</v>
      </c>
      <c r="B152" s="163">
        <f t="shared" si="17"/>
        <v>4</v>
      </c>
      <c r="C152" s="156" t="str">
        <f t="shared" si="18"/>
        <v>RSE</v>
      </c>
      <c r="D152" s="156" t="s">
        <v>252</v>
      </c>
      <c r="E152" s="168">
        <v>3</v>
      </c>
      <c r="F152" s="156" t="s">
        <v>253</v>
      </c>
      <c r="G152" s="406" t="s">
        <v>258</v>
      </c>
      <c r="H152" s="185" t="s">
        <v>164</v>
      </c>
      <c r="I152" s="162">
        <v>4</v>
      </c>
      <c r="J152" s="153" t="s">
        <v>241</v>
      </c>
      <c r="K152" s="153" t="s">
        <v>24</v>
      </c>
      <c r="L152" s="247"/>
      <c r="M152" s="153"/>
      <c r="N152" s="153"/>
      <c r="O152" s="199">
        <f>IFERROR(VLOOKUP($P152,Suppl!$B$2:$N$57,MATCH(BDD!$B152,Suppl!$C$1:$N$1,0)+1,FALSE),"")</f>
        <v>0</v>
      </c>
      <c r="P152" s="153" t="str">
        <f t="shared" si="20"/>
        <v>34</v>
      </c>
    </row>
    <row r="153" spans="1:16" ht="15" customHeight="1" x14ac:dyDescent="0.3">
      <c r="A153" s="155" t="str">
        <f t="shared" si="19"/>
        <v>435</v>
      </c>
      <c r="B153" s="163">
        <f t="shared" si="17"/>
        <v>4</v>
      </c>
      <c r="C153" s="156" t="str">
        <f t="shared" si="18"/>
        <v>RSE</v>
      </c>
      <c r="D153" s="156" t="s">
        <v>252</v>
      </c>
      <c r="E153" s="168">
        <v>3</v>
      </c>
      <c r="F153" s="156" t="s">
        <v>253</v>
      </c>
      <c r="G153" s="406" t="s">
        <v>258</v>
      </c>
      <c r="H153" s="185" t="s">
        <v>164</v>
      </c>
      <c r="I153" s="162">
        <v>5</v>
      </c>
      <c r="J153" s="153" t="s">
        <v>242</v>
      </c>
      <c r="K153" s="153" t="s">
        <v>24</v>
      </c>
      <c r="L153" s="247" t="s">
        <v>714</v>
      </c>
      <c r="M153" s="153"/>
      <c r="N153" s="153"/>
      <c r="O153" s="199">
        <f>IFERROR(VLOOKUP($P153,Suppl!$B$2:$N$57,MATCH(BDD!$B153,Suppl!$C$1:$N$1,0)+1,FALSE),"")</f>
        <v>0</v>
      </c>
      <c r="P153" s="153" t="str">
        <f t="shared" si="20"/>
        <v>35</v>
      </c>
    </row>
    <row r="154" spans="1:16" ht="15" customHeight="1" x14ac:dyDescent="0.3">
      <c r="A154" s="155" t="str">
        <f t="shared" si="19"/>
        <v>436</v>
      </c>
      <c r="B154" s="163">
        <f t="shared" si="17"/>
        <v>4</v>
      </c>
      <c r="C154" s="156" t="str">
        <f t="shared" si="18"/>
        <v>RSE</v>
      </c>
      <c r="D154" s="156" t="s">
        <v>252</v>
      </c>
      <c r="E154" s="168">
        <v>3</v>
      </c>
      <c r="F154" s="156" t="s">
        <v>253</v>
      </c>
      <c r="G154" s="406" t="s">
        <v>258</v>
      </c>
      <c r="H154" s="185" t="s">
        <v>164</v>
      </c>
      <c r="I154" s="162">
        <v>6</v>
      </c>
      <c r="J154" s="153" t="s">
        <v>243</v>
      </c>
      <c r="K154" s="153" t="s">
        <v>23</v>
      </c>
      <c r="L154" s="247"/>
      <c r="M154" s="153"/>
      <c r="N154" s="153"/>
      <c r="O154" s="199">
        <f>IFERROR(VLOOKUP($P154,Suppl!$B$2:$N$57,MATCH(BDD!$B154,Suppl!$C$1:$N$1,0)+1,FALSE),"")</f>
        <v>0</v>
      </c>
      <c r="P154" s="153" t="str">
        <f t="shared" si="20"/>
        <v>36</v>
      </c>
    </row>
    <row r="155" spans="1:16" ht="15" customHeight="1" x14ac:dyDescent="0.3">
      <c r="A155" s="155" t="str">
        <f t="shared" si="19"/>
        <v>437</v>
      </c>
      <c r="B155" s="164">
        <f t="shared" si="17"/>
        <v>4</v>
      </c>
      <c r="C155" s="157" t="str">
        <f t="shared" si="18"/>
        <v>RSE</v>
      </c>
      <c r="D155" s="157" t="s">
        <v>252</v>
      </c>
      <c r="E155" s="169">
        <v>3</v>
      </c>
      <c r="F155" s="157" t="s">
        <v>253</v>
      </c>
      <c r="G155" s="407" t="s">
        <v>258</v>
      </c>
      <c r="H155" s="185" t="s">
        <v>164</v>
      </c>
      <c r="I155" s="171">
        <v>7</v>
      </c>
      <c r="J155" s="154" t="s">
        <v>244</v>
      </c>
      <c r="K155" s="154" t="s">
        <v>26</v>
      </c>
      <c r="L155" s="323"/>
      <c r="M155" s="154"/>
      <c r="N155" s="154"/>
      <c r="O155" s="200">
        <f>IFERROR(VLOOKUP($P155,Suppl!$B$2:$N$57,MATCH(BDD!$B155,Suppl!$C$1:$N$1,0)+1,FALSE),"")</f>
        <v>0</v>
      </c>
      <c r="P155" s="154" t="str">
        <f t="shared" si="20"/>
        <v>37</v>
      </c>
    </row>
    <row r="156" spans="1:16" ht="15" customHeight="1" x14ac:dyDescent="0.3">
      <c r="A156" s="155" t="str">
        <f t="shared" si="19"/>
        <v>441</v>
      </c>
      <c r="B156" s="163">
        <f t="shared" si="17"/>
        <v>4</v>
      </c>
      <c r="C156" s="156" t="str">
        <f t="shared" si="18"/>
        <v>RSE</v>
      </c>
      <c r="D156" s="156" t="s">
        <v>252</v>
      </c>
      <c r="E156" s="167">
        <v>4</v>
      </c>
      <c r="F156" s="180" t="s">
        <v>254</v>
      </c>
      <c r="G156" s="409" t="s">
        <v>1072</v>
      </c>
      <c r="H156" s="185" t="s">
        <v>164</v>
      </c>
      <c r="I156" s="162">
        <v>1</v>
      </c>
      <c r="J156" s="153" t="s">
        <v>877</v>
      </c>
      <c r="K156" s="153" t="s">
        <v>22</v>
      </c>
      <c r="L156" s="247" t="s">
        <v>878</v>
      </c>
      <c r="M156" s="153"/>
      <c r="N156" s="153"/>
      <c r="O156" s="199">
        <f>IFERROR(VLOOKUP($P156,Suppl!$B$2:$N$57,MATCH(BDD!$B156,Suppl!$C$1:$N$1,0)+1,FALSE),"")</f>
        <v>0</v>
      </c>
      <c r="P156" s="153" t="str">
        <f t="shared" si="20"/>
        <v>41</v>
      </c>
    </row>
    <row r="157" spans="1:16" ht="15" customHeight="1" x14ac:dyDescent="0.3">
      <c r="A157" s="155" t="str">
        <f t="shared" si="19"/>
        <v>442</v>
      </c>
      <c r="B157" s="163">
        <f t="shared" si="17"/>
        <v>4</v>
      </c>
      <c r="C157" s="156" t="str">
        <f t="shared" si="18"/>
        <v>RSE</v>
      </c>
      <c r="D157" s="156" t="s">
        <v>252</v>
      </c>
      <c r="E157" s="168">
        <v>4</v>
      </c>
      <c r="F157" s="156" t="s">
        <v>254</v>
      </c>
      <c r="G157" s="406" t="s">
        <v>257</v>
      </c>
      <c r="H157" s="185" t="s">
        <v>164</v>
      </c>
      <c r="I157" s="162">
        <v>2</v>
      </c>
      <c r="J157" s="153" t="s">
        <v>245</v>
      </c>
      <c r="K157" s="153" t="s">
        <v>24</v>
      </c>
      <c r="L157" s="247" t="s">
        <v>715</v>
      </c>
      <c r="M157" s="153"/>
      <c r="N157" s="153"/>
      <c r="O157" s="199">
        <f>IFERROR(VLOOKUP($P157,Suppl!$B$2:$N$57,MATCH(BDD!$B157,Suppl!$C$1:$N$1,0)+1,FALSE),"")</f>
        <v>0</v>
      </c>
      <c r="P157" s="153" t="str">
        <f t="shared" si="20"/>
        <v>42</v>
      </c>
    </row>
    <row r="158" spans="1:16" ht="15" customHeight="1" x14ac:dyDescent="0.3">
      <c r="A158" s="155" t="str">
        <f t="shared" si="19"/>
        <v>443</v>
      </c>
      <c r="B158" s="163">
        <f t="shared" si="17"/>
        <v>4</v>
      </c>
      <c r="C158" s="156" t="str">
        <f t="shared" si="18"/>
        <v>RSE</v>
      </c>
      <c r="D158" s="156" t="s">
        <v>252</v>
      </c>
      <c r="E158" s="168">
        <v>4</v>
      </c>
      <c r="F158" s="156" t="s">
        <v>254</v>
      </c>
      <c r="G158" s="406" t="s">
        <v>257</v>
      </c>
      <c r="H158" s="185" t="s">
        <v>164</v>
      </c>
      <c r="I158" s="162">
        <v>3</v>
      </c>
      <c r="J158" s="153"/>
      <c r="K158" s="153"/>
      <c r="L158" s="247"/>
      <c r="M158" s="153"/>
      <c r="N158" s="153"/>
      <c r="O158" s="199">
        <f>IFERROR(VLOOKUP($P158,Suppl!$B$2:$N$57,MATCH(BDD!$B158,Suppl!$C$1:$N$1,0)+1,FALSE),"")</f>
        <v>0</v>
      </c>
      <c r="P158" s="153" t="str">
        <f t="shared" si="20"/>
        <v>43</v>
      </c>
    </row>
    <row r="159" spans="1:16" ht="15" customHeight="1" x14ac:dyDescent="0.3">
      <c r="A159" s="155" t="str">
        <f t="shared" si="19"/>
        <v>444</v>
      </c>
      <c r="B159" s="163">
        <f t="shared" si="17"/>
        <v>4</v>
      </c>
      <c r="C159" s="156" t="str">
        <f t="shared" si="18"/>
        <v>RSE</v>
      </c>
      <c r="D159" s="156" t="s">
        <v>252</v>
      </c>
      <c r="E159" s="168">
        <v>4</v>
      </c>
      <c r="F159" s="156" t="s">
        <v>254</v>
      </c>
      <c r="G159" s="406" t="s">
        <v>257</v>
      </c>
      <c r="H159" s="185" t="s">
        <v>164</v>
      </c>
      <c r="I159" s="162">
        <v>4</v>
      </c>
      <c r="J159" s="153"/>
      <c r="K159" s="153"/>
      <c r="L159" s="247"/>
      <c r="M159" s="153"/>
      <c r="N159" s="153"/>
      <c r="O159" s="199">
        <f>IFERROR(VLOOKUP($P159,Suppl!$B$2:$N$57,MATCH(BDD!$B159,Suppl!$C$1:$N$1,0)+1,FALSE),"")</f>
        <v>0</v>
      </c>
      <c r="P159" s="153" t="str">
        <f t="shared" si="20"/>
        <v>44</v>
      </c>
    </row>
    <row r="160" spans="1:16" ht="15" customHeight="1" x14ac:dyDescent="0.3">
      <c r="A160" s="155" t="str">
        <f t="shared" si="19"/>
        <v>445</v>
      </c>
      <c r="B160" s="163">
        <f t="shared" si="17"/>
        <v>4</v>
      </c>
      <c r="C160" s="156" t="str">
        <f t="shared" si="18"/>
        <v>RSE</v>
      </c>
      <c r="D160" s="156" t="s">
        <v>252</v>
      </c>
      <c r="E160" s="168">
        <v>4</v>
      </c>
      <c r="F160" s="156" t="s">
        <v>254</v>
      </c>
      <c r="G160" s="406" t="s">
        <v>257</v>
      </c>
      <c r="H160" s="185" t="s">
        <v>164</v>
      </c>
      <c r="I160" s="162">
        <v>5</v>
      </c>
      <c r="J160" s="153"/>
      <c r="K160" s="153"/>
      <c r="L160" s="247"/>
      <c r="M160" s="153"/>
      <c r="N160" s="153"/>
      <c r="O160" s="199">
        <f>IFERROR(VLOOKUP($P160,Suppl!$B$2:$N$57,MATCH(BDD!$B160,Suppl!$C$1:$N$1,0)+1,FALSE),"")</f>
        <v>0</v>
      </c>
      <c r="P160" s="153" t="str">
        <f t="shared" si="20"/>
        <v>45</v>
      </c>
    </row>
    <row r="161" spans="1:16" ht="15" customHeight="1" x14ac:dyDescent="0.3">
      <c r="A161" s="155" t="str">
        <f t="shared" si="19"/>
        <v>446</v>
      </c>
      <c r="B161" s="163">
        <f t="shared" si="17"/>
        <v>4</v>
      </c>
      <c r="C161" s="156" t="str">
        <f t="shared" si="18"/>
        <v>RSE</v>
      </c>
      <c r="D161" s="156" t="s">
        <v>252</v>
      </c>
      <c r="E161" s="168">
        <v>4</v>
      </c>
      <c r="F161" s="156" t="s">
        <v>254</v>
      </c>
      <c r="G161" s="406" t="s">
        <v>257</v>
      </c>
      <c r="H161" s="185" t="s">
        <v>164</v>
      </c>
      <c r="I161" s="162">
        <v>6</v>
      </c>
      <c r="J161" s="153"/>
      <c r="K161" s="153"/>
      <c r="M161" s="153"/>
      <c r="N161" s="153"/>
      <c r="O161" s="202">
        <f>IFERROR(VLOOKUP($P161,Suppl!$B$2:$N$57,MATCH(BDD!$B161,Suppl!$C$1:$N$1,0)+1,FALSE),"")</f>
        <v>0</v>
      </c>
      <c r="P161" s="155" t="str">
        <f t="shared" si="20"/>
        <v>46</v>
      </c>
    </row>
    <row r="162" spans="1:16" ht="15" customHeight="1" x14ac:dyDescent="0.3">
      <c r="A162" s="155" t="str">
        <f t="shared" si="19"/>
        <v>447</v>
      </c>
      <c r="B162" s="164">
        <f t="shared" si="17"/>
        <v>4</v>
      </c>
      <c r="C162" s="157" t="str">
        <f t="shared" si="18"/>
        <v>RSE</v>
      </c>
      <c r="D162" s="157" t="s">
        <v>252</v>
      </c>
      <c r="E162" s="169">
        <v>4</v>
      </c>
      <c r="F162" s="157" t="s">
        <v>254</v>
      </c>
      <c r="G162" s="407" t="s">
        <v>257</v>
      </c>
      <c r="H162" s="185" t="s">
        <v>164</v>
      </c>
      <c r="I162" s="171">
        <v>7</v>
      </c>
      <c r="J162" s="154"/>
      <c r="K162" s="154"/>
      <c r="L162" s="323"/>
      <c r="M162" s="154"/>
      <c r="N162" s="154"/>
      <c r="O162" s="200">
        <f>IFERROR(VLOOKUP($P162,Suppl!$B$2:$N$57,MATCH(BDD!$B162,Suppl!$C$1:$N$1,0)+1,FALSE),"")</f>
        <v>0</v>
      </c>
      <c r="P162" s="154" t="str">
        <f t="shared" si="20"/>
        <v>47</v>
      </c>
    </row>
    <row r="163" spans="1:16" ht="15" customHeight="1" x14ac:dyDescent="0.3">
      <c r="A163" s="155" t="str">
        <f t="shared" si="19"/>
        <v>451</v>
      </c>
      <c r="B163" s="163">
        <f t="shared" si="17"/>
        <v>4</v>
      </c>
      <c r="C163" s="156" t="str">
        <f t="shared" si="18"/>
        <v>RSE</v>
      </c>
      <c r="D163" s="156" t="s">
        <v>252</v>
      </c>
      <c r="E163" s="167">
        <v>5</v>
      </c>
      <c r="F163" s="180" t="s">
        <v>255</v>
      </c>
      <c r="G163" s="409" t="s">
        <v>256</v>
      </c>
      <c r="H163" s="185" t="s">
        <v>249</v>
      </c>
      <c r="I163" s="162">
        <v>1</v>
      </c>
      <c r="J163" s="153" t="s">
        <v>246</v>
      </c>
      <c r="K163" s="153" t="s">
        <v>24</v>
      </c>
      <c r="L163" s="247" t="s">
        <v>716</v>
      </c>
      <c r="M163" s="153"/>
      <c r="N163" s="153"/>
      <c r="O163" s="199">
        <f>IFERROR(VLOOKUP($P163,Suppl!$B$2:$N$57,MATCH(BDD!$B163,Suppl!$C$1:$N$1,0)+1,FALSE),"")</f>
        <v>0</v>
      </c>
      <c r="P163" s="153" t="str">
        <f t="shared" si="20"/>
        <v>51</v>
      </c>
    </row>
    <row r="164" spans="1:16" ht="15" customHeight="1" x14ac:dyDescent="0.3">
      <c r="A164" s="155" t="str">
        <f t="shared" si="19"/>
        <v>452</v>
      </c>
      <c r="B164" s="163">
        <f t="shared" si="17"/>
        <v>4</v>
      </c>
      <c r="C164" s="156" t="str">
        <f t="shared" si="18"/>
        <v>RSE</v>
      </c>
      <c r="D164" s="156" t="s">
        <v>252</v>
      </c>
      <c r="E164" s="168">
        <v>5</v>
      </c>
      <c r="F164" s="156" t="s">
        <v>255</v>
      </c>
      <c r="G164" s="406" t="s">
        <v>256</v>
      </c>
      <c r="H164" s="185" t="s">
        <v>164</v>
      </c>
      <c r="I164" s="162">
        <v>2</v>
      </c>
      <c r="J164" s="153" t="s">
        <v>247</v>
      </c>
      <c r="K164" s="153" t="s">
        <v>23</v>
      </c>
      <c r="L164" s="247" t="s">
        <v>1043</v>
      </c>
      <c r="M164" s="153"/>
      <c r="N164" s="153"/>
      <c r="O164" s="199">
        <f>IFERROR(VLOOKUP($P164,Suppl!$B$2:$N$57,MATCH(BDD!$B164,Suppl!$C$1:$N$1,0)+1,FALSE),"")</f>
        <v>0</v>
      </c>
      <c r="P164" s="153" t="str">
        <f t="shared" si="20"/>
        <v>52</v>
      </c>
    </row>
    <row r="165" spans="1:16" ht="15" customHeight="1" x14ac:dyDescent="0.3">
      <c r="A165" s="155" t="str">
        <f t="shared" si="19"/>
        <v>453</v>
      </c>
      <c r="B165" s="163">
        <f t="shared" si="17"/>
        <v>4</v>
      </c>
      <c r="C165" s="156" t="str">
        <f t="shared" si="18"/>
        <v>RSE</v>
      </c>
      <c r="D165" s="156" t="s">
        <v>252</v>
      </c>
      <c r="E165" s="168">
        <v>5</v>
      </c>
      <c r="F165" s="156" t="s">
        <v>255</v>
      </c>
      <c r="G165" s="406" t="s">
        <v>256</v>
      </c>
      <c r="H165" s="185" t="s">
        <v>164</v>
      </c>
      <c r="I165" s="162">
        <v>3</v>
      </c>
      <c r="J165" s="153" t="s">
        <v>248</v>
      </c>
      <c r="K165" s="153" t="s">
        <v>25</v>
      </c>
      <c r="L165" s="247" t="s">
        <v>717</v>
      </c>
      <c r="M165" s="153"/>
      <c r="N165" s="153"/>
      <c r="O165" s="199">
        <f>IFERROR(VLOOKUP($P165,Suppl!$B$2:$N$57,MATCH(BDD!$B165,Suppl!$C$1:$N$1,0)+1,FALSE),"")</f>
        <v>0</v>
      </c>
      <c r="P165" s="153" t="str">
        <f t="shared" si="20"/>
        <v>53</v>
      </c>
    </row>
    <row r="166" spans="1:16" ht="15" customHeight="1" x14ac:dyDescent="0.3">
      <c r="A166" s="155" t="str">
        <f t="shared" si="19"/>
        <v>454</v>
      </c>
      <c r="B166" s="163">
        <f t="shared" si="17"/>
        <v>4</v>
      </c>
      <c r="C166" s="156" t="str">
        <f t="shared" si="18"/>
        <v>RSE</v>
      </c>
      <c r="D166" s="156" t="s">
        <v>252</v>
      </c>
      <c r="E166" s="168">
        <v>5</v>
      </c>
      <c r="F166" s="156" t="s">
        <v>255</v>
      </c>
      <c r="G166" s="406" t="s">
        <v>256</v>
      </c>
      <c r="H166" s="185" t="s">
        <v>164</v>
      </c>
      <c r="I166" s="162">
        <v>4</v>
      </c>
      <c r="J166" s="153"/>
      <c r="K166" s="153" t="s">
        <v>164</v>
      </c>
      <c r="M166" s="153"/>
      <c r="N166" s="153"/>
      <c r="O166" s="202">
        <f>IFERROR(VLOOKUP($P166,Suppl!$B$2:$N$57,MATCH(BDD!$B166,Suppl!$C$1:$N$1,0)+1,FALSE),"")</f>
        <v>0</v>
      </c>
      <c r="P166" s="155" t="str">
        <f t="shared" si="20"/>
        <v>54</v>
      </c>
    </row>
    <row r="167" spans="1:16" ht="15" customHeight="1" x14ac:dyDescent="0.3">
      <c r="A167" s="155" t="str">
        <f t="shared" si="19"/>
        <v>455</v>
      </c>
      <c r="B167" s="163">
        <f t="shared" si="17"/>
        <v>4</v>
      </c>
      <c r="C167" s="156" t="str">
        <f t="shared" si="18"/>
        <v>RSE</v>
      </c>
      <c r="D167" s="156" t="s">
        <v>252</v>
      </c>
      <c r="E167" s="168">
        <v>5</v>
      </c>
      <c r="F167" s="156" t="s">
        <v>255</v>
      </c>
      <c r="G167" s="406" t="s">
        <v>256</v>
      </c>
      <c r="H167" s="185" t="s">
        <v>164</v>
      </c>
      <c r="I167" s="162">
        <v>5</v>
      </c>
      <c r="J167" s="153"/>
      <c r="K167" s="153" t="s">
        <v>164</v>
      </c>
      <c r="M167" s="153"/>
      <c r="N167" s="153"/>
      <c r="O167" s="202">
        <f>IFERROR(VLOOKUP($P167,Suppl!$B$2:$N$57,MATCH(BDD!$B167,Suppl!$C$1:$N$1,0)+1,FALSE),"")</f>
        <v>0</v>
      </c>
      <c r="P167" s="155" t="str">
        <f t="shared" si="20"/>
        <v>55</v>
      </c>
    </row>
    <row r="168" spans="1:16" ht="15" customHeight="1" x14ac:dyDescent="0.3">
      <c r="A168" s="155" t="str">
        <f t="shared" si="19"/>
        <v>456</v>
      </c>
      <c r="B168" s="163">
        <f t="shared" si="17"/>
        <v>4</v>
      </c>
      <c r="C168" s="156" t="str">
        <f t="shared" si="18"/>
        <v>RSE</v>
      </c>
      <c r="D168" s="156" t="s">
        <v>252</v>
      </c>
      <c r="E168" s="168">
        <v>5</v>
      </c>
      <c r="F168" s="156" t="s">
        <v>255</v>
      </c>
      <c r="G168" s="406" t="s">
        <v>256</v>
      </c>
      <c r="H168" s="185" t="s">
        <v>164</v>
      </c>
      <c r="I168" s="162">
        <v>6</v>
      </c>
      <c r="J168" s="153"/>
      <c r="K168" s="153" t="s">
        <v>164</v>
      </c>
      <c r="M168" s="153"/>
      <c r="N168" s="153"/>
      <c r="O168" s="202">
        <f>IFERROR(VLOOKUP($P168,Suppl!$B$2:$N$57,MATCH(BDD!$B168,Suppl!$C$1:$N$1,0)+1,FALSE),"")</f>
        <v>0</v>
      </c>
      <c r="P168" s="155" t="str">
        <f t="shared" si="20"/>
        <v>56</v>
      </c>
    </row>
    <row r="169" spans="1:16" ht="15" customHeight="1" thickBot="1" x14ac:dyDescent="0.35">
      <c r="A169" s="155" t="str">
        <f t="shared" si="19"/>
        <v>457</v>
      </c>
      <c r="B169" s="163">
        <f t="shared" si="17"/>
        <v>4</v>
      </c>
      <c r="C169" s="156" t="str">
        <f t="shared" si="18"/>
        <v>RSE</v>
      </c>
      <c r="D169" s="156" t="s">
        <v>252</v>
      </c>
      <c r="E169" s="168">
        <v>5</v>
      </c>
      <c r="F169" s="156" t="s">
        <v>255</v>
      </c>
      <c r="G169" s="406" t="s">
        <v>256</v>
      </c>
      <c r="H169" s="185" t="s">
        <v>164</v>
      </c>
      <c r="I169" s="162">
        <v>7</v>
      </c>
      <c r="J169" s="153"/>
      <c r="K169" s="153" t="s">
        <v>164</v>
      </c>
      <c r="L169" s="247"/>
      <c r="M169" s="153"/>
      <c r="N169" s="153"/>
      <c r="O169" s="199">
        <f>IFERROR(VLOOKUP($P169,Suppl!$B$2:$N$57,MATCH(BDD!$B169,Suppl!$C$1:$N$1,0)+1,FALSE),"")</f>
        <v>0</v>
      </c>
      <c r="P169" s="153" t="str">
        <f t="shared" si="20"/>
        <v>57</v>
      </c>
    </row>
    <row r="170" spans="1:16" ht="15" customHeight="1" x14ac:dyDescent="0.3">
      <c r="A170" s="155" t="str">
        <f t="shared" si="19"/>
        <v>511</v>
      </c>
      <c r="B170" s="344">
        <v>5</v>
      </c>
      <c r="C170" s="334" t="s">
        <v>1088</v>
      </c>
      <c r="D170" s="334" t="s">
        <v>261</v>
      </c>
      <c r="E170" s="335">
        <v>1</v>
      </c>
      <c r="F170" s="334" t="s">
        <v>301</v>
      </c>
      <c r="G170" s="412" t="s">
        <v>402</v>
      </c>
      <c r="H170" s="336" t="s">
        <v>408</v>
      </c>
      <c r="I170" s="333">
        <v>1</v>
      </c>
      <c r="J170" s="334" t="s">
        <v>879</v>
      </c>
      <c r="K170" s="334" t="s">
        <v>22</v>
      </c>
      <c r="L170" s="337"/>
      <c r="M170" s="338" t="s">
        <v>262</v>
      </c>
      <c r="N170" s="339" t="s">
        <v>266</v>
      </c>
      <c r="O170" s="340">
        <f>IFERROR(VLOOKUP($P170,Suppl!$B$2:$N$57,MATCH(BDD!$B170,Suppl!$C$1:$N$1,0)+1,FALSE),"")</f>
        <v>0</v>
      </c>
      <c r="P170" s="334" t="str">
        <f t="shared" si="20"/>
        <v>11</v>
      </c>
    </row>
    <row r="171" spans="1:16" ht="15" customHeight="1" x14ac:dyDescent="0.3">
      <c r="A171" s="155" t="str">
        <f t="shared" si="19"/>
        <v>512</v>
      </c>
      <c r="B171" s="182">
        <f t="shared" ref="B171:C171" si="21">B170</f>
        <v>5</v>
      </c>
      <c r="C171" s="156" t="str">
        <f t="shared" si="21"/>
        <v>Données &amp; IA</v>
      </c>
      <c r="D171" s="156" t="s">
        <v>261</v>
      </c>
      <c r="E171" s="168">
        <v>1</v>
      </c>
      <c r="F171" s="156" t="s">
        <v>301</v>
      </c>
      <c r="G171" s="406" t="s">
        <v>402</v>
      </c>
      <c r="H171" s="185" t="s">
        <v>164</v>
      </c>
      <c r="I171" s="162">
        <v>2</v>
      </c>
      <c r="J171" s="153" t="s">
        <v>409</v>
      </c>
      <c r="K171" s="153" t="s">
        <v>23</v>
      </c>
      <c r="L171" s="247" t="s">
        <v>718</v>
      </c>
      <c r="M171" s="174" t="s">
        <v>263</v>
      </c>
      <c r="N171" s="177" t="s">
        <v>267</v>
      </c>
      <c r="O171" s="199">
        <f>IFERROR(VLOOKUP($P171,Suppl!$B$2:$N$57,MATCH(BDD!$B171,Suppl!$C$1:$N$1,0)+1,FALSE),"")</f>
        <v>0</v>
      </c>
      <c r="P171" s="153" t="str">
        <f t="shared" si="20"/>
        <v>12</v>
      </c>
    </row>
    <row r="172" spans="1:16" ht="15" customHeight="1" x14ac:dyDescent="0.3">
      <c r="A172" s="155" t="str">
        <f t="shared" si="19"/>
        <v>513</v>
      </c>
      <c r="B172" s="182">
        <f t="shared" ref="B172:B203" si="22">B171</f>
        <v>5</v>
      </c>
      <c r="C172" s="156" t="str">
        <f t="shared" ref="C172:C203" si="23">C171</f>
        <v>Données &amp; IA</v>
      </c>
      <c r="D172" s="156" t="s">
        <v>261</v>
      </c>
      <c r="E172" s="168">
        <v>1</v>
      </c>
      <c r="F172" s="156" t="s">
        <v>301</v>
      </c>
      <c r="G172" s="406" t="s">
        <v>402</v>
      </c>
      <c r="H172" s="185" t="s">
        <v>164</v>
      </c>
      <c r="I172" s="162">
        <v>3</v>
      </c>
      <c r="J172" s="153" t="s">
        <v>410</v>
      </c>
      <c r="K172" s="153" t="s">
        <v>25</v>
      </c>
      <c r="L172" s="247" t="s">
        <v>719</v>
      </c>
      <c r="M172" s="174" t="s">
        <v>1055</v>
      </c>
      <c r="N172" s="177" t="s">
        <v>268</v>
      </c>
      <c r="O172" s="199">
        <f>IFERROR(VLOOKUP($P172,Suppl!$B$2:$N$57,MATCH(BDD!$B172,Suppl!$C$1:$N$1,0)+1,FALSE),"")</f>
        <v>0</v>
      </c>
      <c r="P172" s="153" t="str">
        <f t="shared" si="20"/>
        <v>13</v>
      </c>
    </row>
    <row r="173" spans="1:16" ht="15" customHeight="1" x14ac:dyDescent="0.3">
      <c r="A173" s="155" t="str">
        <f t="shared" si="19"/>
        <v>514</v>
      </c>
      <c r="B173" s="182">
        <f t="shared" si="22"/>
        <v>5</v>
      </c>
      <c r="C173" s="156" t="str">
        <f t="shared" si="23"/>
        <v>Données &amp; IA</v>
      </c>
      <c r="D173" s="156" t="s">
        <v>261</v>
      </c>
      <c r="E173" s="168">
        <v>1</v>
      </c>
      <c r="F173" s="156" t="s">
        <v>301</v>
      </c>
      <c r="G173" s="406" t="s">
        <v>402</v>
      </c>
      <c r="H173" s="185" t="s">
        <v>164</v>
      </c>
      <c r="I173" s="162">
        <v>4</v>
      </c>
      <c r="J173" s="153" t="s">
        <v>411</v>
      </c>
      <c r="K173" s="153" t="s">
        <v>25</v>
      </c>
      <c r="L173" s="247"/>
      <c r="M173" s="174" t="s">
        <v>264</v>
      </c>
      <c r="N173" s="177" t="s">
        <v>269</v>
      </c>
      <c r="O173" s="199">
        <f>IFERROR(VLOOKUP($P173,Suppl!$B$2:$N$57,MATCH(BDD!$B173,Suppl!$C$1:$N$1,0)+1,FALSE),"")</f>
        <v>0</v>
      </c>
      <c r="P173" s="153" t="str">
        <f t="shared" si="20"/>
        <v>14</v>
      </c>
    </row>
    <row r="174" spans="1:16" ht="15" customHeight="1" x14ac:dyDescent="0.3">
      <c r="A174" s="155" t="str">
        <f t="shared" si="19"/>
        <v>515</v>
      </c>
      <c r="B174" s="182">
        <f t="shared" si="22"/>
        <v>5</v>
      </c>
      <c r="C174" s="156" t="str">
        <f t="shared" si="23"/>
        <v>Données &amp; IA</v>
      </c>
      <c r="D174" s="156" t="s">
        <v>261</v>
      </c>
      <c r="E174" s="168">
        <v>1</v>
      </c>
      <c r="F174" s="156" t="s">
        <v>301</v>
      </c>
      <c r="G174" s="406" t="s">
        <v>402</v>
      </c>
      <c r="H174" s="185" t="s">
        <v>164</v>
      </c>
      <c r="I174" s="162">
        <v>5</v>
      </c>
      <c r="J174" s="153" t="s">
        <v>412</v>
      </c>
      <c r="K174" s="153" t="s">
        <v>26</v>
      </c>
      <c r="L174" s="247" t="s">
        <v>720</v>
      </c>
      <c r="M174" s="174" t="s">
        <v>265</v>
      </c>
      <c r="N174" s="177" t="s">
        <v>270</v>
      </c>
      <c r="O174" s="199">
        <f>IFERROR(VLOOKUP($P174,Suppl!$B$2:$N$57,MATCH(BDD!$B174,Suppl!$C$1:$N$1,0)+1,FALSE),"")</f>
        <v>0</v>
      </c>
      <c r="P174" s="153" t="str">
        <f t="shared" si="20"/>
        <v>15</v>
      </c>
    </row>
    <row r="175" spans="1:16" ht="15" customHeight="1" x14ac:dyDescent="0.3">
      <c r="A175" s="155" t="str">
        <f t="shared" si="19"/>
        <v>516</v>
      </c>
      <c r="B175" s="182">
        <f t="shared" si="22"/>
        <v>5</v>
      </c>
      <c r="C175" s="156" t="str">
        <f t="shared" si="23"/>
        <v>Données &amp; IA</v>
      </c>
      <c r="D175" s="156" t="s">
        <v>261</v>
      </c>
      <c r="E175" s="168">
        <v>1</v>
      </c>
      <c r="F175" s="156" t="s">
        <v>301</v>
      </c>
      <c r="G175" s="406" t="s">
        <v>402</v>
      </c>
      <c r="H175" s="185" t="s">
        <v>164</v>
      </c>
      <c r="I175" s="162">
        <v>6</v>
      </c>
      <c r="J175" s="153"/>
      <c r="K175" s="153" t="s">
        <v>164</v>
      </c>
      <c r="L175" s="247"/>
      <c r="M175" s="174"/>
      <c r="N175" s="177"/>
      <c r="O175" s="199">
        <f>IFERROR(VLOOKUP($P175,Suppl!$B$2:$N$57,MATCH(BDD!$B175,Suppl!$C$1:$N$1,0)+1,FALSE),"")</f>
        <v>0</v>
      </c>
      <c r="P175" s="153" t="str">
        <f t="shared" si="20"/>
        <v>16</v>
      </c>
    </row>
    <row r="176" spans="1:16" ht="15" customHeight="1" x14ac:dyDescent="0.3">
      <c r="A176" s="155" t="str">
        <f t="shared" si="19"/>
        <v>517</v>
      </c>
      <c r="B176" s="183">
        <f t="shared" si="22"/>
        <v>5</v>
      </c>
      <c r="C176" s="157" t="str">
        <f t="shared" si="23"/>
        <v>Données &amp; IA</v>
      </c>
      <c r="D176" s="157" t="s">
        <v>261</v>
      </c>
      <c r="E176" s="169">
        <v>1</v>
      </c>
      <c r="F176" s="157" t="s">
        <v>301</v>
      </c>
      <c r="G176" s="407" t="s">
        <v>402</v>
      </c>
      <c r="H176" s="185" t="s">
        <v>164</v>
      </c>
      <c r="I176" s="171">
        <v>7</v>
      </c>
      <c r="J176" s="154"/>
      <c r="K176" s="154" t="s">
        <v>164</v>
      </c>
      <c r="L176" s="323"/>
      <c r="M176" s="175"/>
      <c r="N176" s="178"/>
      <c r="O176" s="200">
        <f>IFERROR(VLOOKUP($P176,Suppl!$B$2:$N$57,MATCH(BDD!$B176,Suppl!$C$1:$N$1,0)+1,FALSE),"")</f>
        <v>0</v>
      </c>
      <c r="P176" s="154" t="str">
        <f t="shared" si="20"/>
        <v>17</v>
      </c>
    </row>
    <row r="177" spans="1:16" ht="15" customHeight="1" x14ac:dyDescent="0.3">
      <c r="A177" s="155" t="str">
        <f t="shared" si="19"/>
        <v>521</v>
      </c>
      <c r="B177" s="182">
        <f t="shared" si="22"/>
        <v>5</v>
      </c>
      <c r="C177" s="156" t="str">
        <f t="shared" si="23"/>
        <v>Données &amp; IA</v>
      </c>
      <c r="D177" s="156" t="s">
        <v>261</v>
      </c>
      <c r="E177" s="167">
        <v>2</v>
      </c>
      <c r="F177" s="180" t="s">
        <v>302</v>
      </c>
      <c r="G177" s="413" t="s">
        <v>403</v>
      </c>
      <c r="H177" s="185" t="s">
        <v>164</v>
      </c>
      <c r="I177" s="162">
        <v>1</v>
      </c>
      <c r="J177" s="153" t="s">
        <v>413</v>
      </c>
      <c r="K177" s="153" t="s">
        <v>22</v>
      </c>
      <c r="L177" s="247" t="s">
        <v>1044</v>
      </c>
      <c r="M177" s="153"/>
      <c r="N177" s="153"/>
      <c r="O177" s="199">
        <f>IFERROR(VLOOKUP($P177,Suppl!$B$2:$N$57,MATCH(BDD!$B177,Suppl!$C$1:$N$1,0)+1,FALSE),"")</f>
        <v>0</v>
      </c>
      <c r="P177" s="153" t="str">
        <f t="shared" si="20"/>
        <v>21</v>
      </c>
    </row>
    <row r="178" spans="1:16" ht="15" customHeight="1" x14ac:dyDescent="0.3">
      <c r="A178" s="155" t="str">
        <f t="shared" si="19"/>
        <v>522</v>
      </c>
      <c r="B178" s="182">
        <f t="shared" si="22"/>
        <v>5</v>
      </c>
      <c r="C178" s="156" t="str">
        <f t="shared" si="23"/>
        <v>Données &amp; IA</v>
      </c>
      <c r="D178" s="156" t="s">
        <v>261</v>
      </c>
      <c r="E178" s="168">
        <v>2</v>
      </c>
      <c r="F178" s="156" t="s">
        <v>302</v>
      </c>
      <c r="G178" s="406" t="s">
        <v>403</v>
      </c>
      <c r="H178" s="185" t="s">
        <v>164</v>
      </c>
      <c r="I178" s="162">
        <v>2</v>
      </c>
      <c r="J178" s="153" t="s">
        <v>414</v>
      </c>
      <c r="K178" s="153" t="s">
        <v>23</v>
      </c>
      <c r="L178" s="247" t="s">
        <v>721</v>
      </c>
      <c r="M178" s="153"/>
      <c r="N178" s="153"/>
      <c r="O178" s="199">
        <f>IFERROR(VLOOKUP($P178,Suppl!$B$2:$N$57,MATCH(BDD!$B178,Suppl!$C$1:$N$1,0)+1,FALSE),"")</f>
        <v>0</v>
      </c>
      <c r="P178" s="153" t="str">
        <f t="shared" si="20"/>
        <v>22</v>
      </c>
    </row>
    <row r="179" spans="1:16" ht="15" customHeight="1" x14ac:dyDescent="0.3">
      <c r="A179" s="155" t="str">
        <f t="shared" si="19"/>
        <v>523</v>
      </c>
      <c r="B179" s="182">
        <f t="shared" si="22"/>
        <v>5</v>
      </c>
      <c r="C179" s="156" t="str">
        <f t="shared" si="23"/>
        <v>Données &amp; IA</v>
      </c>
      <c r="D179" s="156" t="s">
        <v>261</v>
      </c>
      <c r="E179" s="168">
        <v>2</v>
      </c>
      <c r="F179" s="156" t="s">
        <v>302</v>
      </c>
      <c r="G179" s="406" t="s">
        <v>403</v>
      </c>
      <c r="H179" s="185" t="s">
        <v>164</v>
      </c>
      <c r="I179" s="162">
        <v>3</v>
      </c>
      <c r="J179" s="153" t="s">
        <v>415</v>
      </c>
      <c r="K179" s="153" t="s">
        <v>24</v>
      </c>
      <c r="L179" s="247" t="s">
        <v>722</v>
      </c>
      <c r="M179" s="153"/>
      <c r="N179" s="153"/>
      <c r="O179" s="199">
        <f>IFERROR(VLOOKUP($P179,Suppl!$B$2:$N$57,MATCH(BDD!$B179,Suppl!$C$1:$N$1,0)+1,FALSE),"")</f>
        <v>0</v>
      </c>
      <c r="P179" s="153" t="str">
        <f t="shared" si="20"/>
        <v>23</v>
      </c>
    </row>
    <row r="180" spans="1:16" ht="15" customHeight="1" x14ac:dyDescent="0.3">
      <c r="A180" s="155" t="str">
        <f t="shared" si="19"/>
        <v>524</v>
      </c>
      <c r="B180" s="182">
        <f t="shared" si="22"/>
        <v>5</v>
      </c>
      <c r="C180" s="156" t="str">
        <f t="shared" si="23"/>
        <v>Données &amp; IA</v>
      </c>
      <c r="D180" s="156" t="s">
        <v>261</v>
      </c>
      <c r="E180" s="168">
        <v>2</v>
      </c>
      <c r="F180" s="156" t="s">
        <v>302</v>
      </c>
      <c r="G180" s="406" t="s">
        <v>403</v>
      </c>
      <c r="H180" s="185" t="s">
        <v>164</v>
      </c>
      <c r="I180" s="162">
        <v>4</v>
      </c>
      <c r="J180" s="153" t="s">
        <v>416</v>
      </c>
      <c r="K180" s="153" t="s">
        <v>24</v>
      </c>
      <c r="L180" s="247" t="s">
        <v>723</v>
      </c>
      <c r="M180" s="153"/>
      <c r="N180" s="153"/>
      <c r="O180" s="199">
        <f>IFERROR(VLOOKUP($P180,Suppl!$B$2:$N$57,MATCH(BDD!$B180,Suppl!$C$1:$N$1,0)+1,FALSE),"")</f>
        <v>0</v>
      </c>
      <c r="P180" s="153" t="str">
        <f t="shared" si="20"/>
        <v>24</v>
      </c>
    </row>
    <row r="181" spans="1:16" ht="15" customHeight="1" x14ac:dyDescent="0.3">
      <c r="A181" s="155" t="str">
        <f t="shared" si="19"/>
        <v>525</v>
      </c>
      <c r="B181" s="182">
        <f t="shared" si="22"/>
        <v>5</v>
      </c>
      <c r="C181" s="156" t="str">
        <f t="shared" si="23"/>
        <v>Données &amp; IA</v>
      </c>
      <c r="D181" s="156" t="s">
        <v>261</v>
      </c>
      <c r="E181" s="168">
        <v>2</v>
      </c>
      <c r="F181" s="156" t="s">
        <v>302</v>
      </c>
      <c r="G181" s="406" t="s">
        <v>403</v>
      </c>
      <c r="H181" s="185" t="s">
        <v>164</v>
      </c>
      <c r="I181" s="162">
        <v>5</v>
      </c>
      <c r="J181" s="153" t="s">
        <v>417</v>
      </c>
      <c r="K181" s="153" t="s">
        <v>23</v>
      </c>
      <c r="L181" s="247" t="s">
        <v>724</v>
      </c>
      <c r="M181" s="153"/>
      <c r="N181" s="153"/>
      <c r="O181" s="199">
        <f>IFERROR(VLOOKUP($P181,Suppl!$B$2:$N$57,MATCH(BDD!$B181,Suppl!$C$1:$N$1,0)+1,FALSE),"")</f>
        <v>0</v>
      </c>
      <c r="P181" s="153" t="str">
        <f t="shared" si="20"/>
        <v>25</v>
      </c>
    </row>
    <row r="182" spans="1:16" ht="15" customHeight="1" x14ac:dyDescent="0.3">
      <c r="A182" s="155" t="str">
        <f t="shared" si="19"/>
        <v>526</v>
      </c>
      <c r="B182" s="182">
        <f t="shared" si="22"/>
        <v>5</v>
      </c>
      <c r="C182" s="156" t="str">
        <f t="shared" si="23"/>
        <v>Données &amp; IA</v>
      </c>
      <c r="D182" s="156" t="s">
        <v>261</v>
      </c>
      <c r="E182" s="168">
        <v>2</v>
      </c>
      <c r="F182" s="156" t="s">
        <v>302</v>
      </c>
      <c r="G182" s="406" t="s">
        <v>403</v>
      </c>
      <c r="H182" s="185" t="s">
        <v>164</v>
      </c>
      <c r="I182" s="162">
        <v>6</v>
      </c>
      <c r="J182" s="153" t="s">
        <v>418</v>
      </c>
      <c r="K182" s="153" t="s">
        <v>25</v>
      </c>
      <c r="L182" s="247" t="s">
        <v>725</v>
      </c>
      <c r="M182" s="153"/>
      <c r="N182" s="153"/>
      <c r="O182" s="199">
        <f>IFERROR(VLOOKUP($P182,Suppl!$B$2:$N$57,MATCH(BDD!$B182,Suppl!$C$1:$N$1,0)+1,FALSE),"")</f>
        <v>0</v>
      </c>
      <c r="P182" s="153" t="str">
        <f t="shared" si="20"/>
        <v>26</v>
      </c>
    </row>
    <row r="183" spans="1:16" ht="15" customHeight="1" x14ac:dyDescent="0.3">
      <c r="A183" s="155" t="str">
        <f t="shared" si="19"/>
        <v>527</v>
      </c>
      <c r="B183" s="183">
        <f t="shared" si="22"/>
        <v>5</v>
      </c>
      <c r="C183" s="157" t="str">
        <f t="shared" si="23"/>
        <v>Données &amp; IA</v>
      </c>
      <c r="D183" s="157" t="s">
        <v>261</v>
      </c>
      <c r="E183" s="169">
        <v>2</v>
      </c>
      <c r="F183" s="157" t="s">
        <v>302</v>
      </c>
      <c r="G183" s="407" t="s">
        <v>403</v>
      </c>
      <c r="H183" s="185" t="s">
        <v>164</v>
      </c>
      <c r="I183" s="171">
        <v>7</v>
      </c>
      <c r="J183" s="154" t="s">
        <v>419</v>
      </c>
      <c r="K183" s="154" t="s">
        <v>26</v>
      </c>
      <c r="L183" s="323"/>
      <c r="M183" s="154"/>
      <c r="N183" s="154"/>
      <c r="O183" s="200">
        <f>IFERROR(VLOOKUP($P183,Suppl!$B$2:$N$57,MATCH(BDD!$B183,Suppl!$C$1:$N$1,0)+1,FALSE),"")</f>
        <v>0</v>
      </c>
      <c r="P183" s="154" t="str">
        <f t="shared" si="20"/>
        <v>27</v>
      </c>
    </row>
    <row r="184" spans="1:16" ht="15" customHeight="1" x14ac:dyDescent="0.3">
      <c r="A184" s="155" t="str">
        <f t="shared" si="19"/>
        <v>531</v>
      </c>
      <c r="B184" s="182">
        <f t="shared" si="22"/>
        <v>5</v>
      </c>
      <c r="C184" s="156" t="str">
        <f t="shared" si="23"/>
        <v>Données &amp; IA</v>
      </c>
      <c r="D184" s="156" t="s">
        <v>261</v>
      </c>
      <c r="E184" s="167">
        <v>3</v>
      </c>
      <c r="F184" s="180" t="s">
        <v>303</v>
      </c>
      <c r="G184" s="413" t="s">
        <v>404</v>
      </c>
      <c r="H184" s="185" t="s">
        <v>164</v>
      </c>
      <c r="I184" s="162">
        <v>1</v>
      </c>
      <c r="J184" s="153" t="s">
        <v>880</v>
      </c>
      <c r="K184" s="153" t="s">
        <v>23</v>
      </c>
      <c r="L184" s="247" t="s">
        <v>1046</v>
      </c>
      <c r="M184" s="153"/>
      <c r="N184" s="153"/>
      <c r="O184" s="199">
        <f>IFERROR(VLOOKUP($P184,Suppl!$B$2:$N$57,MATCH(BDD!$B184,Suppl!$C$1:$N$1,0)+1,FALSE),"")</f>
        <v>0</v>
      </c>
      <c r="P184" s="153" t="str">
        <f t="shared" si="20"/>
        <v>31</v>
      </c>
    </row>
    <row r="185" spans="1:16" ht="15" customHeight="1" x14ac:dyDescent="0.3">
      <c r="A185" s="155" t="str">
        <f t="shared" si="19"/>
        <v>532</v>
      </c>
      <c r="B185" s="182">
        <f t="shared" si="22"/>
        <v>5</v>
      </c>
      <c r="C185" s="156" t="str">
        <f t="shared" si="23"/>
        <v>Données &amp; IA</v>
      </c>
      <c r="D185" s="156" t="s">
        <v>261</v>
      </c>
      <c r="E185" s="168">
        <v>3</v>
      </c>
      <c r="F185" s="156" t="s">
        <v>303</v>
      </c>
      <c r="G185" s="406" t="s">
        <v>404</v>
      </c>
      <c r="H185" s="185" t="s">
        <v>164</v>
      </c>
      <c r="I185" s="162">
        <v>2</v>
      </c>
      <c r="J185" s="153" t="s">
        <v>420</v>
      </c>
      <c r="K185" s="153" t="s">
        <v>24</v>
      </c>
      <c r="L185" s="247" t="s">
        <v>1045</v>
      </c>
      <c r="M185" s="153"/>
      <c r="N185" s="153"/>
      <c r="O185" s="199">
        <f>IFERROR(VLOOKUP($P185,Suppl!$B$2:$N$57,MATCH(BDD!$B185,Suppl!$C$1:$N$1,0)+1,FALSE),"")</f>
        <v>0</v>
      </c>
      <c r="P185" s="153" t="str">
        <f t="shared" si="20"/>
        <v>32</v>
      </c>
    </row>
    <row r="186" spans="1:16" ht="15" customHeight="1" x14ac:dyDescent="0.3">
      <c r="A186" s="155" t="str">
        <f t="shared" si="19"/>
        <v>533</v>
      </c>
      <c r="B186" s="182">
        <f t="shared" si="22"/>
        <v>5</v>
      </c>
      <c r="C186" s="156" t="str">
        <f t="shared" si="23"/>
        <v>Données &amp; IA</v>
      </c>
      <c r="D186" s="156" t="s">
        <v>261</v>
      </c>
      <c r="E186" s="168">
        <v>3</v>
      </c>
      <c r="F186" s="156" t="s">
        <v>303</v>
      </c>
      <c r="G186" s="406" t="s">
        <v>404</v>
      </c>
      <c r="H186" s="185" t="s">
        <v>164</v>
      </c>
      <c r="I186" s="162">
        <v>3</v>
      </c>
      <c r="J186" s="153" t="s">
        <v>421</v>
      </c>
      <c r="K186" s="153" t="s">
        <v>24</v>
      </c>
      <c r="L186" s="247" t="s">
        <v>726</v>
      </c>
      <c r="M186" s="153"/>
      <c r="N186" s="153"/>
      <c r="O186" s="199">
        <f>IFERROR(VLOOKUP($P186,Suppl!$B$2:$N$57,MATCH(BDD!$B186,Suppl!$C$1:$N$1,0)+1,FALSE),"")</f>
        <v>0</v>
      </c>
      <c r="P186" s="153" t="str">
        <f t="shared" si="20"/>
        <v>33</v>
      </c>
    </row>
    <row r="187" spans="1:16" ht="15" customHeight="1" x14ac:dyDescent="0.3">
      <c r="A187" s="155" t="str">
        <f t="shared" si="19"/>
        <v>534</v>
      </c>
      <c r="B187" s="182">
        <f t="shared" si="22"/>
        <v>5</v>
      </c>
      <c r="C187" s="156" t="str">
        <f t="shared" si="23"/>
        <v>Données &amp; IA</v>
      </c>
      <c r="D187" s="156" t="s">
        <v>261</v>
      </c>
      <c r="E187" s="168">
        <v>3</v>
      </c>
      <c r="F187" s="156" t="s">
        <v>303</v>
      </c>
      <c r="G187" s="406" t="s">
        <v>404</v>
      </c>
      <c r="H187" s="185" t="s">
        <v>164</v>
      </c>
      <c r="I187" s="162">
        <v>4</v>
      </c>
      <c r="J187" s="153" t="s">
        <v>422</v>
      </c>
      <c r="K187" s="153" t="s">
        <v>26</v>
      </c>
      <c r="L187" s="247" t="s">
        <v>727</v>
      </c>
      <c r="M187" s="153"/>
      <c r="N187" s="153"/>
      <c r="O187" s="199">
        <f>IFERROR(VLOOKUP($P187,Suppl!$B$2:$N$57,MATCH(BDD!$B187,Suppl!$C$1:$N$1,0)+1,FALSE),"")</f>
        <v>0</v>
      </c>
      <c r="P187" s="153" t="str">
        <f t="shared" si="20"/>
        <v>34</v>
      </c>
    </row>
    <row r="188" spans="1:16" ht="15" customHeight="1" x14ac:dyDescent="0.3">
      <c r="A188" s="155" t="str">
        <f t="shared" si="19"/>
        <v>535</v>
      </c>
      <c r="B188" s="182">
        <f t="shared" si="22"/>
        <v>5</v>
      </c>
      <c r="C188" s="156" t="str">
        <f t="shared" si="23"/>
        <v>Données &amp; IA</v>
      </c>
      <c r="D188" s="156" t="s">
        <v>261</v>
      </c>
      <c r="E188" s="168">
        <v>3</v>
      </c>
      <c r="F188" s="156" t="s">
        <v>303</v>
      </c>
      <c r="G188" s="406" t="s">
        <v>404</v>
      </c>
      <c r="H188" s="185" t="s">
        <v>164</v>
      </c>
      <c r="I188" s="162">
        <v>5</v>
      </c>
      <c r="J188" s="153" t="s">
        <v>423</v>
      </c>
      <c r="K188" s="153" t="s">
        <v>24</v>
      </c>
      <c r="L188" s="247" t="s">
        <v>728</v>
      </c>
      <c r="M188" s="153"/>
      <c r="N188" s="153"/>
      <c r="O188" s="199">
        <f>IFERROR(VLOOKUP($P188,Suppl!$B$2:$N$57,MATCH(BDD!$B188,Suppl!$C$1:$N$1,0)+1,FALSE),"")</f>
        <v>0</v>
      </c>
      <c r="P188" s="153" t="str">
        <f t="shared" si="20"/>
        <v>35</v>
      </c>
    </row>
    <row r="189" spans="1:16" ht="15" customHeight="1" x14ac:dyDescent="0.3">
      <c r="A189" s="155" t="str">
        <f t="shared" si="19"/>
        <v>536</v>
      </c>
      <c r="B189" s="182">
        <f t="shared" si="22"/>
        <v>5</v>
      </c>
      <c r="C189" s="156" t="str">
        <f t="shared" si="23"/>
        <v>Données &amp; IA</v>
      </c>
      <c r="D189" s="156" t="s">
        <v>261</v>
      </c>
      <c r="E189" s="168">
        <v>3</v>
      </c>
      <c r="F189" s="156" t="s">
        <v>303</v>
      </c>
      <c r="G189" s="406" t="s">
        <v>404</v>
      </c>
      <c r="H189" s="185" t="s">
        <v>164</v>
      </c>
      <c r="I189" s="162">
        <v>6</v>
      </c>
      <c r="J189" s="153"/>
      <c r="L189" s="247"/>
      <c r="M189" s="153"/>
      <c r="N189" s="153"/>
      <c r="O189" s="199">
        <f>IFERROR(VLOOKUP($P189,Suppl!$B$2:$N$57,MATCH(BDD!$B189,Suppl!$C$1:$N$1,0)+1,FALSE),"")</f>
        <v>0</v>
      </c>
      <c r="P189" s="153" t="str">
        <f t="shared" si="20"/>
        <v>36</v>
      </c>
    </row>
    <row r="190" spans="1:16" ht="15" customHeight="1" x14ac:dyDescent="0.3">
      <c r="A190" s="155" t="str">
        <f t="shared" si="19"/>
        <v>537</v>
      </c>
      <c r="B190" s="183">
        <f t="shared" si="22"/>
        <v>5</v>
      </c>
      <c r="C190" s="157" t="str">
        <f t="shared" si="23"/>
        <v>Données &amp; IA</v>
      </c>
      <c r="D190" s="157" t="s">
        <v>261</v>
      </c>
      <c r="E190" s="169">
        <v>3</v>
      </c>
      <c r="F190" s="157" t="s">
        <v>303</v>
      </c>
      <c r="G190" s="407" t="s">
        <v>404</v>
      </c>
      <c r="H190" s="185" t="s">
        <v>164</v>
      </c>
      <c r="I190" s="171">
        <v>7</v>
      </c>
      <c r="J190" s="154"/>
      <c r="K190" s="154" t="s">
        <v>164</v>
      </c>
      <c r="L190" s="323"/>
      <c r="M190" s="154"/>
      <c r="N190" s="154"/>
      <c r="O190" s="200">
        <f>IFERROR(VLOOKUP($P190,Suppl!$B$2:$N$57,MATCH(BDD!$B190,Suppl!$C$1:$N$1,0)+1,FALSE),"")</f>
        <v>0</v>
      </c>
      <c r="P190" s="154" t="str">
        <f t="shared" si="20"/>
        <v>37</v>
      </c>
    </row>
    <row r="191" spans="1:16" ht="15" customHeight="1" x14ac:dyDescent="0.3">
      <c r="A191" s="155" t="str">
        <f t="shared" si="19"/>
        <v>541</v>
      </c>
      <c r="B191" s="182">
        <f t="shared" si="22"/>
        <v>5</v>
      </c>
      <c r="C191" s="156" t="str">
        <f t="shared" si="23"/>
        <v>Données &amp; IA</v>
      </c>
      <c r="D191" s="156" t="s">
        <v>261</v>
      </c>
      <c r="E191" s="167">
        <v>4</v>
      </c>
      <c r="F191" s="180" t="s">
        <v>304</v>
      </c>
      <c r="G191" s="413" t="s">
        <v>405</v>
      </c>
      <c r="H191" s="185" t="s">
        <v>407</v>
      </c>
      <c r="I191" s="162">
        <v>1</v>
      </c>
      <c r="J191" s="153" t="s">
        <v>424</v>
      </c>
      <c r="K191" s="153" t="s">
        <v>23</v>
      </c>
      <c r="L191" s="247" t="s">
        <v>729</v>
      </c>
      <c r="M191" s="153"/>
      <c r="N191" s="153"/>
      <c r="O191" s="199">
        <f>IFERROR(VLOOKUP($P191,Suppl!$B$2:$N$57,MATCH(BDD!$B191,Suppl!$C$1:$N$1,0)+1,FALSE),"")</f>
        <v>0</v>
      </c>
      <c r="P191" s="153" t="str">
        <f t="shared" si="20"/>
        <v>41</v>
      </c>
    </row>
    <row r="192" spans="1:16" ht="15" customHeight="1" x14ac:dyDescent="0.3">
      <c r="A192" s="155" t="str">
        <f t="shared" si="19"/>
        <v>542</v>
      </c>
      <c r="B192" s="182">
        <f t="shared" si="22"/>
        <v>5</v>
      </c>
      <c r="C192" s="156" t="str">
        <f t="shared" si="23"/>
        <v>Données &amp; IA</v>
      </c>
      <c r="D192" s="156" t="s">
        <v>261</v>
      </c>
      <c r="E192" s="168">
        <v>4</v>
      </c>
      <c r="F192" s="156" t="s">
        <v>304</v>
      </c>
      <c r="G192" s="406" t="s">
        <v>405</v>
      </c>
      <c r="H192" s="185" t="s">
        <v>164</v>
      </c>
      <c r="I192" s="162">
        <v>2</v>
      </c>
      <c r="J192" s="153" t="s">
        <v>1053</v>
      </c>
      <c r="K192" s="153" t="s">
        <v>22</v>
      </c>
      <c r="L192" s="247"/>
      <c r="M192" s="153"/>
      <c r="N192" s="153"/>
      <c r="O192" s="199">
        <f>IFERROR(VLOOKUP($P192,Suppl!$B$2:$N$57,MATCH(BDD!$B192,Suppl!$C$1:$N$1,0)+1,FALSE),"")</f>
        <v>0</v>
      </c>
      <c r="P192" s="153" t="str">
        <f t="shared" si="20"/>
        <v>42</v>
      </c>
    </row>
    <row r="193" spans="1:16" ht="15" customHeight="1" x14ac:dyDescent="0.3">
      <c r="A193" s="155" t="str">
        <f t="shared" si="19"/>
        <v>543</v>
      </c>
      <c r="B193" s="182">
        <f t="shared" si="22"/>
        <v>5</v>
      </c>
      <c r="C193" s="156" t="str">
        <f t="shared" si="23"/>
        <v>Données &amp; IA</v>
      </c>
      <c r="D193" s="156" t="s">
        <v>261</v>
      </c>
      <c r="E193" s="168">
        <v>4</v>
      </c>
      <c r="F193" s="156" t="s">
        <v>304</v>
      </c>
      <c r="G193" s="406" t="s">
        <v>405</v>
      </c>
      <c r="H193" s="185" t="s">
        <v>164</v>
      </c>
      <c r="I193" s="162">
        <v>3</v>
      </c>
      <c r="J193" s="153" t="s">
        <v>425</v>
      </c>
      <c r="K193" s="153" t="s">
        <v>24</v>
      </c>
      <c r="L193" s="247" t="s">
        <v>730</v>
      </c>
      <c r="M193" s="153"/>
      <c r="N193" s="153"/>
      <c r="O193" s="199">
        <f>IFERROR(VLOOKUP($P193,Suppl!$B$2:$N$57,MATCH(BDD!$B193,Suppl!$C$1:$N$1,0)+1,FALSE),"")</f>
        <v>0</v>
      </c>
      <c r="P193" s="153" t="str">
        <f t="shared" si="20"/>
        <v>43</v>
      </c>
    </row>
    <row r="194" spans="1:16" ht="15" customHeight="1" x14ac:dyDescent="0.3">
      <c r="A194" s="155" t="str">
        <f t="shared" si="19"/>
        <v>544</v>
      </c>
      <c r="B194" s="182">
        <f t="shared" si="22"/>
        <v>5</v>
      </c>
      <c r="C194" s="156" t="str">
        <f t="shared" si="23"/>
        <v>Données &amp; IA</v>
      </c>
      <c r="D194" s="156" t="s">
        <v>261</v>
      </c>
      <c r="E194" s="168">
        <v>4</v>
      </c>
      <c r="F194" s="156" t="s">
        <v>304</v>
      </c>
      <c r="G194" s="406" t="s">
        <v>405</v>
      </c>
      <c r="H194" s="185" t="s">
        <v>164</v>
      </c>
      <c r="I194" s="162">
        <v>4</v>
      </c>
      <c r="J194" s="153" t="s">
        <v>426</v>
      </c>
      <c r="K194" s="153" t="s">
        <v>22</v>
      </c>
      <c r="L194" s="247" t="s">
        <v>731</v>
      </c>
      <c r="M194" s="153"/>
      <c r="N194" s="153"/>
      <c r="O194" s="199">
        <f>IFERROR(VLOOKUP($P194,Suppl!$B$2:$N$57,MATCH(BDD!$B194,Suppl!$C$1:$N$1,0)+1,FALSE),"")</f>
        <v>0</v>
      </c>
      <c r="P194" s="153" t="str">
        <f t="shared" si="20"/>
        <v>44</v>
      </c>
    </row>
    <row r="195" spans="1:16" ht="15" customHeight="1" x14ac:dyDescent="0.3">
      <c r="A195" s="155" t="str">
        <f t="shared" si="19"/>
        <v>545</v>
      </c>
      <c r="B195" s="182">
        <f t="shared" si="22"/>
        <v>5</v>
      </c>
      <c r="C195" s="156" t="str">
        <f t="shared" si="23"/>
        <v>Données &amp; IA</v>
      </c>
      <c r="D195" s="156" t="s">
        <v>261</v>
      </c>
      <c r="E195" s="168">
        <v>4</v>
      </c>
      <c r="F195" s="156" t="s">
        <v>304</v>
      </c>
      <c r="G195" s="406" t="s">
        <v>405</v>
      </c>
      <c r="H195" s="185" t="s">
        <v>164</v>
      </c>
      <c r="I195" s="162">
        <v>5</v>
      </c>
      <c r="J195" s="153" t="s">
        <v>427</v>
      </c>
      <c r="K195" s="153" t="s">
        <v>22</v>
      </c>
      <c r="L195" s="247"/>
      <c r="M195" s="153"/>
      <c r="N195" s="153"/>
      <c r="O195" s="199">
        <f>IFERROR(VLOOKUP($P195,Suppl!$B$2:$N$57,MATCH(BDD!$B195,Suppl!$C$1:$N$1,0)+1,FALSE),"")</f>
        <v>0</v>
      </c>
      <c r="P195" s="153" t="str">
        <f t="shared" si="20"/>
        <v>45</v>
      </c>
    </row>
    <row r="196" spans="1:16" ht="15" customHeight="1" x14ac:dyDescent="0.3">
      <c r="A196" s="155" t="str">
        <f t="shared" si="19"/>
        <v>546</v>
      </c>
      <c r="B196" s="182">
        <f t="shared" si="22"/>
        <v>5</v>
      </c>
      <c r="C196" s="156" t="str">
        <f t="shared" si="23"/>
        <v>Données &amp; IA</v>
      </c>
      <c r="D196" s="156" t="s">
        <v>261</v>
      </c>
      <c r="E196" s="168">
        <v>4</v>
      </c>
      <c r="F196" s="156" t="s">
        <v>304</v>
      </c>
      <c r="G196" s="406" t="s">
        <v>405</v>
      </c>
      <c r="H196" s="185" t="s">
        <v>164</v>
      </c>
      <c r="I196" s="162">
        <v>6</v>
      </c>
      <c r="J196" s="153"/>
      <c r="K196" s="153" t="s">
        <v>164</v>
      </c>
      <c r="L196" s="247"/>
      <c r="M196" s="153"/>
      <c r="N196" s="153"/>
      <c r="O196" s="199">
        <f>IFERROR(VLOOKUP($P196,Suppl!$B$2:$N$57,MATCH(BDD!$B196,Suppl!$C$1:$N$1,0)+1,FALSE),"")</f>
        <v>0</v>
      </c>
      <c r="P196" s="153" t="str">
        <f t="shared" si="20"/>
        <v>46</v>
      </c>
    </row>
    <row r="197" spans="1:16" ht="15" customHeight="1" x14ac:dyDescent="0.3">
      <c r="A197" s="155" t="str">
        <f t="shared" si="19"/>
        <v>547</v>
      </c>
      <c r="B197" s="183">
        <f t="shared" si="22"/>
        <v>5</v>
      </c>
      <c r="C197" s="157" t="str">
        <f t="shared" si="23"/>
        <v>Données &amp; IA</v>
      </c>
      <c r="D197" s="157" t="s">
        <v>261</v>
      </c>
      <c r="E197" s="169">
        <v>4</v>
      </c>
      <c r="F197" s="157" t="s">
        <v>304</v>
      </c>
      <c r="G197" s="407" t="s">
        <v>405</v>
      </c>
      <c r="H197" s="185" t="s">
        <v>164</v>
      </c>
      <c r="I197" s="171">
        <v>7</v>
      </c>
      <c r="J197" s="154"/>
      <c r="K197" s="154" t="s">
        <v>164</v>
      </c>
      <c r="L197" s="323"/>
      <c r="M197" s="154"/>
      <c r="N197" s="154"/>
      <c r="O197" s="200">
        <f>IFERROR(VLOOKUP($P197,Suppl!$B$2:$N$57,MATCH(BDD!$B197,Suppl!$C$1:$N$1,0)+1,FALSE),"")</f>
        <v>0</v>
      </c>
      <c r="P197" s="154" t="str">
        <f t="shared" si="20"/>
        <v>47</v>
      </c>
    </row>
    <row r="198" spans="1:16" ht="15" customHeight="1" x14ac:dyDescent="0.3">
      <c r="A198" s="155" t="str">
        <f t="shared" si="19"/>
        <v>551</v>
      </c>
      <c r="B198" s="182">
        <f t="shared" si="22"/>
        <v>5</v>
      </c>
      <c r="C198" s="156" t="str">
        <f t="shared" si="23"/>
        <v>Données &amp; IA</v>
      </c>
      <c r="D198" s="156" t="s">
        <v>261</v>
      </c>
      <c r="E198" s="167">
        <v>5</v>
      </c>
      <c r="F198" s="180" t="s">
        <v>305</v>
      </c>
      <c r="G198" s="413" t="s">
        <v>406</v>
      </c>
      <c r="H198" s="185" t="s">
        <v>164</v>
      </c>
      <c r="I198" s="162">
        <v>1</v>
      </c>
      <c r="J198" s="153" t="s">
        <v>428</v>
      </c>
      <c r="K198" s="153" t="s">
        <v>24</v>
      </c>
      <c r="L198" s="247"/>
      <c r="M198" s="153"/>
      <c r="N198" s="153"/>
      <c r="O198" s="199">
        <f>IFERROR(VLOOKUP($P198,Suppl!$B$2:$N$57,MATCH(BDD!$B198,Suppl!$C$1:$N$1,0)+1,FALSE),"")</f>
        <v>0</v>
      </c>
      <c r="P198" s="153" t="str">
        <f t="shared" si="20"/>
        <v>51</v>
      </c>
    </row>
    <row r="199" spans="1:16" ht="15" customHeight="1" x14ac:dyDescent="0.3">
      <c r="A199" s="155" t="str">
        <f t="shared" si="19"/>
        <v>552</v>
      </c>
      <c r="B199" s="182">
        <f t="shared" si="22"/>
        <v>5</v>
      </c>
      <c r="C199" s="156" t="str">
        <f t="shared" si="23"/>
        <v>Données &amp; IA</v>
      </c>
      <c r="D199" s="156" t="s">
        <v>261</v>
      </c>
      <c r="E199" s="168">
        <v>5</v>
      </c>
      <c r="F199" s="156" t="s">
        <v>305</v>
      </c>
      <c r="G199" s="406" t="s">
        <v>406</v>
      </c>
      <c r="H199" s="185" t="s">
        <v>164</v>
      </c>
      <c r="I199" s="162">
        <v>2</v>
      </c>
      <c r="J199" s="153" t="s">
        <v>429</v>
      </c>
      <c r="K199" s="153" t="s">
        <v>24</v>
      </c>
      <c r="L199" s="247"/>
      <c r="M199" s="153"/>
      <c r="N199" s="153"/>
      <c r="O199" s="199">
        <f>IFERROR(VLOOKUP($P199,Suppl!$B$2:$N$57,MATCH(BDD!$B199,Suppl!$C$1:$N$1,0)+1,FALSE),"")</f>
        <v>0</v>
      </c>
      <c r="P199" s="153" t="str">
        <f t="shared" si="20"/>
        <v>52</v>
      </c>
    </row>
    <row r="200" spans="1:16" ht="15" customHeight="1" x14ac:dyDescent="0.3">
      <c r="A200" s="155" t="str">
        <f t="shared" si="19"/>
        <v>553</v>
      </c>
      <c r="B200" s="182">
        <f t="shared" si="22"/>
        <v>5</v>
      </c>
      <c r="C200" s="156" t="str">
        <f t="shared" si="23"/>
        <v>Données &amp; IA</v>
      </c>
      <c r="D200" s="156" t="s">
        <v>261</v>
      </c>
      <c r="E200" s="168">
        <v>5</v>
      </c>
      <c r="F200" s="156" t="s">
        <v>305</v>
      </c>
      <c r="G200" s="406" t="s">
        <v>406</v>
      </c>
      <c r="H200" s="185" t="s">
        <v>164</v>
      </c>
      <c r="I200" s="162">
        <v>3</v>
      </c>
      <c r="J200" s="153" t="s">
        <v>430</v>
      </c>
      <c r="K200" s="153" t="s">
        <v>25</v>
      </c>
      <c r="L200" s="247"/>
      <c r="M200" s="153"/>
      <c r="N200" s="153"/>
      <c r="O200" s="199">
        <f>IFERROR(VLOOKUP($P200,Suppl!$B$2:$N$57,MATCH(BDD!$B200,Suppl!$C$1:$N$1,0)+1,FALSE),"")</f>
        <v>0</v>
      </c>
      <c r="P200" s="153" t="str">
        <f t="shared" si="20"/>
        <v>53</v>
      </c>
    </row>
    <row r="201" spans="1:16" ht="15" customHeight="1" x14ac:dyDescent="0.3">
      <c r="A201" s="155" t="str">
        <f t="shared" si="19"/>
        <v>554</v>
      </c>
      <c r="B201" s="182">
        <f t="shared" si="22"/>
        <v>5</v>
      </c>
      <c r="C201" s="156" t="str">
        <f t="shared" si="23"/>
        <v>Données &amp; IA</v>
      </c>
      <c r="D201" s="156" t="s">
        <v>261</v>
      </c>
      <c r="E201" s="168">
        <v>5</v>
      </c>
      <c r="F201" s="156" t="s">
        <v>305</v>
      </c>
      <c r="G201" s="406" t="s">
        <v>406</v>
      </c>
      <c r="H201" s="185" t="s">
        <v>164</v>
      </c>
      <c r="I201" s="162">
        <v>4</v>
      </c>
      <c r="J201" s="153" t="s">
        <v>431</v>
      </c>
      <c r="K201" s="153" t="s">
        <v>25</v>
      </c>
      <c r="L201" s="247"/>
      <c r="M201" s="153"/>
      <c r="N201" s="153"/>
      <c r="O201" s="199">
        <f>IFERROR(VLOOKUP($P201,Suppl!$B$2:$N$57,MATCH(BDD!$B201,Suppl!$C$1:$N$1,0)+1,FALSE),"")</f>
        <v>0</v>
      </c>
      <c r="P201" s="153" t="str">
        <f t="shared" si="20"/>
        <v>54</v>
      </c>
    </row>
    <row r="202" spans="1:16" ht="15" customHeight="1" x14ac:dyDescent="0.3">
      <c r="A202" s="155" t="str">
        <f t="shared" ref="A202:A265" si="24">B202&amp;E202&amp;I202</f>
        <v>555</v>
      </c>
      <c r="B202" s="182">
        <f t="shared" si="22"/>
        <v>5</v>
      </c>
      <c r="C202" s="156" t="str">
        <f t="shared" si="23"/>
        <v>Données &amp; IA</v>
      </c>
      <c r="D202" s="156" t="s">
        <v>261</v>
      </c>
      <c r="E202" s="168">
        <v>5</v>
      </c>
      <c r="F202" s="156" t="s">
        <v>305</v>
      </c>
      <c r="G202" s="406" t="s">
        <v>406</v>
      </c>
      <c r="H202" s="185" t="s">
        <v>164</v>
      </c>
      <c r="I202" s="162">
        <v>5</v>
      </c>
      <c r="J202" s="153" t="s">
        <v>432</v>
      </c>
      <c r="K202" s="153" t="s">
        <v>25</v>
      </c>
      <c r="L202" s="247"/>
      <c r="M202" s="153"/>
      <c r="N202" s="153"/>
      <c r="O202" s="199">
        <f>IFERROR(VLOOKUP($P202,Suppl!$B$2:$N$57,MATCH(BDD!$B202,Suppl!$C$1:$N$1,0)+1,FALSE),"")</f>
        <v>0</v>
      </c>
      <c r="P202" s="153" t="str">
        <f t="shared" ref="P202:P265" si="25">E202&amp;I202</f>
        <v>55</v>
      </c>
    </row>
    <row r="203" spans="1:16" ht="15" customHeight="1" x14ac:dyDescent="0.3">
      <c r="A203" s="155" t="str">
        <f t="shared" si="24"/>
        <v>556</v>
      </c>
      <c r="B203" s="182">
        <f t="shared" si="22"/>
        <v>5</v>
      </c>
      <c r="C203" s="156" t="str">
        <f t="shared" si="23"/>
        <v>Données &amp; IA</v>
      </c>
      <c r="D203" s="156" t="s">
        <v>261</v>
      </c>
      <c r="E203" s="168">
        <v>5</v>
      </c>
      <c r="F203" s="156" t="s">
        <v>305</v>
      </c>
      <c r="G203" s="406" t="s">
        <v>406</v>
      </c>
      <c r="H203" s="185" t="s">
        <v>164</v>
      </c>
      <c r="I203" s="162">
        <v>6</v>
      </c>
      <c r="J203" s="153" t="s">
        <v>433</v>
      </c>
      <c r="K203" s="153" t="s">
        <v>23</v>
      </c>
      <c r="L203" s="247"/>
      <c r="M203" s="153"/>
      <c r="N203" s="153"/>
      <c r="O203" s="199">
        <f>IFERROR(VLOOKUP($P203,Suppl!$B$2:$N$57,MATCH(BDD!$B203,Suppl!$C$1:$N$1,0)+1,FALSE),"")</f>
        <v>0</v>
      </c>
      <c r="P203" s="153" t="str">
        <f t="shared" si="25"/>
        <v>56</v>
      </c>
    </row>
    <row r="204" spans="1:16" ht="15" customHeight="1" thickBot="1" x14ac:dyDescent="0.35">
      <c r="A204" s="155" t="str">
        <f t="shared" si="24"/>
        <v>557</v>
      </c>
      <c r="B204" s="184">
        <f>B203</f>
        <v>5</v>
      </c>
      <c r="C204" s="160" t="str">
        <f>C203</f>
        <v>Données &amp; IA</v>
      </c>
      <c r="D204" s="160" t="s">
        <v>261</v>
      </c>
      <c r="E204" s="170">
        <v>5</v>
      </c>
      <c r="F204" s="160" t="s">
        <v>305</v>
      </c>
      <c r="G204" s="410" t="s">
        <v>406</v>
      </c>
      <c r="H204" s="204" t="s">
        <v>164</v>
      </c>
      <c r="I204" s="172">
        <v>7</v>
      </c>
      <c r="J204" s="158" t="s">
        <v>434</v>
      </c>
      <c r="K204" s="158" t="s">
        <v>26</v>
      </c>
      <c r="L204" s="254"/>
      <c r="M204" s="179"/>
      <c r="N204" s="179"/>
      <c r="O204" s="201">
        <f>IFERROR(VLOOKUP($P204,Suppl!$B$2:$N$57,MATCH(BDD!$B204,Suppl!$C$1:$N$1,0)+1,FALSE),"")</f>
        <v>0</v>
      </c>
      <c r="P204" s="158" t="str">
        <f t="shared" si="25"/>
        <v>57</v>
      </c>
    </row>
    <row r="205" spans="1:16" ht="15" customHeight="1" x14ac:dyDescent="0.3">
      <c r="A205" s="155" t="str">
        <f t="shared" si="24"/>
        <v>611</v>
      </c>
      <c r="B205" s="162">
        <v>6</v>
      </c>
      <c r="C205" s="153" t="s">
        <v>96</v>
      </c>
      <c r="D205" s="153" t="s">
        <v>283</v>
      </c>
      <c r="E205" s="167">
        <v>1</v>
      </c>
      <c r="F205" s="153" t="s">
        <v>306</v>
      </c>
      <c r="G205" s="408" t="s">
        <v>701</v>
      </c>
      <c r="H205" s="185" t="s">
        <v>1071</v>
      </c>
      <c r="I205" s="162">
        <v>1</v>
      </c>
      <c r="J205" s="153" t="s">
        <v>442</v>
      </c>
      <c r="K205" s="153" t="s">
        <v>22</v>
      </c>
      <c r="L205" s="247" t="s">
        <v>1047</v>
      </c>
      <c r="M205" s="186" t="s">
        <v>271</v>
      </c>
      <c r="N205" s="187" t="s">
        <v>277</v>
      </c>
      <c r="O205" s="199">
        <f>IFERROR(VLOOKUP($P205,Suppl!$B$2:$N$57,MATCH(BDD!$B205,Suppl!$C$1:$N$1,0)+1,FALSE),"")</f>
        <v>0</v>
      </c>
      <c r="P205" s="153" t="str">
        <f t="shared" si="25"/>
        <v>11</v>
      </c>
    </row>
    <row r="206" spans="1:16" ht="15" customHeight="1" x14ac:dyDescent="0.3">
      <c r="A206" s="155" t="str">
        <f t="shared" si="24"/>
        <v>612</v>
      </c>
      <c r="B206" s="163">
        <f t="shared" ref="B206:C206" si="26">B205</f>
        <v>6</v>
      </c>
      <c r="C206" s="156" t="str">
        <f t="shared" si="26"/>
        <v>Architecture</v>
      </c>
      <c r="D206" s="156" t="s">
        <v>283</v>
      </c>
      <c r="E206" s="168">
        <v>1</v>
      </c>
      <c r="F206" s="156" t="s">
        <v>306</v>
      </c>
      <c r="G206" s="406" t="s">
        <v>701</v>
      </c>
      <c r="H206" s="185" t="s">
        <v>164</v>
      </c>
      <c r="I206" s="162">
        <v>2</v>
      </c>
      <c r="J206" s="153" t="s">
        <v>443</v>
      </c>
      <c r="K206" s="153" t="s">
        <v>23</v>
      </c>
      <c r="L206" s="247" t="s">
        <v>732</v>
      </c>
      <c r="M206" s="174" t="s">
        <v>272</v>
      </c>
      <c r="N206" s="177" t="s">
        <v>278</v>
      </c>
      <c r="O206" s="199">
        <f>IFERROR(VLOOKUP($P206,Suppl!$B$2:$N$57,MATCH(BDD!$B206,Suppl!$C$1:$N$1,0)+1,FALSE),"")</f>
        <v>0</v>
      </c>
      <c r="P206" s="153" t="str">
        <f t="shared" si="25"/>
        <v>12</v>
      </c>
    </row>
    <row r="207" spans="1:16" ht="15" customHeight="1" x14ac:dyDescent="0.3">
      <c r="A207" s="155" t="str">
        <f t="shared" si="24"/>
        <v>613</v>
      </c>
      <c r="B207" s="163">
        <f t="shared" ref="B207:B246" si="27">B206</f>
        <v>6</v>
      </c>
      <c r="C207" s="156" t="str">
        <f t="shared" ref="C207:C246" si="28">C206</f>
        <v>Architecture</v>
      </c>
      <c r="D207" s="156" t="s">
        <v>283</v>
      </c>
      <c r="E207" s="168">
        <v>1</v>
      </c>
      <c r="F207" s="156" t="s">
        <v>306</v>
      </c>
      <c r="G207" s="406" t="s">
        <v>701</v>
      </c>
      <c r="H207" s="185" t="s">
        <v>164</v>
      </c>
      <c r="I207" s="162">
        <v>3</v>
      </c>
      <c r="J207" s="153" t="s">
        <v>444</v>
      </c>
      <c r="K207" s="153" t="s">
        <v>25</v>
      </c>
      <c r="L207" s="247" t="s">
        <v>733</v>
      </c>
      <c r="M207" s="174" t="s">
        <v>273</v>
      </c>
      <c r="N207" s="177" t="s">
        <v>279</v>
      </c>
      <c r="O207" s="199">
        <f>IFERROR(VLOOKUP($P207,Suppl!$B$2:$N$57,MATCH(BDD!$B207,Suppl!$C$1:$N$1,0)+1,FALSE),"")</f>
        <v>0</v>
      </c>
      <c r="P207" s="153" t="str">
        <f t="shared" si="25"/>
        <v>13</v>
      </c>
    </row>
    <row r="208" spans="1:16" ht="15" customHeight="1" x14ac:dyDescent="0.3">
      <c r="A208" s="155" t="str">
        <f t="shared" si="24"/>
        <v>614</v>
      </c>
      <c r="B208" s="163">
        <f t="shared" si="27"/>
        <v>6</v>
      </c>
      <c r="C208" s="156" t="str">
        <f t="shared" si="28"/>
        <v>Architecture</v>
      </c>
      <c r="D208" s="156" t="s">
        <v>283</v>
      </c>
      <c r="E208" s="168">
        <v>1</v>
      </c>
      <c r="F208" s="156" t="s">
        <v>306</v>
      </c>
      <c r="G208" s="406" t="s">
        <v>701</v>
      </c>
      <c r="H208" s="185" t="s">
        <v>164</v>
      </c>
      <c r="I208" s="162">
        <v>4</v>
      </c>
      <c r="J208" s="153" t="s">
        <v>445</v>
      </c>
      <c r="K208" s="153" t="s">
        <v>24</v>
      </c>
      <c r="L208" s="247" t="s">
        <v>734</v>
      </c>
      <c r="M208" s="174" t="s">
        <v>274</v>
      </c>
      <c r="N208" s="177" t="s">
        <v>280</v>
      </c>
      <c r="O208" s="199">
        <f>IFERROR(VLOOKUP($P208,Suppl!$B$2:$N$57,MATCH(BDD!$B208,Suppl!$C$1:$N$1,0)+1,FALSE),"")</f>
        <v>0</v>
      </c>
      <c r="P208" s="153" t="str">
        <f t="shared" si="25"/>
        <v>14</v>
      </c>
    </row>
    <row r="209" spans="1:16" ht="15" customHeight="1" x14ac:dyDescent="0.3">
      <c r="A209" s="155" t="str">
        <f t="shared" si="24"/>
        <v>615</v>
      </c>
      <c r="B209" s="163">
        <f t="shared" si="27"/>
        <v>6</v>
      </c>
      <c r="C209" s="156" t="str">
        <f t="shared" si="28"/>
        <v>Architecture</v>
      </c>
      <c r="D209" s="156" t="s">
        <v>283</v>
      </c>
      <c r="E209" s="168">
        <v>1</v>
      </c>
      <c r="F209" s="156" t="s">
        <v>306</v>
      </c>
      <c r="G209" s="406" t="s">
        <v>701</v>
      </c>
      <c r="H209" s="185" t="s">
        <v>164</v>
      </c>
      <c r="I209" s="162">
        <v>5</v>
      </c>
      <c r="J209" s="153"/>
      <c r="K209" s="153" t="s">
        <v>164</v>
      </c>
      <c r="L209" s="247"/>
      <c r="M209" s="174" t="s">
        <v>275</v>
      </c>
      <c r="N209" s="177" t="s">
        <v>281</v>
      </c>
      <c r="O209" s="199">
        <f>IFERROR(VLOOKUP($P209,Suppl!$B$2:$N$57,MATCH(BDD!$B209,Suppl!$C$1:$N$1,0)+1,FALSE),"")</f>
        <v>0</v>
      </c>
      <c r="P209" s="153" t="str">
        <f t="shared" si="25"/>
        <v>15</v>
      </c>
    </row>
    <row r="210" spans="1:16" ht="15" customHeight="1" x14ac:dyDescent="0.3">
      <c r="A210" s="155" t="str">
        <f t="shared" si="24"/>
        <v>616</v>
      </c>
      <c r="B210" s="163">
        <f t="shared" si="27"/>
        <v>6</v>
      </c>
      <c r="C210" s="156" t="str">
        <f t="shared" si="28"/>
        <v>Architecture</v>
      </c>
      <c r="D210" s="156" t="s">
        <v>283</v>
      </c>
      <c r="E210" s="168">
        <v>1</v>
      </c>
      <c r="F210" s="156" t="s">
        <v>306</v>
      </c>
      <c r="G210" s="406" t="s">
        <v>701</v>
      </c>
      <c r="H210" s="185" t="s">
        <v>164</v>
      </c>
      <c r="I210" s="162">
        <v>6</v>
      </c>
      <c r="J210" s="153"/>
      <c r="K210" s="153" t="s">
        <v>164</v>
      </c>
      <c r="L210" s="247"/>
      <c r="M210" s="174" t="s">
        <v>276</v>
      </c>
      <c r="N210" s="177" t="s">
        <v>282</v>
      </c>
      <c r="O210" s="199">
        <f>IFERROR(VLOOKUP($P210,Suppl!$B$2:$N$57,MATCH(BDD!$B210,Suppl!$C$1:$N$1,0)+1,FALSE),"")</f>
        <v>0</v>
      </c>
      <c r="P210" s="153" t="str">
        <f t="shared" si="25"/>
        <v>16</v>
      </c>
    </row>
    <row r="211" spans="1:16" ht="15" customHeight="1" x14ac:dyDescent="0.3">
      <c r="A211" s="155" t="str">
        <f t="shared" si="24"/>
        <v>617</v>
      </c>
      <c r="B211" s="164">
        <f t="shared" si="27"/>
        <v>6</v>
      </c>
      <c r="C211" s="157" t="str">
        <f t="shared" si="28"/>
        <v>Architecture</v>
      </c>
      <c r="D211" s="157" t="s">
        <v>283</v>
      </c>
      <c r="E211" s="169">
        <v>1</v>
      </c>
      <c r="F211" s="157" t="s">
        <v>306</v>
      </c>
      <c r="G211" s="407" t="s">
        <v>701</v>
      </c>
      <c r="H211" s="185" t="s">
        <v>164</v>
      </c>
      <c r="I211" s="171">
        <v>7</v>
      </c>
      <c r="J211" s="154"/>
      <c r="K211" s="154" t="s">
        <v>164</v>
      </c>
      <c r="L211" s="323"/>
      <c r="M211" s="175"/>
      <c r="N211" s="178"/>
      <c r="O211" s="200">
        <f>IFERROR(VLOOKUP($P211,Suppl!$B$2:$N$57,MATCH(BDD!$B211,Suppl!$C$1:$N$1,0)+1,FALSE),"")</f>
        <v>0</v>
      </c>
      <c r="P211" s="154" t="str">
        <f t="shared" si="25"/>
        <v>17</v>
      </c>
    </row>
    <row r="212" spans="1:16" ht="15" customHeight="1" x14ac:dyDescent="0.3">
      <c r="A212" s="155" t="str">
        <f t="shared" si="24"/>
        <v>621</v>
      </c>
      <c r="B212" s="163">
        <f t="shared" si="27"/>
        <v>6</v>
      </c>
      <c r="C212" s="156" t="str">
        <f t="shared" si="28"/>
        <v>Architecture</v>
      </c>
      <c r="D212" s="156" t="s">
        <v>283</v>
      </c>
      <c r="E212" s="167">
        <v>2</v>
      </c>
      <c r="F212" s="180" t="s">
        <v>307</v>
      </c>
      <c r="G212" s="409" t="s">
        <v>435</v>
      </c>
      <c r="H212" s="185" t="s">
        <v>436</v>
      </c>
      <c r="I212" s="162">
        <v>1</v>
      </c>
      <c r="J212" s="153" t="s">
        <v>446</v>
      </c>
      <c r="K212" s="153" t="s">
        <v>23</v>
      </c>
      <c r="L212" s="247" t="s">
        <v>735</v>
      </c>
      <c r="M212" s="153"/>
      <c r="N212" s="153"/>
      <c r="O212" s="199">
        <f>IFERROR(VLOOKUP($P212,Suppl!$B$2:$N$57,MATCH(BDD!$B212,Suppl!$C$1:$N$1,0)+1,FALSE),"")</f>
        <v>0</v>
      </c>
      <c r="P212" s="153" t="str">
        <f t="shared" si="25"/>
        <v>21</v>
      </c>
    </row>
    <row r="213" spans="1:16" ht="15" customHeight="1" x14ac:dyDescent="0.3">
      <c r="A213" s="155" t="str">
        <f t="shared" si="24"/>
        <v>622</v>
      </c>
      <c r="B213" s="163">
        <f t="shared" si="27"/>
        <v>6</v>
      </c>
      <c r="C213" s="156" t="str">
        <f t="shared" si="28"/>
        <v>Architecture</v>
      </c>
      <c r="D213" s="156" t="s">
        <v>283</v>
      </c>
      <c r="E213" s="168">
        <v>2</v>
      </c>
      <c r="F213" s="156" t="s">
        <v>307</v>
      </c>
      <c r="G213" s="406" t="s">
        <v>435</v>
      </c>
      <c r="H213" s="185" t="s">
        <v>164</v>
      </c>
      <c r="I213" s="162">
        <v>2</v>
      </c>
      <c r="J213" s="153" t="s">
        <v>447</v>
      </c>
      <c r="K213" s="153" t="s">
        <v>22</v>
      </c>
      <c r="L213" s="247" t="s">
        <v>736</v>
      </c>
      <c r="M213" s="153"/>
      <c r="N213" s="153"/>
      <c r="O213" s="199">
        <f>IFERROR(VLOOKUP($P213,Suppl!$B$2:$N$57,MATCH(BDD!$B213,Suppl!$C$1:$N$1,0)+1,FALSE),"")</f>
        <v>0</v>
      </c>
      <c r="P213" s="153" t="str">
        <f t="shared" si="25"/>
        <v>22</v>
      </c>
    </row>
    <row r="214" spans="1:16" ht="15" customHeight="1" x14ac:dyDescent="0.3">
      <c r="A214" s="155" t="str">
        <f t="shared" si="24"/>
        <v>623</v>
      </c>
      <c r="B214" s="163">
        <f t="shared" si="27"/>
        <v>6</v>
      </c>
      <c r="C214" s="156" t="str">
        <f t="shared" si="28"/>
        <v>Architecture</v>
      </c>
      <c r="D214" s="156" t="s">
        <v>283</v>
      </c>
      <c r="E214" s="168">
        <v>2</v>
      </c>
      <c r="F214" s="156" t="s">
        <v>307</v>
      </c>
      <c r="G214" s="406" t="s">
        <v>435</v>
      </c>
      <c r="H214" s="185" t="s">
        <v>164</v>
      </c>
      <c r="I214" s="162">
        <v>3</v>
      </c>
      <c r="J214" s="153" t="s">
        <v>448</v>
      </c>
      <c r="K214" s="153" t="s">
        <v>24</v>
      </c>
      <c r="L214" s="247" t="s">
        <v>737</v>
      </c>
      <c r="M214" s="153"/>
      <c r="N214" s="153"/>
      <c r="O214" s="199">
        <f>IFERROR(VLOOKUP($P214,Suppl!$B$2:$N$57,MATCH(BDD!$B214,Suppl!$C$1:$N$1,0)+1,FALSE),"")</f>
        <v>0</v>
      </c>
      <c r="P214" s="153" t="str">
        <f t="shared" si="25"/>
        <v>23</v>
      </c>
    </row>
    <row r="215" spans="1:16" ht="15" customHeight="1" x14ac:dyDescent="0.3">
      <c r="A215" s="155" t="str">
        <f t="shared" si="24"/>
        <v>624</v>
      </c>
      <c r="B215" s="163">
        <f t="shared" si="27"/>
        <v>6</v>
      </c>
      <c r="C215" s="156" t="str">
        <f t="shared" si="28"/>
        <v>Architecture</v>
      </c>
      <c r="D215" s="156" t="s">
        <v>283</v>
      </c>
      <c r="E215" s="168">
        <v>2</v>
      </c>
      <c r="F215" s="156" t="s">
        <v>307</v>
      </c>
      <c r="G215" s="406" t="s">
        <v>435</v>
      </c>
      <c r="H215" s="185" t="s">
        <v>164</v>
      </c>
      <c r="I215" s="162">
        <v>4</v>
      </c>
      <c r="J215" s="153" t="s">
        <v>449</v>
      </c>
      <c r="K215" s="153" t="s">
        <v>25</v>
      </c>
      <c r="L215" s="247" t="s">
        <v>738</v>
      </c>
      <c r="M215" s="153"/>
      <c r="N215" s="153"/>
      <c r="O215" s="199">
        <f>IFERROR(VLOOKUP($P215,Suppl!$B$2:$N$57,MATCH(BDD!$B215,Suppl!$C$1:$N$1,0)+1,FALSE),"")</f>
        <v>0</v>
      </c>
      <c r="P215" s="153" t="str">
        <f t="shared" si="25"/>
        <v>24</v>
      </c>
    </row>
    <row r="216" spans="1:16" ht="15" customHeight="1" x14ac:dyDescent="0.3">
      <c r="A216" s="155" t="str">
        <f t="shared" si="24"/>
        <v>625</v>
      </c>
      <c r="B216" s="163">
        <f t="shared" si="27"/>
        <v>6</v>
      </c>
      <c r="C216" s="156" t="str">
        <f t="shared" si="28"/>
        <v>Architecture</v>
      </c>
      <c r="D216" s="156" t="s">
        <v>283</v>
      </c>
      <c r="E216" s="168">
        <v>2</v>
      </c>
      <c r="F216" s="156" t="s">
        <v>307</v>
      </c>
      <c r="G216" s="406" t="s">
        <v>435</v>
      </c>
      <c r="H216" s="185" t="s">
        <v>164</v>
      </c>
      <c r="I216" s="162">
        <v>5</v>
      </c>
      <c r="J216" s="153"/>
      <c r="K216" s="153" t="s">
        <v>164</v>
      </c>
      <c r="L216" s="247"/>
      <c r="M216" s="153"/>
      <c r="N216" s="153"/>
      <c r="O216" s="199">
        <f>IFERROR(VLOOKUP($P216,Suppl!$B$2:$N$57,MATCH(BDD!$B216,Suppl!$C$1:$N$1,0)+1,FALSE),"")</f>
        <v>0</v>
      </c>
      <c r="P216" s="153" t="str">
        <f t="shared" si="25"/>
        <v>25</v>
      </c>
    </row>
    <row r="217" spans="1:16" ht="15" customHeight="1" x14ac:dyDescent="0.3">
      <c r="A217" s="155" t="str">
        <f t="shared" si="24"/>
        <v>626</v>
      </c>
      <c r="B217" s="163">
        <f t="shared" si="27"/>
        <v>6</v>
      </c>
      <c r="C217" s="156" t="str">
        <f t="shared" si="28"/>
        <v>Architecture</v>
      </c>
      <c r="D217" s="156" t="s">
        <v>283</v>
      </c>
      <c r="E217" s="168">
        <v>2</v>
      </c>
      <c r="F217" s="156" t="s">
        <v>307</v>
      </c>
      <c r="G217" s="406" t="s">
        <v>435</v>
      </c>
      <c r="H217" s="185" t="s">
        <v>164</v>
      </c>
      <c r="I217" s="162">
        <v>6</v>
      </c>
      <c r="J217" s="153"/>
      <c r="K217" s="153" t="s">
        <v>164</v>
      </c>
      <c r="L217" s="247"/>
      <c r="M217" s="153"/>
      <c r="N217" s="153"/>
      <c r="O217" s="199">
        <f>IFERROR(VLOOKUP($P217,Suppl!$B$2:$N$57,MATCH(BDD!$B217,Suppl!$C$1:$N$1,0)+1,FALSE),"")</f>
        <v>0</v>
      </c>
      <c r="P217" s="153" t="str">
        <f t="shared" si="25"/>
        <v>26</v>
      </c>
    </row>
    <row r="218" spans="1:16" ht="15" customHeight="1" x14ac:dyDescent="0.3">
      <c r="A218" s="155" t="str">
        <f t="shared" si="24"/>
        <v>627</v>
      </c>
      <c r="B218" s="164">
        <f t="shared" si="27"/>
        <v>6</v>
      </c>
      <c r="C218" s="157" t="str">
        <f t="shared" si="28"/>
        <v>Architecture</v>
      </c>
      <c r="D218" s="157" t="s">
        <v>283</v>
      </c>
      <c r="E218" s="169">
        <v>2</v>
      </c>
      <c r="F218" s="157" t="s">
        <v>307</v>
      </c>
      <c r="G218" s="407" t="s">
        <v>435</v>
      </c>
      <c r="H218" s="185" t="s">
        <v>164</v>
      </c>
      <c r="I218" s="171">
        <v>7</v>
      </c>
      <c r="J218" s="154"/>
      <c r="K218" s="154" t="s">
        <v>164</v>
      </c>
      <c r="L218" s="323"/>
      <c r="M218" s="154"/>
      <c r="N218" s="154"/>
      <c r="O218" s="200">
        <f>IFERROR(VLOOKUP($P218,Suppl!$B$2:$N$57,MATCH(BDD!$B218,Suppl!$C$1:$N$1,0)+1,FALSE),"")</f>
        <v>0</v>
      </c>
      <c r="P218" s="154" t="str">
        <f t="shared" si="25"/>
        <v>27</v>
      </c>
    </row>
    <row r="219" spans="1:16" ht="15" customHeight="1" x14ac:dyDescent="0.3">
      <c r="A219" s="155" t="str">
        <f t="shared" si="24"/>
        <v>631</v>
      </c>
      <c r="B219" s="163">
        <f t="shared" si="27"/>
        <v>6</v>
      </c>
      <c r="C219" s="156" t="str">
        <f t="shared" si="28"/>
        <v>Architecture</v>
      </c>
      <c r="D219" s="156" t="s">
        <v>283</v>
      </c>
      <c r="E219" s="167">
        <v>3</v>
      </c>
      <c r="F219" s="180" t="s">
        <v>308</v>
      </c>
      <c r="G219" s="409" t="s">
        <v>437</v>
      </c>
      <c r="H219" s="185" t="s">
        <v>164</v>
      </c>
      <c r="I219" s="162">
        <v>1</v>
      </c>
      <c r="J219" s="153" t="s">
        <v>450</v>
      </c>
      <c r="K219" s="153" t="s">
        <v>22</v>
      </c>
      <c r="L219" s="247"/>
      <c r="M219" s="153"/>
      <c r="N219" s="153"/>
      <c r="O219" s="199">
        <f>IFERROR(VLOOKUP($P219,Suppl!$B$2:$N$57,MATCH(BDD!$B219,Suppl!$C$1:$N$1,0)+1,FALSE),"")</f>
        <v>0</v>
      </c>
      <c r="P219" s="153" t="str">
        <f t="shared" si="25"/>
        <v>31</v>
      </c>
    </row>
    <row r="220" spans="1:16" ht="15" customHeight="1" x14ac:dyDescent="0.3">
      <c r="A220" s="155" t="str">
        <f t="shared" si="24"/>
        <v>632</v>
      </c>
      <c r="B220" s="163">
        <f t="shared" si="27"/>
        <v>6</v>
      </c>
      <c r="C220" s="156" t="str">
        <f t="shared" si="28"/>
        <v>Architecture</v>
      </c>
      <c r="D220" s="156" t="s">
        <v>283</v>
      </c>
      <c r="E220" s="168">
        <v>3</v>
      </c>
      <c r="F220" s="156" t="s">
        <v>308</v>
      </c>
      <c r="G220" s="406" t="s">
        <v>437</v>
      </c>
      <c r="H220" s="185" t="s">
        <v>164</v>
      </c>
      <c r="I220" s="162">
        <v>2</v>
      </c>
      <c r="J220" s="153" t="s">
        <v>451</v>
      </c>
      <c r="K220" s="153" t="s">
        <v>24</v>
      </c>
      <c r="L220" s="247" t="s">
        <v>1048</v>
      </c>
      <c r="M220" s="153"/>
      <c r="N220" s="153"/>
      <c r="O220" s="199">
        <f>IFERROR(VLOOKUP($P220,Suppl!$B$2:$N$57,MATCH(BDD!$B220,Suppl!$C$1:$N$1,0)+1,FALSE),"")</f>
        <v>0</v>
      </c>
      <c r="P220" s="153" t="str">
        <f t="shared" si="25"/>
        <v>32</v>
      </c>
    </row>
    <row r="221" spans="1:16" ht="15" customHeight="1" x14ac:dyDescent="0.3">
      <c r="A221" s="155" t="str">
        <f t="shared" si="24"/>
        <v>633</v>
      </c>
      <c r="B221" s="163">
        <f t="shared" si="27"/>
        <v>6</v>
      </c>
      <c r="C221" s="156" t="str">
        <f t="shared" si="28"/>
        <v>Architecture</v>
      </c>
      <c r="D221" s="156" t="s">
        <v>283</v>
      </c>
      <c r="E221" s="168">
        <v>3</v>
      </c>
      <c r="F221" s="156" t="s">
        <v>308</v>
      </c>
      <c r="G221" s="406" t="s">
        <v>437</v>
      </c>
      <c r="H221" s="185" t="s">
        <v>164</v>
      </c>
      <c r="I221" s="162">
        <v>3</v>
      </c>
      <c r="J221" s="153" t="s">
        <v>1054</v>
      </c>
      <c r="K221" s="153" t="s">
        <v>25</v>
      </c>
      <c r="L221" s="247" t="s">
        <v>1049</v>
      </c>
      <c r="M221" s="153"/>
      <c r="N221" s="153"/>
      <c r="O221" s="199">
        <f>IFERROR(VLOOKUP($P221,Suppl!$B$2:$N$57,MATCH(BDD!$B221,Suppl!$C$1:$N$1,0)+1,FALSE),"")</f>
        <v>0</v>
      </c>
      <c r="P221" s="153" t="str">
        <f t="shared" si="25"/>
        <v>33</v>
      </c>
    </row>
    <row r="222" spans="1:16" ht="15" customHeight="1" x14ac:dyDescent="0.3">
      <c r="A222" s="155" t="str">
        <f t="shared" si="24"/>
        <v>634</v>
      </c>
      <c r="B222" s="163">
        <f t="shared" si="27"/>
        <v>6</v>
      </c>
      <c r="C222" s="156" t="str">
        <f t="shared" si="28"/>
        <v>Architecture</v>
      </c>
      <c r="D222" s="156" t="s">
        <v>283</v>
      </c>
      <c r="E222" s="168">
        <v>3</v>
      </c>
      <c r="F222" s="156" t="s">
        <v>308</v>
      </c>
      <c r="G222" s="406" t="s">
        <v>437</v>
      </c>
      <c r="H222" s="185" t="s">
        <v>164</v>
      </c>
      <c r="I222" s="162">
        <v>4</v>
      </c>
      <c r="J222" s="153" t="s">
        <v>452</v>
      </c>
      <c r="K222" s="153" t="s">
        <v>24</v>
      </c>
      <c r="L222" s="247"/>
      <c r="M222" s="153"/>
      <c r="N222" s="153"/>
      <c r="O222" s="199">
        <f>IFERROR(VLOOKUP($P222,Suppl!$B$2:$N$57,MATCH(BDD!$B222,Suppl!$C$1:$N$1,0)+1,FALSE),"")</f>
        <v>0</v>
      </c>
      <c r="P222" s="153" t="str">
        <f t="shared" si="25"/>
        <v>34</v>
      </c>
    </row>
    <row r="223" spans="1:16" ht="15" customHeight="1" x14ac:dyDescent="0.3">
      <c r="A223" s="155" t="str">
        <f t="shared" si="24"/>
        <v>635</v>
      </c>
      <c r="B223" s="163">
        <f t="shared" si="27"/>
        <v>6</v>
      </c>
      <c r="C223" s="156" t="str">
        <f t="shared" si="28"/>
        <v>Architecture</v>
      </c>
      <c r="D223" s="156" t="s">
        <v>283</v>
      </c>
      <c r="E223" s="168">
        <v>3</v>
      </c>
      <c r="F223" s="156" t="s">
        <v>308</v>
      </c>
      <c r="G223" s="406" t="s">
        <v>437</v>
      </c>
      <c r="H223" s="185" t="s">
        <v>164</v>
      </c>
      <c r="I223" s="162">
        <v>5</v>
      </c>
      <c r="J223" s="153" t="s">
        <v>881</v>
      </c>
      <c r="K223" s="153" t="s">
        <v>25</v>
      </c>
      <c r="L223" s="247" t="s">
        <v>739</v>
      </c>
      <c r="M223" s="153"/>
      <c r="N223" s="153"/>
      <c r="O223" s="199">
        <f>IFERROR(VLOOKUP($P223,Suppl!$B$2:$N$57,MATCH(BDD!$B223,Suppl!$C$1:$N$1,0)+1,FALSE),"")</f>
        <v>0</v>
      </c>
      <c r="P223" s="153" t="str">
        <f t="shared" si="25"/>
        <v>35</v>
      </c>
    </row>
    <row r="224" spans="1:16" ht="15" customHeight="1" x14ac:dyDescent="0.3">
      <c r="A224" s="155" t="str">
        <f t="shared" si="24"/>
        <v>636</v>
      </c>
      <c r="B224" s="163">
        <f t="shared" si="27"/>
        <v>6</v>
      </c>
      <c r="C224" s="156" t="str">
        <f t="shared" si="28"/>
        <v>Architecture</v>
      </c>
      <c r="D224" s="156" t="s">
        <v>283</v>
      </c>
      <c r="E224" s="168">
        <v>3</v>
      </c>
      <c r="F224" s="156" t="s">
        <v>308</v>
      </c>
      <c r="G224" s="406" t="s">
        <v>437</v>
      </c>
      <c r="H224" s="185" t="s">
        <v>164</v>
      </c>
      <c r="I224" s="162">
        <v>6</v>
      </c>
      <c r="J224" s="153"/>
      <c r="K224" s="153" t="s">
        <v>164</v>
      </c>
      <c r="L224" s="247"/>
      <c r="M224" s="153"/>
      <c r="N224" s="153"/>
      <c r="O224" s="199">
        <f>IFERROR(VLOOKUP($P224,Suppl!$B$2:$N$57,MATCH(BDD!$B224,Suppl!$C$1:$N$1,0)+1,FALSE),"")</f>
        <v>0</v>
      </c>
      <c r="P224" s="153" t="str">
        <f t="shared" si="25"/>
        <v>36</v>
      </c>
    </row>
    <row r="225" spans="1:16" ht="15" customHeight="1" x14ac:dyDescent="0.3">
      <c r="A225" s="155" t="str">
        <f t="shared" si="24"/>
        <v>637</v>
      </c>
      <c r="B225" s="164">
        <f t="shared" si="27"/>
        <v>6</v>
      </c>
      <c r="C225" s="157" t="str">
        <f t="shared" si="28"/>
        <v>Architecture</v>
      </c>
      <c r="D225" s="157" t="s">
        <v>283</v>
      </c>
      <c r="E225" s="169">
        <v>3</v>
      </c>
      <c r="F225" s="157" t="s">
        <v>308</v>
      </c>
      <c r="G225" s="407" t="s">
        <v>437</v>
      </c>
      <c r="H225" s="185" t="s">
        <v>164</v>
      </c>
      <c r="I225" s="171">
        <v>7</v>
      </c>
      <c r="J225" s="154"/>
      <c r="K225" s="154" t="s">
        <v>164</v>
      </c>
      <c r="L225" s="323"/>
      <c r="M225" s="154"/>
      <c r="N225" s="154"/>
      <c r="O225" s="200">
        <f>IFERROR(VLOOKUP($P225,Suppl!$B$2:$N$57,MATCH(BDD!$B225,Suppl!$C$1:$N$1,0)+1,FALSE),"")</f>
        <v>0</v>
      </c>
      <c r="P225" s="154" t="str">
        <f t="shared" si="25"/>
        <v>37</v>
      </c>
    </row>
    <row r="226" spans="1:16" ht="15" customHeight="1" x14ac:dyDescent="0.3">
      <c r="A226" s="155" t="str">
        <f t="shared" si="24"/>
        <v>641</v>
      </c>
      <c r="B226" s="163">
        <f t="shared" si="27"/>
        <v>6</v>
      </c>
      <c r="C226" s="156" t="str">
        <f t="shared" si="28"/>
        <v>Architecture</v>
      </c>
      <c r="D226" s="156" t="s">
        <v>283</v>
      </c>
      <c r="E226" s="167">
        <v>4</v>
      </c>
      <c r="F226" s="180" t="s">
        <v>309</v>
      </c>
      <c r="G226" s="409" t="s">
        <v>438</v>
      </c>
      <c r="H226" s="185" t="s">
        <v>164</v>
      </c>
      <c r="I226" s="162">
        <v>1</v>
      </c>
      <c r="J226" s="153" t="s">
        <v>882</v>
      </c>
      <c r="K226" s="153" t="s">
        <v>24</v>
      </c>
      <c r="L226" s="247" t="s">
        <v>740</v>
      </c>
      <c r="M226" s="153"/>
      <c r="N226" s="153"/>
      <c r="O226" s="199">
        <f>IFERROR(VLOOKUP($P226,Suppl!$B$2:$N$57,MATCH(BDD!$B226,Suppl!$C$1:$N$1,0)+1,FALSE),"")</f>
        <v>0</v>
      </c>
      <c r="P226" s="153" t="str">
        <f t="shared" si="25"/>
        <v>41</v>
      </c>
    </row>
    <row r="227" spans="1:16" ht="15" customHeight="1" x14ac:dyDescent="0.3">
      <c r="A227" s="155" t="str">
        <f t="shared" si="24"/>
        <v>642</v>
      </c>
      <c r="B227" s="163">
        <f t="shared" si="27"/>
        <v>6</v>
      </c>
      <c r="C227" s="156" t="str">
        <f t="shared" si="28"/>
        <v>Architecture</v>
      </c>
      <c r="D227" s="156" t="s">
        <v>283</v>
      </c>
      <c r="E227" s="168">
        <v>4</v>
      </c>
      <c r="F227" s="156" t="s">
        <v>309</v>
      </c>
      <c r="G227" s="406" t="s">
        <v>438</v>
      </c>
      <c r="H227" s="185" t="s">
        <v>164</v>
      </c>
      <c r="I227" s="162">
        <v>2</v>
      </c>
      <c r="J227" s="153" t="s">
        <v>453</v>
      </c>
      <c r="K227" s="153" t="s">
        <v>25</v>
      </c>
      <c r="L227" s="247"/>
      <c r="M227" s="153"/>
      <c r="N227" s="153"/>
      <c r="O227" s="199">
        <f>IFERROR(VLOOKUP($P227,Suppl!$B$2:$N$57,MATCH(BDD!$B227,Suppl!$C$1:$N$1,0)+1,FALSE),"")</f>
        <v>0</v>
      </c>
      <c r="P227" s="153" t="str">
        <f t="shared" si="25"/>
        <v>42</v>
      </c>
    </row>
    <row r="228" spans="1:16" ht="15" customHeight="1" x14ac:dyDescent="0.3">
      <c r="A228" s="155" t="str">
        <f t="shared" si="24"/>
        <v>643</v>
      </c>
      <c r="B228" s="163">
        <f t="shared" si="27"/>
        <v>6</v>
      </c>
      <c r="C228" s="156" t="str">
        <f t="shared" si="28"/>
        <v>Architecture</v>
      </c>
      <c r="D228" s="156" t="s">
        <v>283</v>
      </c>
      <c r="E228" s="168">
        <v>4</v>
      </c>
      <c r="F228" s="156" t="s">
        <v>309</v>
      </c>
      <c r="G228" s="406" t="s">
        <v>438</v>
      </c>
      <c r="H228" s="185" t="s">
        <v>164</v>
      </c>
      <c r="I228" s="162">
        <v>3</v>
      </c>
      <c r="J228" s="153" t="s">
        <v>454</v>
      </c>
      <c r="K228" s="153" t="s">
        <v>22</v>
      </c>
      <c r="L228" s="247" t="s">
        <v>741</v>
      </c>
      <c r="M228" s="153"/>
      <c r="N228" s="153"/>
      <c r="O228" s="199">
        <f>IFERROR(VLOOKUP($P228,Suppl!$B$2:$N$57,MATCH(BDD!$B228,Suppl!$C$1:$N$1,0)+1,FALSE),"")</f>
        <v>0</v>
      </c>
      <c r="P228" s="153" t="str">
        <f t="shared" si="25"/>
        <v>43</v>
      </c>
    </row>
    <row r="229" spans="1:16" ht="15" customHeight="1" x14ac:dyDescent="0.3">
      <c r="A229" s="155" t="str">
        <f t="shared" si="24"/>
        <v>644</v>
      </c>
      <c r="B229" s="163">
        <f t="shared" si="27"/>
        <v>6</v>
      </c>
      <c r="C229" s="156" t="str">
        <f t="shared" si="28"/>
        <v>Architecture</v>
      </c>
      <c r="D229" s="156" t="s">
        <v>283</v>
      </c>
      <c r="E229" s="168">
        <v>4</v>
      </c>
      <c r="F229" s="156" t="s">
        <v>309</v>
      </c>
      <c r="G229" s="406" t="s">
        <v>438</v>
      </c>
      <c r="H229" s="185" t="s">
        <v>164</v>
      </c>
      <c r="I229" s="162">
        <v>4</v>
      </c>
      <c r="J229" s="153" t="s">
        <v>455</v>
      </c>
      <c r="K229" s="153" t="s">
        <v>26</v>
      </c>
      <c r="L229" s="247" t="s">
        <v>742</v>
      </c>
      <c r="M229" s="153"/>
      <c r="N229" s="153"/>
      <c r="O229" s="199">
        <f>IFERROR(VLOOKUP($P229,Suppl!$B$2:$N$57,MATCH(BDD!$B229,Suppl!$C$1:$N$1,0)+1,FALSE),"")</f>
        <v>0</v>
      </c>
      <c r="P229" s="153" t="str">
        <f t="shared" si="25"/>
        <v>44</v>
      </c>
    </row>
    <row r="230" spans="1:16" ht="15" customHeight="1" x14ac:dyDescent="0.3">
      <c r="A230" s="155" t="str">
        <f t="shared" si="24"/>
        <v>645</v>
      </c>
      <c r="B230" s="163">
        <f t="shared" si="27"/>
        <v>6</v>
      </c>
      <c r="C230" s="156" t="str">
        <f t="shared" si="28"/>
        <v>Architecture</v>
      </c>
      <c r="D230" s="156" t="s">
        <v>283</v>
      </c>
      <c r="E230" s="168">
        <v>4</v>
      </c>
      <c r="F230" s="156" t="s">
        <v>309</v>
      </c>
      <c r="G230" s="406" t="s">
        <v>438</v>
      </c>
      <c r="H230" s="185" t="s">
        <v>164</v>
      </c>
      <c r="I230" s="162">
        <v>5</v>
      </c>
      <c r="J230" s="153"/>
      <c r="K230" s="153" t="s">
        <v>164</v>
      </c>
      <c r="L230" s="247"/>
      <c r="M230" s="153"/>
      <c r="N230" s="153"/>
      <c r="O230" s="199">
        <f>IFERROR(VLOOKUP($P230,Suppl!$B$2:$N$57,MATCH(BDD!$B230,Suppl!$C$1:$N$1,0)+1,FALSE),"")</f>
        <v>0</v>
      </c>
      <c r="P230" s="153" t="str">
        <f t="shared" si="25"/>
        <v>45</v>
      </c>
    </row>
    <row r="231" spans="1:16" ht="15" customHeight="1" x14ac:dyDescent="0.3">
      <c r="A231" s="155" t="str">
        <f t="shared" si="24"/>
        <v>646</v>
      </c>
      <c r="B231" s="163">
        <f t="shared" si="27"/>
        <v>6</v>
      </c>
      <c r="C231" s="156" t="str">
        <f t="shared" si="28"/>
        <v>Architecture</v>
      </c>
      <c r="D231" s="156" t="s">
        <v>283</v>
      </c>
      <c r="E231" s="168">
        <v>4</v>
      </c>
      <c r="F231" s="156" t="s">
        <v>309</v>
      </c>
      <c r="G231" s="406" t="s">
        <v>438</v>
      </c>
      <c r="H231" s="185" t="s">
        <v>164</v>
      </c>
      <c r="I231" s="162">
        <v>6</v>
      </c>
      <c r="J231" s="153"/>
      <c r="K231" s="153" t="s">
        <v>164</v>
      </c>
      <c r="L231" s="247"/>
      <c r="M231" s="153"/>
      <c r="N231" s="153"/>
      <c r="O231" s="199">
        <f>IFERROR(VLOOKUP($P231,Suppl!$B$2:$N$57,MATCH(BDD!$B231,Suppl!$C$1:$N$1,0)+1,FALSE),"")</f>
        <v>0</v>
      </c>
      <c r="P231" s="153" t="str">
        <f t="shared" si="25"/>
        <v>46</v>
      </c>
    </row>
    <row r="232" spans="1:16" ht="15" customHeight="1" x14ac:dyDescent="0.3">
      <c r="A232" s="155" t="str">
        <f t="shared" si="24"/>
        <v>647</v>
      </c>
      <c r="B232" s="164">
        <f t="shared" si="27"/>
        <v>6</v>
      </c>
      <c r="C232" s="157" t="str">
        <f t="shared" si="28"/>
        <v>Architecture</v>
      </c>
      <c r="D232" s="157" t="s">
        <v>283</v>
      </c>
      <c r="E232" s="169">
        <v>4</v>
      </c>
      <c r="F232" s="157" t="s">
        <v>309</v>
      </c>
      <c r="G232" s="407" t="s">
        <v>438</v>
      </c>
      <c r="H232" s="185" t="s">
        <v>164</v>
      </c>
      <c r="I232" s="171">
        <v>7</v>
      </c>
      <c r="J232" s="154"/>
      <c r="K232" s="154" t="s">
        <v>164</v>
      </c>
      <c r="L232" s="323"/>
      <c r="M232" s="154"/>
      <c r="N232" s="154"/>
      <c r="O232" s="200">
        <f>IFERROR(VLOOKUP($P232,Suppl!$B$2:$N$57,MATCH(BDD!$B232,Suppl!$C$1:$N$1,0)+1,FALSE),"")</f>
        <v>0</v>
      </c>
      <c r="P232" s="154" t="str">
        <f t="shared" si="25"/>
        <v>47</v>
      </c>
    </row>
    <row r="233" spans="1:16" ht="15" customHeight="1" x14ac:dyDescent="0.3">
      <c r="A233" s="155" t="str">
        <f t="shared" si="24"/>
        <v>651</v>
      </c>
      <c r="B233" s="163">
        <f t="shared" si="27"/>
        <v>6</v>
      </c>
      <c r="C233" s="156" t="str">
        <f t="shared" si="28"/>
        <v>Architecture</v>
      </c>
      <c r="D233" s="156" t="s">
        <v>283</v>
      </c>
      <c r="E233" s="167">
        <v>5</v>
      </c>
      <c r="F233" s="180" t="s">
        <v>310</v>
      </c>
      <c r="G233" s="409" t="s">
        <v>439</v>
      </c>
      <c r="H233" s="185" t="s">
        <v>164</v>
      </c>
      <c r="I233" s="162">
        <v>1</v>
      </c>
      <c r="J233" s="153" t="s">
        <v>456</v>
      </c>
      <c r="K233" s="153" t="s">
        <v>22</v>
      </c>
      <c r="L233" s="247" t="s">
        <v>743</v>
      </c>
      <c r="M233" s="153"/>
      <c r="N233" s="153"/>
      <c r="O233" s="199">
        <f>IFERROR(VLOOKUP($P233,Suppl!$B$2:$N$57,MATCH(BDD!$B233,Suppl!$C$1:$N$1,0)+1,FALSE),"")</f>
        <v>0</v>
      </c>
      <c r="P233" s="153" t="str">
        <f t="shared" si="25"/>
        <v>51</v>
      </c>
    </row>
    <row r="234" spans="1:16" ht="15" customHeight="1" x14ac:dyDescent="0.3">
      <c r="A234" s="155" t="str">
        <f t="shared" si="24"/>
        <v>652</v>
      </c>
      <c r="B234" s="163">
        <f t="shared" si="27"/>
        <v>6</v>
      </c>
      <c r="C234" s="156" t="str">
        <f t="shared" si="28"/>
        <v>Architecture</v>
      </c>
      <c r="D234" s="156" t="s">
        <v>283</v>
      </c>
      <c r="E234" s="168">
        <v>5</v>
      </c>
      <c r="F234" s="156" t="s">
        <v>310</v>
      </c>
      <c r="G234" s="406" t="s">
        <v>439</v>
      </c>
      <c r="H234" s="185" t="s">
        <v>164</v>
      </c>
      <c r="I234" s="162">
        <v>2</v>
      </c>
      <c r="J234" s="153" t="s">
        <v>1068</v>
      </c>
      <c r="K234" s="153" t="s">
        <v>23</v>
      </c>
      <c r="L234" s="247" t="s">
        <v>883</v>
      </c>
      <c r="M234" s="153"/>
      <c r="N234" s="153"/>
      <c r="O234" s="199">
        <f>IFERROR(VLOOKUP($P234,Suppl!$B$2:$N$57,MATCH(BDD!$B234,Suppl!$C$1:$N$1,0)+1,FALSE),"")</f>
        <v>0</v>
      </c>
      <c r="P234" s="153" t="str">
        <f t="shared" si="25"/>
        <v>52</v>
      </c>
    </row>
    <row r="235" spans="1:16" ht="15" customHeight="1" x14ac:dyDescent="0.3">
      <c r="A235" s="155" t="str">
        <f t="shared" si="24"/>
        <v>653</v>
      </c>
      <c r="B235" s="163">
        <f t="shared" si="27"/>
        <v>6</v>
      </c>
      <c r="C235" s="156" t="str">
        <f t="shared" si="28"/>
        <v>Architecture</v>
      </c>
      <c r="D235" s="156" t="s">
        <v>283</v>
      </c>
      <c r="E235" s="168">
        <v>5</v>
      </c>
      <c r="F235" s="156" t="s">
        <v>310</v>
      </c>
      <c r="G235" s="406" t="s">
        <v>439</v>
      </c>
      <c r="H235" s="185" t="s">
        <v>164</v>
      </c>
      <c r="I235" s="162">
        <v>3</v>
      </c>
      <c r="J235" s="153" t="s">
        <v>457</v>
      </c>
      <c r="K235" s="153" t="s">
        <v>25</v>
      </c>
      <c r="L235" s="247" t="s">
        <v>744</v>
      </c>
      <c r="M235" s="153"/>
      <c r="N235" s="153"/>
      <c r="O235" s="199">
        <f>IFERROR(VLOOKUP($P235,Suppl!$B$2:$N$57,MATCH(BDD!$B235,Suppl!$C$1:$N$1,0)+1,FALSE),"")</f>
        <v>0</v>
      </c>
      <c r="P235" s="153" t="str">
        <f t="shared" si="25"/>
        <v>53</v>
      </c>
    </row>
    <row r="236" spans="1:16" ht="15" customHeight="1" x14ac:dyDescent="0.3">
      <c r="A236" s="155" t="str">
        <f t="shared" si="24"/>
        <v>654</v>
      </c>
      <c r="B236" s="163">
        <f t="shared" si="27"/>
        <v>6</v>
      </c>
      <c r="C236" s="156" t="str">
        <f t="shared" si="28"/>
        <v>Architecture</v>
      </c>
      <c r="D236" s="156" t="s">
        <v>283</v>
      </c>
      <c r="E236" s="168">
        <v>5</v>
      </c>
      <c r="F236" s="156" t="s">
        <v>310</v>
      </c>
      <c r="G236" s="406" t="s">
        <v>439</v>
      </c>
      <c r="H236" s="185" t="s">
        <v>164</v>
      </c>
      <c r="I236" s="162">
        <v>4</v>
      </c>
      <c r="J236" s="153" t="s">
        <v>458</v>
      </c>
      <c r="K236" s="153" t="s">
        <v>23</v>
      </c>
      <c r="L236" s="247" t="s">
        <v>745</v>
      </c>
      <c r="M236" s="153"/>
      <c r="N236" s="153"/>
      <c r="O236" s="199">
        <f>IFERROR(VLOOKUP($P236,Suppl!$B$2:$N$57,MATCH(BDD!$B236,Suppl!$C$1:$N$1,0)+1,FALSE),"")</f>
        <v>0</v>
      </c>
      <c r="P236" s="153" t="str">
        <f t="shared" si="25"/>
        <v>54</v>
      </c>
    </row>
    <row r="237" spans="1:16" ht="15" customHeight="1" x14ac:dyDescent="0.3">
      <c r="A237" s="155" t="str">
        <f t="shared" si="24"/>
        <v>655</v>
      </c>
      <c r="B237" s="163">
        <f t="shared" si="27"/>
        <v>6</v>
      </c>
      <c r="C237" s="156" t="str">
        <f t="shared" si="28"/>
        <v>Architecture</v>
      </c>
      <c r="D237" s="156" t="s">
        <v>283</v>
      </c>
      <c r="E237" s="168">
        <v>5</v>
      </c>
      <c r="F237" s="156" t="s">
        <v>310</v>
      </c>
      <c r="G237" s="406" t="s">
        <v>439</v>
      </c>
      <c r="H237" s="185" t="s">
        <v>164</v>
      </c>
      <c r="I237" s="162">
        <v>5</v>
      </c>
      <c r="J237" s="153" t="s">
        <v>459</v>
      </c>
      <c r="K237" s="153" t="s">
        <v>24</v>
      </c>
      <c r="L237" s="247" t="s">
        <v>746</v>
      </c>
      <c r="M237" s="153"/>
      <c r="N237" s="153"/>
      <c r="O237" s="199">
        <f>IFERROR(VLOOKUP($P237,Suppl!$B$2:$N$57,MATCH(BDD!$B237,Suppl!$C$1:$N$1,0)+1,FALSE),"")</f>
        <v>0</v>
      </c>
      <c r="P237" s="153" t="str">
        <f t="shared" si="25"/>
        <v>55</v>
      </c>
    </row>
    <row r="238" spans="1:16" ht="15" customHeight="1" x14ac:dyDescent="0.3">
      <c r="A238" s="155" t="str">
        <f t="shared" si="24"/>
        <v>656</v>
      </c>
      <c r="B238" s="163">
        <f t="shared" si="27"/>
        <v>6</v>
      </c>
      <c r="C238" s="156" t="str">
        <f t="shared" si="28"/>
        <v>Architecture</v>
      </c>
      <c r="D238" s="156" t="s">
        <v>283</v>
      </c>
      <c r="E238" s="168">
        <v>5</v>
      </c>
      <c r="F238" s="156" t="s">
        <v>310</v>
      </c>
      <c r="G238" s="406" t="s">
        <v>439</v>
      </c>
      <c r="H238" s="185" t="s">
        <v>164</v>
      </c>
      <c r="I238" s="162">
        <v>6</v>
      </c>
      <c r="J238" s="153" t="s">
        <v>460</v>
      </c>
      <c r="K238" s="153" t="s">
        <v>25</v>
      </c>
      <c r="L238" s="247" t="s">
        <v>747</v>
      </c>
      <c r="M238" s="153"/>
      <c r="N238" s="153"/>
      <c r="O238" s="199">
        <f>IFERROR(VLOOKUP($P238,Suppl!$B$2:$N$57,MATCH(BDD!$B238,Suppl!$C$1:$N$1,0)+1,FALSE),"")</f>
        <v>0</v>
      </c>
      <c r="P238" s="153" t="str">
        <f t="shared" si="25"/>
        <v>56</v>
      </c>
    </row>
    <row r="239" spans="1:16" ht="15" customHeight="1" x14ac:dyDescent="0.3">
      <c r="A239" s="155" t="str">
        <f t="shared" si="24"/>
        <v>657</v>
      </c>
      <c r="B239" s="164">
        <f t="shared" si="27"/>
        <v>6</v>
      </c>
      <c r="C239" s="157" t="str">
        <f t="shared" si="28"/>
        <v>Architecture</v>
      </c>
      <c r="D239" s="157" t="s">
        <v>283</v>
      </c>
      <c r="E239" s="169">
        <v>5</v>
      </c>
      <c r="F239" s="157" t="s">
        <v>310</v>
      </c>
      <c r="G239" s="407" t="s">
        <v>439</v>
      </c>
      <c r="H239" s="185" t="s">
        <v>164</v>
      </c>
      <c r="I239" s="171">
        <v>7</v>
      </c>
      <c r="J239" s="154"/>
      <c r="K239" s="154" t="s">
        <v>164</v>
      </c>
      <c r="L239" s="323"/>
      <c r="M239" s="154"/>
      <c r="N239" s="154"/>
      <c r="O239" s="200">
        <f>IFERROR(VLOOKUP($P239,Suppl!$B$2:$N$57,MATCH(BDD!$B239,Suppl!$C$1:$N$1,0)+1,FALSE),"")</f>
        <v>0</v>
      </c>
      <c r="P239" s="154" t="str">
        <f t="shared" si="25"/>
        <v>57</v>
      </c>
    </row>
    <row r="240" spans="1:16" ht="15" customHeight="1" x14ac:dyDescent="0.3">
      <c r="A240" s="155" t="str">
        <f t="shared" si="24"/>
        <v>661</v>
      </c>
      <c r="B240" s="163">
        <f t="shared" si="27"/>
        <v>6</v>
      </c>
      <c r="C240" s="156" t="str">
        <f t="shared" si="28"/>
        <v>Architecture</v>
      </c>
      <c r="D240" s="156" t="s">
        <v>283</v>
      </c>
      <c r="E240" s="167">
        <v>6</v>
      </c>
      <c r="F240" s="180" t="s">
        <v>311</v>
      </c>
      <c r="G240" s="409" t="s">
        <v>440</v>
      </c>
      <c r="H240" s="185" t="s">
        <v>441</v>
      </c>
      <c r="I240" s="162">
        <v>1</v>
      </c>
      <c r="J240" s="153" t="s">
        <v>461</v>
      </c>
      <c r="K240" s="153" t="s">
        <v>23</v>
      </c>
      <c r="L240" s="255" t="s">
        <v>748</v>
      </c>
      <c r="M240" s="153"/>
      <c r="O240" s="202">
        <f>IFERROR(VLOOKUP($P240,Suppl!$B$2:$N$57,MATCH(BDD!$B240,Suppl!$C$1:$N$1,0)+1,FALSE),"")</f>
        <v>0</v>
      </c>
      <c r="P240" s="155" t="str">
        <f t="shared" si="25"/>
        <v>61</v>
      </c>
    </row>
    <row r="241" spans="1:16" ht="15" customHeight="1" x14ac:dyDescent="0.3">
      <c r="A241" s="155" t="str">
        <f t="shared" si="24"/>
        <v>662</v>
      </c>
      <c r="B241" s="163">
        <f t="shared" si="27"/>
        <v>6</v>
      </c>
      <c r="C241" s="156" t="str">
        <f t="shared" si="28"/>
        <v>Architecture</v>
      </c>
      <c r="D241" s="156" t="s">
        <v>283</v>
      </c>
      <c r="E241" s="168">
        <v>6</v>
      </c>
      <c r="F241" s="156" t="s">
        <v>311</v>
      </c>
      <c r="G241" s="406" t="s">
        <v>440</v>
      </c>
      <c r="H241" s="185" t="s">
        <v>164</v>
      </c>
      <c r="I241" s="162">
        <v>2</v>
      </c>
      <c r="J241" s="153" t="s">
        <v>462</v>
      </c>
      <c r="K241" s="153" t="s">
        <v>23</v>
      </c>
      <c r="L241" s="255" t="s">
        <v>749</v>
      </c>
      <c r="M241" s="153"/>
      <c r="O241" s="202">
        <f>IFERROR(VLOOKUP($P241,Suppl!$B$2:$N$57,MATCH(BDD!$B241,Suppl!$C$1:$N$1,0)+1,FALSE),"")</f>
        <v>0</v>
      </c>
      <c r="P241" s="155" t="str">
        <f t="shared" si="25"/>
        <v>62</v>
      </c>
    </row>
    <row r="242" spans="1:16" ht="15" customHeight="1" x14ac:dyDescent="0.3">
      <c r="A242" s="155" t="str">
        <f t="shared" si="24"/>
        <v>663</v>
      </c>
      <c r="B242" s="163">
        <f t="shared" si="27"/>
        <v>6</v>
      </c>
      <c r="C242" s="156" t="str">
        <f t="shared" si="28"/>
        <v>Architecture</v>
      </c>
      <c r="D242" s="156" t="s">
        <v>283</v>
      </c>
      <c r="E242" s="168">
        <v>6</v>
      </c>
      <c r="F242" s="156" t="s">
        <v>311</v>
      </c>
      <c r="G242" s="406" t="s">
        <v>440</v>
      </c>
      <c r="H242" s="185" t="s">
        <v>164</v>
      </c>
      <c r="I242" s="162">
        <v>3</v>
      </c>
      <c r="J242" s="153" t="s">
        <v>463</v>
      </c>
      <c r="K242" s="153" t="s">
        <v>24</v>
      </c>
      <c r="L242" s="255" t="s">
        <v>750</v>
      </c>
      <c r="M242" s="153"/>
      <c r="O242" s="202">
        <f>IFERROR(VLOOKUP($P242,Suppl!$B$2:$N$57,MATCH(BDD!$B242,Suppl!$C$1:$N$1,0)+1,FALSE),"")</f>
        <v>0</v>
      </c>
      <c r="P242" s="155" t="str">
        <f t="shared" si="25"/>
        <v>63</v>
      </c>
    </row>
    <row r="243" spans="1:16" ht="15" customHeight="1" x14ac:dyDescent="0.3">
      <c r="A243" s="155" t="str">
        <f t="shared" si="24"/>
        <v>664</v>
      </c>
      <c r="B243" s="163">
        <f t="shared" si="27"/>
        <v>6</v>
      </c>
      <c r="C243" s="156" t="str">
        <f t="shared" si="28"/>
        <v>Architecture</v>
      </c>
      <c r="D243" s="156" t="s">
        <v>283</v>
      </c>
      <c r="E243" s="168">
        <v>6</v>
      </c>
      <c r="F243" s="156" t="s">
        <v>311</v>
      </c>
      <c r="G243" s="406" t="s">
        <v>440</v>
      </c>
      <c r="H243" s="185" t="s">
        <v>164</v>
      </c>
      <c r="I243" s="162">
        <v>4</v>
      </c>
      <c r="J243" s="153" t="s">
        <v>464</v>
      </c>
      <c r="K243" s="153" t="s">
        <v>25</v>
      </c>
      <c r="L243" s="255" t="s">
        <v>1050</v>
      </c>
      <c r="M243" s="153"/>
      <c r="O243" s="202">
        <f>IFERROR(VLOOKUP($P243,Suppl!$B$2:$N$57,MATCH(BDD!$B243,Suppl!$C$1:$N$1,0)+1,FALSE),"")</f>
        <v>0</v>
      </c>
      <c r="P243" s="155" t="str">
        <f t="shared" si="25"/>
        <v>64</v>
      </c>
    </row>
    <row r="244" spans="1:16" ht="15" customHeight="1" x14ac:dyDescent="0.3">
      <c r="A244" s="155" t="str">
        <f t="shared" si="24"/>
        <v>665</v>
      </c>
      <c r="B244" s="163">
        <f t="shared" si="27"/>
        <v>6</v>
      </c>
      <c r="C244" s="156" t="str">
        <f t="shared" si="28"/>
        <v>Architecture</v>
      </c>
      <c r="D244" s="156" t="s">
        <v>283</v>
      </c>
      <c r="E244" s="168">
        <v>6</v>
      </c>
      <c r="F244" s="156" t="s">
        <v>311</v>
      </c>
      <c r="G244" s="406" t="s">
        <v>440</v>
      </c>
      <c r="H244" s="185" t="s">
        <v>164</v>
      </c>
      <c r="I244" s="162">
        <v>5</v>
      </c>
      <c r="J244" s="153" t="s">
        <v>465</v>
      </c>
      <c r="K244" s="153" t="s">
        <v>22</v>
      </c>
      <c r="M244" s="153"/>
      <c r="O244" s="202">
        <f>IFERROR(VLOOKUP($P244,Suppl!$B$2:$N$57,MATCH(BDD!$B244,Suppl!$C$1:$N$1,0)+1,FALSE),"")</f>
        <v>0</v>
      </c>
      <c r="P244" s="155" t="str">
        <f t="shared" si="25"/>
        <v>65</v>
      </c>
    </row>
    <row r="245" spans="1:16" ht="15" customHeight="1" x14ac:dyDescent="0.3">
      <c r="A245" s="155" t="str">
        <f t="shared" si="24"/>
        <v>666</v>
      </c>
      <c r="B245" s="163">
        <f t="shared" si="27"/>
        <v>6</v>
      </c>
      <c r="C245" s="156" t="str">
        <f t="shared" si="28"/>
        <v>Architecture</v>
      </c>
      <c r="D245" s="156" t="s">
        <v>283</v>
      </c>
      <c r="E245" s="168">
        <v>6</v>
      </c>
      <c r="F245" s="156" t="s">
        <v>311</v>
      </c>
      <c r="G245" s="406" t="s">
        <v>440</v>
      </c>
      <c r="H245" s="185" t="s">
        <v>164</v>
      </c>
      <c r="I245" s="162">
        <v>6</v>
      </c>
      <c r="J245" s="153" t="s">
        <v>466</v>
      </c>
      <c r="K245" s="153" t="s">
        <v>23</v>
      </c>
      <c r="L245" s="255" t="s">
        <v>751</v>
      </c>
      <c r="M245" s="153"/>
      <c r="O245" s="202">
        <f>IFERROR(VLOOKUP($P245,Suppl!$B$2:$N$57,MATCH(BDD!$B245,Suppl!$C$1:$N$1,0)+1,FALSE),"")</f>
        <v>0</v>
      </c>
      <c r="P245" s="155" t="str">
        <f t="shared" si="25"/>
        <v>66</v>
      </c>
    </row>
    <row r="246" spans="1:16" ht="15" customHeight="1" thickBot="1" x14ac:dyDescent="0.35">
      <c r="A246" s="155" t="str">
        <f t="shared" si="24"/>
        <v>667</v>
      </c>
      <c r="B246" s="165">
        <f t="shared" si="27"/>
        <v>6</v>
      </c>
      <c r="C246" s="160" t="str">
        <f t="shared" si="28"/>
        <v>Architecture</v>
      </c>
      <c r="D246" s="160" t="s">
        <v>283</v>
      </c>
      <c r="E246" s="170">
        <v>6</v>
      </c>
      <c r="F246" s="160" t="s">
        <v>311</v>
      </c>
      <c r="G246" s="410" t="s">
        <v>440</v>
      </c>
      <c r="H246" s="185" t="s">
        <v>164</v>
      </c>
      <c r="I246" s="172">
        <v>7</v>
      </c>
      <c r="J246" s="158" t="s">
        <v>1069</v>
      </c>
      <c r="K246" s="158" t="s">
        <v>25</v>
      </c>
      <c r="L246" s="254" t="s">
        <v>752</v>
      </c>
      <c r="M246" s="158"/>
      <c r="N246" s="158"/>
      <c r="O246" s="201">
        <f>IFERROR(VLOOKUP($P246,Suppl!$B$2:$N$57,MATCH(BDD!$B246,Suppl!$C$1:$N$1,0)+1,FALSE),"")</f>
        <v>0</v>
      </c>
      <c r="P246" s="158" t="str">
        <f t="shared" si="25"/>
        <v>67</v>
      </c>
    </row>
    <row r="247" spans="1:16" ht="15" customHeight="1" x14ac:dyDescent="0.3">
      <c r="A247" s="155" t="str">
        <f t="shared" si="24"/>
        <v>711</v>
      </c>
      <c r="B247" s="181">
        <v>7</v>
      </c>
      <c r="C247" s="153" t="s">
        <v>97</v>
      </c>
      <c r="D247" s="153" t="s">
        <v>284</v>
      </c>
      <c r="E247" s="167">
        <v>1</v>
      </c>
      <c r="F247" s="153" t="s">
        <v>312</v>
      </c>
      <c r="G247" s="408" t="s">
        <v>369</v>
      </c>
      <c r="H247" s="185" t="s">
        <v>367</v>
      </c>
      <c r="I247" s="162">
        <v>1</v>
      </c>
      <c r="J247" s="153" t="s">
        <v>342</v>
      </c>
      <c r="K247" s="153" t="s">
        <v>22</v>
      </c>
      <c r="L247" s="247" t="s">
        <v>753</v>
      </c>
      <c r="M247" s="186" t="s">
        <v>1061</v>
      </c>
      <c r="N247" s="187" t="s">
        <v>285</v>
      </c>
      <c r="O247" s="199">
        <f>IFERROR(VLOOKUP($P247,Suppl!$B$2:$N$57,MATCH(BDD!$B247,Suppl!$C$1:$N$1,0)+1,FALSE),"")</f>
        <v>0</v>
      </c>
      <c r="P247" s="153" t="str">
        <f t="shared" si="25"/>
        <v>11</v>
      </c>
    </row>
    <row r="248" spans="1:16" ht="15" customHeight="1" x14ac:dyDescent="0.3">
      <c r="A248" s="155" t="str">
        <f t="shared" si="24"/>
        <v>712</v>
      </c>
      <c r="B248" s="182">
        <f t="shared" ref="B248:C248" si="29">B247</f>
        <v>7</v>
      </c>
      <c r="C248" s="156" t="str">
        <f t="shared" si="29"/>
        <v>Portefeuille de projets</v>
      </c>
      <c r="D248" s="156" t="s">
        <v>284</v>
      </c>
      <c r="E248" s="168">
        <v>1</v>
      </c>
      <c r="F248" s="156" t="s">
        <v>312</v>
      </c>
      <c r="G248" s="406" t="s">
        <v>369</v>
      </c>
      <c r="H248" s="185" t="s">
        <v>164</v>
      </c>
      <c r="I248" s="162">
        <v>2</v>
      </c>
      <c r="J248" s="153" t="s">
        <v>343</v>
      </c>
      <c r="K248" s="153" t="s">
        <v>23</v>
      </c>
      <c r="L248" s="247" t="s">
        <v>1051</v>
      </c>
      <c r="M248" s="174" t="s">
        <v>1060</v>
      </c>
      <c r="N248" s="177" t="s">
        <v>286</v>
      </c>
      <c r="O248" s="199">
        <f>IFERROR(VLOOKUP($P248,Suppl!$B$2:$N$57,MATCH(BDD!$B248,Suppl!$C$1:$N$1,0)+1,FALSE),"")</f>
        <v>0</v>
      </c>
      <c r="P248" s="153" t="str">
        <f t="shared" si="25"/>
        <v>12</v>
      </c>
    </row>
    <row r="249" spans="1:16" ht="15" customHeight="1" x14ac:dyDescent="0.3">
      <c r="A249" s="155" t="str">
        <f t="shared" si="24"/>
        <v>713</v>
      </c>
      <c r="B249" s="182">
        <f t="shared" ref="B249:B288" si="30">B248</f>
        <v>7</v>
      </c>
      <c r="C249" s="156" t="str">
        <f t="shared" ref="C249:C288" si="31">C248</f>
        <v>Portefeuille de projets</v>
      </c>
      <c r="D249" s="156" t="s">
        <v>284</v>
      </c>
      <c r="E249" s="168">
        <v>1</v>
      </c>
      <c r="F249" s="156" t="s">
        <v>312</v>
      </c>
      <c r="G249" s="406" t="s">
        <v>369</v>
      </c>
      <c r="H249" s="185" t="s">
        <v>164</v>
      </c>
      <c r="I249" s="162">
        <v>3</v>
      </c>
      <c r="J249" s="153" t="s">
        <v>1070</v>
      </c>
      <c r="K249" s="153" t="s">
        <v>23</v>
      </c>
      <c r="L249" s="247"/>
      <c r="M249" s="174" t="s">
        <v>1062</v>
      </c>
      <c r="N249" s="177" t="s">
        <v>1056</v>
      </c>
      <c r="O249" s="199">
        <f>IFERROR(VLOOKUP($P249,Suppl!$B$2:$N$57,MATCH(BDD!$B249,Suppl!$C$1:$N$1,0)+1,FALSE),"")</f>
        <v>0</v>
      </c>
      <c r="P249" s="153" t="str">
        <f t="shared" si="25"/>
        <v>13</v>
      </c>
    </row>
    <row r="250" spans="1:16" ht="15" customHeight="1" x14ac:dyDescent="0.3">
      <c r="A250" s="155" t="str">
        <f t="shared" si="24"/>
        <v>714</v>
      </c>
      <c r="B250" s="182">
        <f t="shared" si="30"/>
        <v>7</v>
      </c>
      <c r="C250" s="156" t="str">
        <f t="shared" si="31"/>
        <v>Portefeuille de projets</v>
      </c>
      <c r="D250" s="156" t="s">
        <v>284</v>
      </c>
      <c r="E250" s="168">
        <v>1</v>
      </c>
      <c r="F250" s="156" t="s">
        <v>312</v>
      </c>
      <c r="G250" s="406" t="s">
        <v>369</v>
      </c>
      <c r="H250" s="185" t="s">
        <v>164</v>
      </c>
      <c r="I250" s="162">
        <v>4</v>
      </c>
      <c r="J250" s="153" t="s">
        <v>344</v>
      </c>
      <c r="K250" s="153" t="s">
        <v>24</v>
      </c>
      <c r="L250" s="247" t="s">
        <v>754</v>
      </c>
      <c r="M250" s="174" t="s">
        <v>1063</v>
      </c>
      <c r="N250" s="177"/>
      <c r="O250" s="199">
        <f>IFERROR(VLOOKUP($P250,Suppl!$B$2:$N$57,MATCH(BDD!$B250,Suppl!$C$1:$N$1,0)+1,FALSE),"")</f>
        <v>0</v>
      </c>
      <c r="P250" s="153" t="str">
        <f t="shared" si="25"/>
        <v>14</v>
      </c>
    </row>
    <row r="251" spans="1:16" ht="15" customHeight="1" x14ac:dyDescent="0.3">
      <c r="A251" s="155" t="str">
        <f t="shared" si="24"/>
        <v>715</v>
      </c>
      <c r="B251" s="182">
        <f t="shared" si="30"/>
        <v>7</v>
      </c>
      <c r="C251" s="156" t="str">
        <f t="shared" si="31"/>
        <v>Portefeuille de projets</v>
      </c>
      <c r="D251" s="156" t="s">
        <v>284</v>
      </c>
      <c r="E251" s="168">
        <v>1</v>
      </c>
      <c r="F251" s="156" t="s">
        <v>312</v>
      </c>
      <c r="G251" s="406" t="s">
        <v>369</v>
      </c>
      <c r="H251" s="185" t="s">
        <v>164</v>
      </c>
      <c r="I251" s="162">
        <v>5</v>
      </c>
      <c r="J251" s="153"/>
      <c r="K251" s="153" t="s">
        <v>164</v>
      </c>
      <c r="L251" s="247"/>
      <c r="M251" s="174"/>
      <c r="N251" s="177"/>
      <c r="O251" s="199">
        <f>IFERROR(VLOOKUP($P251,Suppl!$B$2:$N$57,MATCH(BDD!$B251,Suppl!$C$1:$N$1,0)+1,FALSE),"")</f>
        <v>0</v>
      </c>
      <c r="P251" s="153" t="str">
        <f t="shared" si="25"/>
        <v>15</v>
      </c>
    </row>
    <row r="252" spans="1:16" ht="15" customHeight="1" x14ac:dyDescent="0.3">
      <c r="A252" s="155" t="str">
        <f t="shared" si="24"/>
        <v>716</v>
      </c>
      <c r="B252" s="182">
        <f t="shared" si="30"/>
        <v>7</v>
      </c>
      <c r="C252" s="156" t="str">
        <f t="shared" si="31"/>
        <v>Portefeuille de projets</v>
      </c>
      <c r="D252" s="156" t="s">
        <v>284</v>
      </c>
      <c r="E252" s="168">
        <v>1</v>
      </c>
      <c r="F252" s="156" t="s">
        <v>312</v>
      </c>
      <c r="G252" s="406" t="s">
        <v>369</v>
      </c>
      <c r="H252" s="185" t="s">
        <v>164</v>
      </c>
      <c r="I252" s="162">
        <v>6</v>
      </c>
      <c r="J252" s="153"/>
      <c r="K252" s="153" t="s">
        <v>164</v>
      </c>
      <c r="L252" s="247"/>
      <c r="M252" s="174"/>
      <c r="N252" s="177"/>
      <c r="O252" s="199">
        <f>IFERROR(VLOOKUP($P252,Suppl!$B$2:$N$57,MATCH(BDD!$B252,Suppl!$C$1:$N$1,0)+1,FALSE),"")</f>
        <v>0</v>
      </c>
      <c r="P252" s="153" t="str">
        <f t="shared" si="25"/>
        <v>16</v>
      </c>
    </row>
    <row r="253" spans="1:16" ht="15" customHeight="1" x14ac:dyDescent="0.3">
      <c r="A253" s="155" t="str">
        <f t="shared" si="24"/>
        <v>717</v>
      </c>
      <c r="B253" s="183">
        <f t="shared" si="30"/>
        <v>7</v>
      </c>
      <c r="C253" s="157" t="str">
        <f t="shared" si="31"/>
        <v>Portefeuille de projets</v>
      </c>
      <c r="D253" s="157" t="s">
        <v>284</v>
      </c>
      <c r="E253" s="169">
        <v>1</v>
      </c>
      <c r="F253" s="157" t="s">
        <v>312</v>
      </c>
      <c r="G253" s="407" t="s">
        <v>369</v>
      </c>
      <c r="H253" s="185" t="s">
        <v>164</v>
      </c>
      <c r="I253" s="171">
        <v>7</v>
      </c>
      <c r="J253" s="154"/>
      <c r="K253" s="154" t="s">
        <v>164</v>
      </c>
      <c r="L253" s="323"/>
      <c r="M253" s="175"/>
      <c r="N253" s="178"/>
      <c r="O253" s="200">
        <f>IFERROR(VLOOKUP($P253,Suppl!$B$2:$N$57,MATCH(BDD!$B253,Suppl!$C$1:$N$1,0)+1,FALSE),"")</f>
        <v>0</v>
      </c>
      <c r="P253" s="154" t="str">
        <f t="shared" si="25"/>
        <v>17</v>
      </c>
    </row>
    <row r="254" spans="1:16" ht="15" customHeight="1" x14ac:dyDescent="0.3">
      <c r="A254" s="155" t="str">
        <f t="shared" si="24"/>
        <v>721</v>
      </c>
      <c r="B254" s="182">
        <f t="shared" si="30"/>
        <v>7</v>
      </c>
      <c r="C254" s="156" t="str">
        <f t="shared" si="31"/>
        <v>Portefeuille de projets</v>
      </c>
      <c r="D254" s="156" t="s">
        <v>284</v>
      </c>
      <c r="E254" s="167">
        <v>2</v>
      </c>
      <c r="F254" s="180" t="s">
        <v>313</v>
      </c>
      <c r="G254" s="409" t="s">
        <v>370</v>
      </c>
      <c r="H254" s="185" t="s">
        <v>1081</v>
      </c>
      <c r="I254" s="162">
        <v>1</v>
      </c>
      <c r="J254" s="153" t="s">
        <v>345</v>
      </c>
      <c r="K254" s="153" t="s">
        <v>22</v>
      </c>
      <c r="L254" s="247" t="s">
        <v>1052</v>
      </c>
      <c r="M254" s="153"/>
      <c r="N254" s="153"/>
      <c r="O254" s="199">
        <f>IFERROR(VLOOKUP($P254,Suppl!$B$2:$N$57,MATCH(BDD!$B254,Suppl!$C$1:$N$1,0)+1,FALSE),"")</f>
        <v>0</v>
      </c>
      <c r="P254" s="153" t="str">
        <f t="shared" si="25"/>
        <v>21</v>
      </c>
    </row>
    <row r="255" spans="1:16" ht="15" customHeight="1" x14ac:dyDescent="0.3">
      <c r="A255" s="155" t="str">
        <f t="shared" si="24"/>
        <v>722</v>
      </c>
      <c r="B255" s="182">
        <f t="shared" si="30"/>
        <v>7</v>
      </c>
      <c r="C255" s="156" t="str">
        <f t="shared" si="31"/>
        <v>Portefeuille de projets</v>
      </c>
      <c r="D255" s="156" t="s">
        <v>284</v>
      </c>
      <c r="E255" s="168">
        <v>2</v>
      </c>
      <c r="F255" s="156" t="s">
        <v>313</v>
      </c>
      <c r="G255" s="406" t="s">
        <v>370</v>
      </c>
      <c r="H255" s="185" t="s">
        <v>164</v>
      </c>
      <c r="I255" s="162">
        <v>2</v>
      </c>
      <c r="J255" s="153" t="s">
        <v>346</v>
      </c>
      <c r="K255" s="153" t="s">
        <v>23</v>
      </c>
      <c r="L255" s="247" t="s">
        <v>1057</v>
      </c>
      <c r="M255" s="153"/>
      <c r="N255" s="153"/>
      <c r="O255" s="199">
        <f>IFERROR(VLOOKUP($P255,Suppl!$B$2:$N$57,MATCH(BDD!$B255,Suppl!$C$1:$N$1,0)+1,FALSE),"")</f>
        <v>0</v>
      </c>
      <c r="P255" s="153" t="str">
        <f t="shared" si="25"/>
        <v>22</v>
      </c>
    </row>
    <row r="256" spans="1:16" ht="15" customHeight="1" x14ac:dyDescent="0.3">
      <c r="A256" s="155" t="str">
        <f t="shared" si="24"/>
        <v>723</v>
      </c>
      <c r="B256" s="182">
        <f t="shared" si="30"/>
        <v>7</v>
      </c>
      <c r="C256" s="156" t="str">
        <f t="shared" si="31"/>
        <v>Portefeuille de projets</v>
      </c>
      <c r="D256" s="156" t="s">
        <v>284</v>
      </c>
      <c r="E256" s="168">
        <v>2</v>
      </c>
      <c r="F256" s="156" t="s">
        <v>313</v>
      </c>
      <c r="G256" s="406" t="s">
        <v>370</v>
      </c>
      <c r="H256" s="185" t="s">
        <v>164</v>
      </c>
      <c r="I256" s="162">
        <v>3</v>
      </c>
      <c r="J256" s="153" t="s">
        <v>347</v>
      </c>
      <c r="K256" s="153" t="s">
        <v>24</v>
      </c>
      <c r="L256" s="247" t="s">
        <v>1058</v>
      </c>
      <c r="M256" s="153"/>
      <c r="N256" s="153"/>
      <c r="O256" s="199">
        <f>IFERROR(VLOOKUP($P256,Suppl!$B$2:$N$57,MATCH(BDD!$B256,Suppl!$C$1:$N$1,0)+1,FALSE),"")</f>
        <v>0</v>
      </c>
      <c r="P256" s="153" t="str">
        <f t="shared" si="25"/>
        <v>23</v>
      </c>
    </row>
    <row r="257" spans="1:16" ht="15" customHeight="1" x14ac:dyDescent="0.3">
      <c r="A257" s="155" t="str">
        <f t="shared" si="24"/>
        <v>724</v>
      </c>
      <c r="B257" s="182">
        <f t="shared" si="30"/>
        <v>7</v>
      </c>
      <c r="C257" s="156" t="str">
        <f t="shared" si="31"/>
        <v>Portefeuille de projets</v>
      </c>
      <c r="D257" s="156" t="s">
        <v>284</v>
      </c>
      <c r="E257" s="168">
        <v>2</v>
      </c>
      <c r="F257" s="156" t="s">
        <v>313</v>
      </c>
      <c r="G257" s="406" t="s">
        <v>370</v>
      </c>
      <c r="H257" s="185" t="s">
        <v>164</v>
      </c>
      <c r="I257" s="162">
        <v>4</v>
      </c>
      <c r="J257" s="153" t="s">
        <v>348</v>
      </c>
      <c r="K257" s="153" t="s">
        <v>23</v>
      </c>
      <c r="L257" s="247" t="s">
        <v>755</v>
      </c>
      <c r="M257" s="153"/>
      <c r="N257" s="153"/>
      <c r="O257" s="199">
        <f>IFERROR(VLOOKUP($P257,Suppl!$B$2:$N$57,MATCH(BDD!$B257,Suppl!$C$1:$N$1,0)+1,FALSE),"")</f>
        <v>0</v>
      </c>
      <c r="P257" s="153" t="str">
        <f t="shared" si="25"/>
        <v>24</v>
      </c>
    </row>
    <row r="258" spans="1:16" ht="15" customHeight="1" x14ac:dyDescent="0.3">
      <c r="A258" s="155" t="str">
        <f t="shared" si="24"/>
        <v>725</v>
      </c>
      <c r="B258" s="182">
        <f t="shared" si="30"/>
        <v>7</v>
      </c>
      <c r="C258" s="156" t="str">
        <f t="shared" si="31"/>
        <v>Portefeuille de projets</v>
      </c>
      <c r="D258" s="156" t="s">
        <v>284</v>
      </c>
      <c r="E258" s="168">
        <v>2</v>
      </c>
      <c r="F258" s="156" t="s">
        <v>313</v>
      </c>
      <c r="G258" s="406" t="s">
        <v>370</v>
      </c>
      <c r="H258" s="185" t="s">
        <v>164</v>
      </c>
      <c r="I258" s="162">
        <v>5</v>
      </c>
      <c r="J258" s="153" t="s">
        <v>349</v>
      </c>
      <c r="K258" s="153" t="s">
        <v>25</v>
      </c>
      <c r="L258" s="247" t="s">
        <v>756</v>
      </c>
      <c r="M258" s="153"/>
      <c r="N258" s="153"/>
      <c r="O258" s="199">
        <f>IFERROR(VLOOKUP($P258,Suppl!$B$2:$N$57,MATCH(BDD!$B258,Suppl!$C$1:$N$1,0)+1,FALSE),"")</f>
        <v>0</v>
      </c>
      <c r="P258" s="153" t="str">
        <f t="shared" si="25"/>
        <v>25</v>
      </c>
    </row>
    <row r="259" spans="1:16" ht="15" customHeight="1" x14ac:dyDescent="0.3">
      <c r="A259" s="155" t="str">
        <f t="shared" si="24"/>
        <v>726</v>
      </c>
      <c r="B259" s="182">
        <f t="shared" si="30"/>
        <v>7</v>
      </c>
      <c r="C259" s="156" t="str">
        <f t="shared" si="31"/>
        <v>Portefeuille de projets</v>
      </c>
      <c r="D259" s="156" t="s">
        <v>284</v>
      </c>
      <c r="E259" s="168">
        <v>2</v>
      </c>
      <c r="F259" s="156" t="s">
        <v>313</v>
      </c>
      <c r="G259" s="406" t="s">
        <v>370</v>
      </c>
      <c r="H259" s="185" t="s">
        <v>164</v>
      </c>
      <c r="I259" s="162">
        <v>6</v>
      </c>
      <c r="J259" s="153" t="s">
        <v>350</v>
      </c>
      <c r="K259" s="153" t="s">
        <v>24</v>
      </c>
      <c r="L259" s="247" t="s">
        <v>1059</v>
      </c>
      <c r="M259" s="153"/>
      <c r="N259" s="153"/>
      <c r="O259" s="199">
        <f>IFERROR(VLOOKUP($P259,Suppl!$B$2:$N$57,MATCH(BDD!$B259,Suppl!$C$1:$N$1,0)+1,FALSE),"")</f>
        <v>0</v>
      </c>
      <c r="P259" s="153" t="str">
        <f t="shared" si="25"/>
        <v>26</v>
      </c>
    </row>
    <row r="260" spans="1:16" ht="15" customHeight="1" x14ac:dyDescent="0.3">
      <c r="A260" s="155" t="str">
        <f t="shared" si="24"/>
        <v>727</v>
      </c>
      <c r="B260" s="183">
        <f t="shared" si="30"/>
        <v>7</v>
      </c>
      <c r="C260" s="157" t="str">
        <f t="shared" si="31"/>
        <v>Portefeuille de projets</v>
      </c>
      <c r="D260" s="157" t="s">
        <v>284</v>
      </c>
      <c r="E260" s="169">
        <v>2</v>
      </c>
      <c r="F260" s="157" t="s">
        <v>313</v>
      </c>
      <c r="G260" s="407" t="s">
        <v>370</v>
      </c>
      <c r="H260" s="185" t="s">
        <v>164</v>
      </c>
      <c r="I260" s="171">
        <v>7</v>
      </c>
      <c r="J260" s="154"/>
      <c r="K260" s="154" t="s">
        <v>164</v>
      </c>
      <c r="L260" s="323"/>
      <c r="M260" s="154"/>
      <c r="N260" s="154"/>
      <c r="O260" s="200">
        <f>IFERROR(VLOOKUP($P260,Suppl!$B$2:$N$57,MATCH(BDD!$B260,Suppl!$C$1:$N$1,0)+1,FALSE),"")</f>
        <v>0</v>
      </c>
      <c r="P260" s="154" t="str">
        <f t="shared" si="25"/>
        <v>27</v>
      </c>
    </row>
    <row r="261" spans="1:16" ht="15" customHeight="1" x14ac:dyDescent="0.3">
      <c r="A261" s="155" t="str">
        <f t="shared" si="24"/>
        <v>731</v>
      </c>
      <c r="B261" s="182">
        <f t="shared" si="30"/>
        <v>7</v>
      </c>
      <c r="C261" s="156" t="str">
        <f t="shared" si="31"/>
        <v>Portefeuille de projets</v>
      </c>
      <c r="D261" s="156" t="s">
        <v>284</v>
      </c>
      <c r="E261" s="167">
        <v>3</v>
      </c>
      <c r="F261" s="180" t="s">
        <v>120</v>
      </c>
      <c r="G261" s="409" t="s">
        <v>371</v>
      </c>
      <c r="H261" s="185" t="s">
        <v>368</v>
      </c>
      <c r="I261" s="162">
        <v>1</v>
      </c>
      <c r="J261" s="153" t="s">
        <v>351</v>
      </c>
      <c r="K261" s="153" t="s">
        <v>24</v>
      </c>
      <c r="L261" s="247" t="s">
        <v>757</v>
      </c>
      <c r="M261" s="153"/>
      <c r="N261" s="153"/>
      <c r="O261" s="199">
        <f>IFERROR(VLOOKUP($P261,Suppl!$B$2:$N$57,MATCH(BDD!$B261,Suppl!$C$1:$N$1,0)+1,FALSE),"")</f>
        <v>0</v>
      </c>
      <c r="P261" s="153" t="str">
        <f t="shared" si="25"/>
        <v>31</v>
      </c>
    </row>
    <row r="262" spans="1:16" ht="15" customHeight="1" x14ac:dyDescent="0.3">
      <c r="A262" s="155" t="str">
        <f t="shared" si="24"/>
        <v>732</v>
      </c>
      <c r="B262" s="182">
        <f t="shared" si="30"/>
        <v>7</v>
      </c>
      <c r="C262" s="156" t="str">
        <f t="shared" si="31"/>
        <v>Portefeuille de projets</v>
      </c>
      <c r="D262" s="156" t="s">
        <v>284</v>
      </c>
      <c r="E262" s="168">
        <v>3</v>
      </c>
      <c r="F262" s="156" t="s">
        <v>120</v>
      </c>
      <c r="G262" s="406" t="s">
        <v>371</v>
      </c>
      <c r="H262" s="185" t="s">
        <v>164</v>
      </c>
      <c r="I262" s="162">
        <v>2</v>
      </c>
      <c r="J262" s="153" t="s">
        <v>352</v>
      </c>
      <c r="K262" s="153" t="s">
        <v>24</v>
      </c>
      <c r="L262" s="247" t="s">
        <v>758</v>
      </c>
      <c r="M262" s="153"/>
      <c r="N262" s="153"/>
      <c r="O262" s="199">
        <f>IFERROR(VLOOKUP($P262,Suppl!$B$2:$N$57,MATCH(BDD!$B262,Suppl!$C$1:$N$1,0)+1,FALSE),"")</f>
        <v>0</v>
      </c>
      <c r="P262" s="153" t="str">
        <f t="shared" si="25"/>
        <v>32</v>
      </c>
    </row>
    <row r="263" spans="1:16" ht="15" customHeight="1" x14ac:dyDescent="0.3">
      <c r="A263" s="155" t="str">
        <f t="shared" si="24"/>
        <v>733</v>
      </c>
      <c r="B263" s="182">
        <f t="shared" si="30"/>
        <v>7</v>
      </c>
      <c r="C263" s="156" t="str">
        <f t="shared" si="31"/>
        <v>Portefeuille de projets</v>
      </c>
      <c r="D263" s="156" t="s">
        <v>284</v>
      </c>
      <c r="E263" s="168">
        <v>3</v>
      </c>
      <c r="F263" s="156" t="s">
        <v>120</v>
      </c>
      <c r="G263" s="406" t="s">
        <v>371</v>
      </c>
      <c r="H263" s="185" t="s">
        <v>164</v>
      </c>
      <c r="I263" s="162">
        <v>3</v>
      </c>
      <c r="J263" s="153"/>
      <c r="K263" s="153" t="s">
        <v>164</v>
      </c>
      <c r="L263" s="247"/>
      <c r="M263" s="153"/>
      <c r="N263" s="153"/>
      <c r="O263" s="199">
        <f>IFERROR(VLOOKUP($P263,Suppl!$B$2:$N$57,MATCH(BDD!$B263,Suppl!$C$1:$N$1,0)+1,FALSE),"")</f>
        <v>0</v>
      </c>
      <c r="P263" s="153" t="str">
        <f t="shared" si="25"/>
        <v>33</v>
      </c>
    </row>
    <row r="264" spans="1:16" ht="15" customHeight="1" x14ac:dyDescent="0.3">
      <c r="A264" s="155" t="str">
        <f t="shared" si="24"/>
        <v>734</v>
      </c>
      <c r="B264" s="182">
        <f t="shared" si="30"/>
        <v>7</v>
      </c>
      <c r="C264" s="156" t="str">
        <f t="shared" si="31"/>
        <v>Portefeuille de projets</v>
      </c>
      <c r="D264" s="156" t="s">
        <v>284</v>
      </c>
      <c r="E264" s="168">
        <v>3</v>
      </c>
      <c r="F264" s="156" t="s">
        <v>120</v>
      </c>
      <c r="G264" s="406" t="s">
        <v>371</v>
      </c>
      <c r="H264" s="185" t="s">
        <v>164</v>
      </c>
      <c r="I264" s="162">
        <v>4</v>
      </c>
      <c r="J264" s="153"/>
      <c r="K264" s="153" t="s">
        <v>164</v>
      </c>
      <c r="L264" s="247"/>
      <c r="M264" s="153"/>
      <c r="N264" s="153"/>
      <c r="O264" s="199">
        <f>IFERROR(VLOOKUP($P264,Suppl!$B$2:$N$57,MATCH(BDD!$B264,Suppl!$C$1:$N$1,0)+1,FALSE),"")</f>
        <v>0</v>
      </c>
      <c r="P264" s="153" t="str">
        <f t="shared" si="25"/>
        <v>34</v>
      </c>
    </row>
    <row r="265" spans="1:16" ht="15" customHeight="1" x14ac:dyDescent="0.3">
      <c r="A265" s="155" t="str">
        <f t="shared" si="24"/>
        <v>735</v>
      </c>
      <c r="B265" s="182">
        <f t="shared" si="30"/>
        <v>7</v>
      </c>
      <c r="C265" s="156" t="str">
        <f t="shared" si="31"/>
        <v>Portefeuille de projets</v>
      </c>
      <c r="D265" s="156" t="s">
        <v>284</v>
      </c>
      <c r="E265" s="168">
        <v>3</v>
      </c>
      <c r="F265" s="156" t="s">
        <v>120</v>
      </c>
      <c r="G265" s="406" t="s">
        <v>371</v>
      </c>
      <c r="H265" s="185" t="s">
        <v>164</v>
      </c>
      <c r="I265" s="162">
        <v>5</v>
      </c>
      <c r="J265" s="153"/>
      <c r="K265" s="153" t="s">
        <v>164</v>
      </c>
      <c r="L265" s="247"/>
      <c r="M265" s="153"/>
      <c r="N265" s="153"/>
      <c r="O265" s="199">
        <f>IFERROR(VLOOKUP($P265,Suppl!$B$2:$N$57,MATCH(BDD!$B265,Suppl!$C$1:$N$1,0)+1,FALSE),"")</f>
        <v>0</v>
      </c>
      <c r="P265" s="153" t="str">
        <f t="shared" si="25"/>
        <v>35</v>
      </c>
    </row>
    <row r="266" spans="1:16" ht="15" customHeight="1" x14ac:dyDescent="0.3">
      <c r="A266" s="155" t="str">
        <f t="shared" ref="A266:A329" si="32">B266&amp;E266&amp;I266</f>
        <v>736</v>
      </c>
      <c r="B266" s="182">
        <f t="shared" si="30"/>
        <v>7</v>
      </c>
      <c r="C266" s="156" t="str">
        <f t="shared" si="31"/>
        <v>Portefeuille de projets</v>
      </c>
      <c r="D266" s="156" t="s">
        <v>284</v>
      </c>
      <c r="E266" s="168">
        <v>3</v>
      </c>
      <c r="F266" s="156" t="s">
        <v>120</v>
      </c>
      <c r="G266" s="406" t="s">
        <v>371</v>
      </c>
      <c r="H266" s="185" t="s">
        <v>164</v>
      </c>
      <c r="I266" s="162">
        <v>6</v>
      </c>
      <c r="J266" s="153"/>
      <c r="K266" s="153" t="s">
        <v>164</v>
      </c>
      <c r="L266" s="247"/>
      <c r="M266" s="153"/>
      <c r="N266" s="153"/>
      <c r="O266" s="199">
        <f>IFERROR(VLOOKUP($P266,Suppl!$B$2:$N$57,MATCH(BDD!$B266,Suppl!$C$1:$N$1,0)+1,FALSE),"")</f>
        <v>0</v>
      </c>
      <c r="P266" s="153" t="str">
        <f t="shared" ref="P266:P329" si="33">E266&amp;I266</f>
        <v>36</v>
      </c>
    </row>
    <row r="267" spans="1:16" ht="15" customHeight="1" x14ac:dyDescent="0.3">
      <c r="A267" s="155" t="str">
        <f t="shared" si="32"/>
        <v>737</v>
      </c>
      <c r="B267" s="183">
        <f t="shared" si="30"/>
        <v>7</v>
      </c>
      <c r="C267" s="157" t="str">
        <f t="shared" si="31"/>
        <v>Portefeuille de projets</v>
      </c>
      <c r="D267" s="157" t="s">
        <v>284</v>
      </c>
      <c r="E267" s="169">
        <v>3</v>
      </c>
      <c r="F267" s="157" t="s">
        <v>120</v>
      </c>
      <c r="G267" s="407" t="s">
        <v>371</v>
      </c>
      <c r="H267" s="185" t="s">
        <v>164</v>
      </c>
      <c r="I267" s="171">
        <v>7</v>
      </c>
      <c r="J267" s="154"/>
      <c r="K267" s="154" t="s">
        <v>164</v>
      </c>
      <c r="L267" s="323"/>
      <c r="M267" s="154"/>
      <c r="N267" s="154"/>
      <c r="O267" s="200">
        <f>IFERROR(VLOOKUP($P267,Suppl!$B$2:$N$57,MATCH(BDD!$B267,Suppl!$C$1:$N$1,0)+1,FALSE),"")</f>
        <v>0</v>
      </c>
      <c r="P267" s="154" t="str">
        <f t="shared" si="33"/>
        <v>37</v>
      </c>
    </row>
    <row r="268" spans="1:16" ht="15" customHeight="1" x14ac:dyDescent="0.3">
      <c r="A268" s="155" t="str">
        <f t="shared" si="32"/>
        <v>741</v>
      </c>
      <c r="B268" s="182">
        <f t="shared" si="30"/>
        <v>7</v>
      </c>
      <c r="C268" s="156" t="str">
        <f t="shared" si="31"/>
        <v>Portefeuille de projets</v>
      </c>
      <c r="D268" s="156" t="s">
        <v>284</v>
      </c>
      <c r="E268" s="167">
        <v>4</v>
      </c>
      <c r="F268" s="180" t="s">
        <v>120</v>
      </c>
      <c r="G268" s="409" t="s">
        <v>1064</v>
      </c>
      <c r="H268" s="185" t="s">
        <v>367</v>
      </c>
      <c r="I268" s="162">
        <v>1</v>
      </c>
      <c r="J268" s="153" t="s">
        <v>353</v>
      </c>
      <c r="K268" s="153" t="s">
        <v>23</v>
      </c>
      <c r="L268" s="247" t="s">
        <v>759</v>
      </c>
      <c r="M268" s="153"/>
      <c r="N268" s="153"/>
      <c r="O268" s="199">
        <f>IFERROR(VLOOKUP($P268,Suppl!$B$2:$N$57,MATCH(BDD!$B268,Suppl!$C$1:$N$1,0)+1,FALSE),"")</f>
        <v>0</v>
      </c>
      <c r="P268" s="153" t="str">
        <f t="shared" si="33"/>
        <v>41</v>
      </c>
    </row>
    <row r="269" spans="1:16" ht="15" customHeight="1" x14ac:dyDescent="0.3">
      <c r="A269" s="155" t="str">
        <f t="shared" si="32"/>
        <v>742</v>
      </c>
      <c r="B269" s="182">
        <f t="shared" si="30"/>
        <v>7</v>
      </c>
      <c r="C269" s="156" t="str">
        <f t="shared" si="31"/>
        <v>Portefeuille de projets</v>
      </c>
      <c r="D269" s="156" t="s">
        <v>284</v>
      </c>
      <c r="E269" s="168">
        <v>4</v>
      </c>
      <c r="F269" s="156" t="s">
        <v>120</v>
      </c>
      <c r="G269" s="406" t="s">
        <v>372</v>
      </c>
      <c r="H269" s="185" t="s">
        <v>164</v>
      </c>
      <c r="I269" s="162">
        <v>2</v>
      </c>
      <c r="J269" s="153" t="s">
        <v>354</v>
      </c>
      <c r="K269" s="153" t="s">
        <v>22</v>
      </c>
      <c r="L269" s="247"/>
      <c r="M269" s="153"/>
      <c r="N269" s="153"/>
      <c r="O269" s="199">
        <f>IFERROR(VLOOKUP($P269,Suppl!$B$2:$N$57,MATCH(BDD!$B269,Suppl!$C$1:$N$1,0)+1,FALSE),"")</f>
        <v>0</v>
      </c>
      <c r="P269" s="153" t="str">
        <f t="shared" si="33"/>
        <v>42</v>
      </c>
    </row>
    <row r="270" spans="1:16" ht="15" customHeight="1" x14ac:dyDescent="0.3">
      <c r="A270" s="155" t="str">
        <f t="shared" si="32"/>
        <v>743</v>
      </c>
      <c r="B270" s="182">
        <f t="shared" si="30"/>
        <v>7</v>
      </c>
      <c r="C270" s="156" t="str">
        <f t="shared" si="31"/>
        <v>Portefeuille de projets</v>
      </c>
      <c r="D270" s="156" t="s">
        <v>284</v>
      </c>
      <c r="E270" s="168">
        <v>4</v>
      </c>
      <c r="F270" s="156" t="s">
        <v>120</v>
      </c>
      <c r="G270" s="406" t="s">
        <v>372</v>
      </c>
      <c r="H270" s="185" t="s">
        <v>164</v>
      </c>
      <c r="I270" s="162">
        <v>3</v>
      </c>
      <c r="J270" s="153" t="s">
        <v>355</v>
      </c>
      <c r="K270" s="153" t="s">
        <v>24</v>
      </c>
      <c r="L270" s="247" t="s">
        <v>760</v>
      </c>
      <c r="M270" s="153"/>
      <c r="N270" s="153"/>
      <c r="O270" s="199">
        <f>IFERROR(VLOOKUP($P270,Suppl!$B$2:$N$57,MATCH(BDD!$B270,Suppl!$C$1:$N$1,0)+1,FALSE),"")</f>
        <v>0</v>
      </c>
      <c r="P270" s="153" t="str">
        <f t="shared" si="33"/>
        <v>43</v>
      </c>
    </row>
    <row r="271" spans="1:16" ht="15" customHeight="1" x14ac:dyDescent="0.3">
      <c r="A271" s="155" t="str">
        <f t="shared" si="32"/>
        <v>744</v>
      </c>
      <c r="B271" s="182">
        <f t="shared" si="30"/>
        <v>7</v>
      </c>
      <c r="C271" s="156" t="str">
        <f t="shared" si="31"/>
        <v>Portefeuille de projets</v>
      </c>
      <c r="D271" s="156" t="s">
        <v>284</v>
      </c>
      <c r="E271" s="168">
        <v>4</v>
      </c>
      <c r="F271" s="156" t="s">
        <v>120</v>
      </c>
      <c r="G271" s="406" t="s">
        <v>372</v>
      </c>
      <c r="H271" s="185" t="s">
        <v>164</v>
      </c>
      <c r="I271" s="162">
        <v>4</v>
      </c>
      <c r="J271" s="153" t="s">
        <v>356</v>
      </c>
      <c r="K271" s="153" t="s">
        <v>23</v>
      </c>
      <c r="L271" s="247" t="s">
        <v>884</v>
      </c>
      <c r="M271" s="153"/>
      <c r="N271" s="153"/>
      <c r="O271" s="199">
        <f>IFERROR(VLOOKUP($P271,Suppl!$B$2:$N$57,MATCH(BDD!$B271,Suppl!$C$1:$N$1,0)+1,FALSE),"")</f>
        <v>0</v>
      </c>
      <c r="P271" s="153" t="str">
        <f t="shared" si="33"/>
        <v>44</v>
      </c>
    </row>
    <row r="272" spans="1:16" ht="15" customHeight="1" x14ac:dyDescent="0.3">
      <c r="A272" s="155" t="str">
        <f t="shared" si="32"/>
        <v>745</v>
      </c>
      <c r="B272" s="182">
        <f t="shared" si="30"/>
        <v>7</v>
      </c>
      <c r="C272" s="156" t="str">
        <f t="shared" si="31"/>
        <v>Portefeuille de projets</v>
      </c>
      <c r="D272" s="156" t="s">
        <v>284</v>
      </c>
      <c r="E272" s="168">
        <v>4</v>
      </c>
      <c r="F272" s="156" t="s">
        <v>120</v>
      </c>
      <c r="G272" s="406" t="s">
        <v>372</v>
      </c>
      <c r="H272" s="185" t="s">
        <v>164</v>
      </c>
      <c r="I272" s="162">
        <v>5</v>
      </c>
      <c r="J272" s="153" t="s">
        <v>357</v>
      </c>
      <c r="K272" s="153" t="s">
        <v>26</v>
      </c>
      <c r="L272" s="247" t="s">
        <v>761</v>
      </c>
      <c r="M272" s="153"/>
      <c r="N272" s="153"/>
      <c r="O272" s="199">
        <f>IFERROR(VLOOKUP($P272,Suppl!$B$2:$N$57,MATCH(BDD!$B272,Suppl!$C$1:$N$1,0)+1,FALSE),"")</f>
        <v>0</v>
      </c>
      <c r="P272" s="153" t="str">
        <f t="shared" si="33"/>
        <v>45</v>
      </c>
    </row>
    <row r="273" spans="1:16" ht="15" customHeight="1" x14ac:dyDescent="0.3">
      <c r="A273" s="155" t="str">
        <f t="shared" si="32"/>
        <v>746</v>
      </c>
      <c r="B273" s="182">
        <f t="shared" si="30"/>
        <v>7</v>
      </c>
      <c r="C273" s="156" t="str">
        <f t="shared" si="31"/>
        <v>Portefeuille de projets</v>
      </c>
      <c r="D273" s="156" t="s">
        <v>284</v>
      </c>
      <c r="E273" s="168">
        <v>4</v>
      </c>
      <c r="F273" s="156" t="s">
        <v>120</v>
      </c>
      <c r="G273" s="406" t="s">
        <v>372</v>
      </c>
      <c r="H273" s="185" t="s">
        <v>164</v>
      </c>
      <c r="I273" s="162">
        <v>6</v>
      </c>
      <c r="J273" s="153"/>
      <c r="K273" s="153" t="s">
        <v>164</v>
      </c>
      <c r="L273" s="247"/>
      <c r="M273" s="153"/>
      <c r="N273" s="153"/>
      <c r="O273" s="199">
        <f>IFERROR(VLOOKUP($P273,Suppl!$B$2:$N$57,MATCH(BDD!$B273,Suppl!$C$1:$N$1,0)+1,FALSE),"")</f>
        <v>0</v>
      </c>
      <c r="P273" s="153" t="str">
        <f t="shared" si="33"/>
        <v>46</v>
      </c>
    </row>
    <row r="274" spans="1:16" ht="15" customHeight="1" x14ac:dyDescent="0.3">
      <c r="A274" s="155" t="str">
        <f t="shared" si="32"/>
        <v>747</v>
      </c>
      <c r="B274" s="183">
        <f t="shared" si="30"/>
        <v>7</v>
      </c>
      <c r="C274" s="157" t="str">
        <f t="shared" si="31"/>
        <v>Portefeuille de projets</v>
      </c>
      <c r="D274" s="157" t="s">
        <v>284</v>
      </c>
      <c r="E274" s="169">
        <v>4</v>
      </c>
      <c r="F274" s="157" t="s">
        <v>120</v>
      </c>
      <c r="G274" s="407" t="s">
        <v>372</v>
      </c>
      <c r="H274" s="185" t="s">
        <v>164</v>
      </c>
      <c r="I274" s="171">
        <v>7</v>
      </c>
      <c r="J274" s="154"/>
      <c r="K274" s="154" t="s">
        <v>164</v>
      </c>
      <c r="L274" s="323"/>
      <c r="M274" s="154"/>
      <c r="N274" s="154"/>
      <c r="O274" s="200">
        <f>IFERROR(VLOOKUP($P274,Suppl!$B$2:$N$57,MATCH(BDD!$B274,Suppl!$C$1:$N$1,0)+1,FALSE),"")</f>
        <v>0</v>
      </c>
      <c r="P274" s="154" t="str">
        <f t="shared" si="33"/>
        <v>47</v>
      </c>
    </row>
    <row r="275" spans="1:16" ht="15" customHeight="1" x14ac:dyDescent="0.3">
      <c r="A275" s="155" t="str">
        <f t="shared" si="32"/>
        <v>751</v>
      </c>
      <c r="B275" s="182">
        <f t="shared" si="30"/>
        <v>7</v>
      </c>
      <c r="C275" s="156" t="str">
        <f t="shared" si="31"/>
        <v>Portefeuille de projets</v>
      </c>
      <c r="D275" s="156" t="s">
        <v>284</v>
      </c>
      <c r="E275" s="167">
        <v>5</v>
      </c>
      <c r="F275" s="180" t="s">
        <v>314</v>
      </c>
      <c r="G275" s="409" t="s">
        <v>1065</v>
      </c>
      <c r="H275" s="185" t="s">
        <v>367</v>
      </c>
      <c r="I275" s="162">
        <v>1</v>
      </c>
      <c r="J275" s="153" t="s">
        <v>358</v>
      </c>
      <c r="K275" s="153" t="s">
        <v>24</v>
      </c>
      <c r="L275" s="247" t="s">
        <v>762</v>
      </c>
      <c r="M275" s="153"/>
      <c r="N275" s="153"/>
      <c r="O275" s="199">
        <f>IFERROR(VLOOKUP($P275,Suppl!$B$2:$N$57,MATCH(BDD!$B275,Suppl!$C$1:$N$1,0)+1,FALSE),"")</f>
        <v>0</v>
      </c>
      <c r="P275" s="153" t="str">
        <f t="shared" si="33"/>
        <v>51</v>
      </c>
    </row>
    <row r="276" spans="1:16" ht="15" customHeight="1" x14ac:dyDescent="0.3">
      <c r="A276" s="155" t="str">
        <f t="shared" si="32"/>
        <v>752</v>
      </c>
      <c r="B276" s="182">
        <f t="shared" si="30"/>
        <v>7</v>
      </c>
      <c r="C276" s="156" t="str">
        <f t="shared" si="31"/>
        <v>Portefeuille de projets</v>
      </c>
      <c r="D276" s="156" t="s">
        <v>284</v>
      </c>
      <c r="E276" s="168">
        <v>5</v>
      </c>
      <c r="F276" s="156" t="s">
        <v>314</v>
      </c>
      <c r="G276" s="406" t="s">
        <v>373</v>
      </c>
      <c r="H276" s="185" t="s">
        <v>164</v>
      </c>
      <c r="I276" s="162">
        <v>2</v>
      </c>
      <c r="J276" s="153" t="s">
        <v>359</v>
      </c>
      <c r="K276" s="153" t="s">
        <v>25</v>
      </c>
      <c r="L276" s="247" t="s">
        <v>763</v>
      </c>
      <c r="M276" s="153"/>
      <c r="N276" s="153"/>
      <c r="O276" s="199">
        <f>IFERROR(VLOOKUP($P276,Suppl!$B$2:$N$57,MATCH(BDD!$B276,Suppl!$C$1:$N$1,0)+1,FALSE),"")</f>
        <v>0</v>
      </c>
      <c r="P276" s="153" t="str">
        <f t="shared" si="33"/>
        <v>52</v>
      </c>
    </row>
    <row r="277" spans="1:16" ht="15" customHeight="1" x14ac:dyDescent="0.3">
      <c r="A277" s="155" t="str">
        <f t="shared" si="32"/>
        <v>753</v>
      </c>
      <c r="B277" s="182">
        <f t="shared" si="30"/>
        <v>7</v>
      </c>
      <c r="C277" s="156" t="str">
        <f t="shared" si="31"/>
        <v>Portefeuille de projets</v>
      </c>
      <c r="D277" s="156" t="s">
        <v>284</v>
      </c>
      <c r="E277" s="168">
        <v>5</v>
      </c>
      <c r="F277" s="156" t="s">
        <v>314</v>
      </c>
      <c r="G277" s="406" t="s">
        <v>373</v>
      </c>
      <c r="H277" s="185" t="s">
        <v>164</v>
      </c>
      <c r="I277" s="162">
        <v>3</v>
      </c>
      <c r="J277" s="153" t="s">
        <v>360</v>
      </c>
      <c r="K277" s="153" t="s">
        <v>24</v>
      </c>
      <c r="L277" s="247" t="s">
        <v>764</v>
      </c>
      <c r="M277" s="153"/>
      <c r="N277" s="153"/>
      <c r="O277" s="199">
        <f>IFERROR(VLOOKUP($P277,Suppl!$B$2:$N$57,MATCH(BDD!$B277,Suppl!$C$1:$N$1,0)+1,FALSE),"")</f>
        <v>0</v>
      </c>
      <c r="P277" s="153" t="str">
        <f t="shared" si="33"/>
        <v>53</v>
      </c>
    </row>
    <row r="278" spans="1:16" ht="15" customHeight="1" x14ac:dyDescent="0.3">
      <c r="A278" s="155" t="str">
        <f t="shared" si="32"/>
        <v>754</v>
      </c>
      <c r="B278" s="182">
        <f t="shared" si="30"/>
        <v>7</v>
      </c>
      <c r="C278" s="156" t="str">
        <f t="shared" si="31"/>
        <v>Portefeuille de projets</v>
      </c>
      <c r="D278" s="156" t="s">
        <v>284</v>
      </c>
      <c r="E278" s="168">
        <v>5</v>
      </c>
      <c r="F278" s="156" t="s">
        <v>314</v>
      </c>
      <c r="G278" s="406" t="s">
        <v>373</v>
      </c>
      <c r="H278" s="185" t="s">
        <v>164</v>
      </c>
      <c r="I278" s="162">
        <v>4</v>
      </c>
      <c r="J278" s="153" t="s">
        <v>361</v>
      </c>
      <c r="K278" s="153" t="s">
        <v>22</v>
      </c>
      <c r="L278" s="247" t="s">
        <v>765</v>
      </c>
      <c r="M278" s="153"/>
      <c r="N278" s="153"/>
      <c r="O278" s="199">
        <f>IFERROR(VLOOKUP($P278,Suppl!$B$2:$N$57,MATCH(BDD!$B278,Suppl!$C$1:$N$1,0)+1,FALSE),"")</f>
        <v>0</v>
      </c>
      <c r="P278" s="153" t="str">
        <f t="shared" si="33"/>
        <v>54</v>
      </c>
    </row>
    <row r="279" spans="1:16" ht="15" customHeight="1" x14ac:dyDescent="0.3">
      <c r="A279" s="155" t="str">
        <f t="shared" si="32"/>
        <v>755</v>
      </c>
      <c r="B279" s="182">
        <f t="shared" si="30"/>
        <v>7</v>
      </c>
      <c r="C279" s="156" t="str">
        <f t="shared" si="31"/>
        <v>Portefeuille de projets</v>
      </c>
      <c r="D279" s="156" t="s">
        <v>284</v>
      </c>
      <c r="E279" s="168">
        <v>5</v>
      </c>
      <c r="F279" s="156" t="s">
        <v>314</v>
      </c>
      <c r="G279" s="406" t="s">
        <v>373</v>
      </c>
      <c r="H279" s="185" t="s">
        <v>164</v>
      </c>
      <c r="I279" s="162">
        <v>5</v>
      </c>
      <c r="J279" s="153"/>
      <c r="K279" s="153" t="s">
        <v>164</v>
      </c>
      <c r="L279" s="247"/>
      <c r="M279" s="153"/>
      <c r="N279" s="153"/>
      <c r="O279" s="199">
        <f>IFERROR(VLOOKUP($P279,Suppl!$B$2:$N$57,MATCH(BDD!$B279,Suppl!$C$1:$N$1,0)+1,FALSE),"")</f>
        <v>0</v>
      </c>
      <c r="P279" s="153" t="str">
        <f t="shared" si="33"/>
        <v>55</v>
      </c>
    </row>
    <row r="280" spans="1:16" ht="15" customHeight="1" x14ac:dyDescent="0.3">
      <c r="A280" s="155" t="str">
        <f t="shared" si="32"/>
        <v>756</v>
      </c>
      <c r="B280" s="182">
        <f t="shared" si="30"/>
        <v>7</v>
      </c>
      <c r="C280" s="156" t="str">
        <f t="shared" si="31"/>
        <v>Portefeuille de projets</v>
      </c>
      <c r="D280" s="156" t="s">
        <v>284</v>
      </c>
      <c r="E280" s="168">
        <v>5</v>
      </c>
      <c r="F280" s="156" t="s">
        <v>314</v>
      </c>
      <c r="G280" s="406" t="s">
        <v>373</v>
      </c>
      <c r="H280" s="185" t="s">
        <v>164</v>
      </c>
      <c r="I280" s="162">
        <v>6</v>
      </c>
      <c r="J280" s="153"/>
      <c r="K280" s="153" t="s">
        <v>164</v>
      </c>
      <c r="L280" s="247"/>
      <c r="M280" s="153"/>
      <c r="N280" s="153"/>
      <c r="O280" s="199">
        <f>IFERROR(VLOOKUP($P280,Suppl!$B$2:$N$57,MATCH(BDD!$B280,Suppl!$C$1:$N$1,0)+1,FALSE),"")</f>
        <v>0</v>
      </c>
      <c r="P280" s="153" t="str">
        <f t="shared" si="33"/>
        <v>56</v>
      </c>
    </row>
    <row r="281" spans="1:16" ht="15" customHeight="1" x14ac:dyDescent="0.3">
      <c r="A281" s="155" t="str">
        <f t="shared" si="32"/>
        <v>757</v>
      </c>
      <c r="B281" s="183">
        <f t="shared" si="30"/>
        <v>7</v>
      </c>
      <c r="C281" s="157" t="str">
        <f t="shared" si="31"/>
        <v>Portefeuille de projets</v>
      </c>
      <c r="D281" s="157" t="s">
        <v>284</v>
      </c>
      <c r="E281" s="169">
        <v>5</v>
      </c>
      <c r="F281" s="157" t="s">
        <v>314</v>
      </c>
      <c r="G281" s="407" t="s">
        <v>373</v>
      </c>
      <c r="H281" s="185" t="s">
        <v>164</v>
      </c>
      <c r="I281" s="171">
        <v>7</v>
      </c>
      <c r="J281" s="154"/>
      <c r="K281" s="154" t="s">
        <v>164</v>
      </c>
      <c r="L281" s="323"/>
      <c r="M281" s="154"/>
      <c r="N281" s="154"/>
      <c r="O281" s="200">
        <f>IFERROR(VLOOKUP($P281,Suppl!$B$2:$N$57,MATCH(BDD!$B281,Suppl!$C$1:$N$1,0)+1,FALSE),"")</f>
        <v>0</v>
      </c>
      <c r="P281" s="154" t="str">
        <f t="shared" si="33"/>
        <v>57</v>
      </c>
    </row>
    <row r="282" spans="1:16" ht="15" customHeight="1" x14ac:dyDescent="0.3">
      <c r="A282" s="155" t="str">
        <f t="shared" si="32"/>
        <v>761</v>
      </c>
      <c r="B282" s="182">
        <f t="shared" si="30"/>
        <v>7</v>
      </c>
      <c r="C282" s="156" t="str">
        <f t="shared" si="31"/>
        <v>Portefeuille de projets</v>
      </c>
      <c r="D282" s="156" t="s">
        <v>284</v>
      </c>
      <c r="E282" s="167">
        <v>6</v>
      </c>
      <c r="F282" s="180" t="s">
        <v>1066</v>
      </c>
      <c r="G282" s="413" t="s">
        <v>1067</v>
      </c>
      <c r="I282" s="162">
        <v>1</v>
      </c>
      <c r="J282" s="153" t="s">
        <v>362</v>
      </c>
      <c r="K282" s="153" t="s">
        <v>25</v>
      </c>
      <c r="L282" s="247" t="s">
        <v>766</v>
      </c>
      <c r="M282" s="153"/>
      <c r="N282" s="188"/>
      <c r="O282" s="199">
        <f>IFERROR(VLOOKUP($P282,Suppl!$B$2:$N$57,MATCH(BDD!$B282,Suppl!$C$1:$N$1,0)+1,FALSE),"")</f>
        <v>0</v>
      </c>
      <c r="P282" s="153" t="str">
        <f t="shared" si="33"/>
        <v>61</v>
      </c>
    </row>
    <row r="283" spans="1:16" ht="15" customHeight="1" x14ac:dyDescent="0.3">
      <c r="A283" s="155" t="str">
        <f t="shared" si="32"/>
        <v>762</v>
      </c>
      <c r="B283" s="182">
        <f t="shared" si="30"/>
        <v>7</v>
      </c>
      <c r="C283" s="156" t="str">
        <f t="shared" si="31"/>
        <v>Portefeuille de projets</v>
      </c>
      <c r="D283" s="156" t="s">
        <v>284</v>
      </c>
      <c r="E283" s="168">
        <v>6</v>
      </c>
      <c r="F283" s="156" t="s">
        <v>315</v>
      </c>
      <c r="G283" s="406" t="s">
        <v>374</v>
      </c>
      <c r="H283" s="185" t="s">
        <v>164</v>
      </c>
      <c r="I283" s="162">
        <v>2</v>
      </c>
      <c r="J283" s="153" t="s">
        <v>363</v>
      </c>
      <c r="K283" s="153" t="s">
        <v>26</v>
      </c>
      <c r="L283" s="247" t="s">
        <v>767</v>
      </c>
      <c r="M283" s="153"/>
      <c r="N283" s="153"/>
      <c r="O283" s="199">
        <f>IFERROR(VLOOKUP($P283,Suppl!$B$2:$N$57,MATCH(BDD!$B283,Suppl!$C$1:$N$1,0)+1,FALSE),"")</f>
        <v>0</v>
      </c>
      <c r="P283" s="153" t="str">
        <f t="shared" si="33"/>
        <v>62</v>
      </c>
    </row>
    <row r="284" spans="1:16" ht="15" customHeight="1" x14ac:dyDescent="0.3">
      <c r="A284" s="155" t="str">
        <f t="shared" si="32"/>
        <v>763</v>
      </c>
      <c r="B284" s="182">
        <f t="shared" si="30"/>
        <v>7</v>
      </c>
      <c r="C284" s="156" t="str">
        <f t="shared" si="31"/>
        <v>Portefeuille de projets</v>
      </c>
      <c r="D284" s="156" t="s">
        <v>284</v>
      </c>
      <c r="E284" s="168">
        <v>6</v>
      </c>
      <c r="F284" s="156" t="s">
        <v>315</v>
      </c>
      <c r="G284" s="406" t="s">
        <v>374</v>
      </c>
      <c r="H284" s="185" t="s">
        <v>164</v>
      </c>
      <c r="I284" s="162">
        <v>3</v>
      </c>
      <c r="J284" s="153" t="s">
        <v>364</v>
      </c>
      <c r="K284" s="153" t="s">
        <v>25</v>
      </c>
      <c r="L284" s="247" t="s">
        <v>768</v>
      </c>
      <c r="M284" s="153"/>
      <c r="N284" s="153"/>
      <c r="O284" s="199">
        <f>IFERROR(VLOOKUP($P284,Suppl!$B$2:$N$57,MATCH(BDD!$B284,Suppl!$C$1:$N$1,0)+1,FALSE),"")</f>
        <v>0</v>
      </c>
      <c r="P284" s="153" t="str">
        <f t="shared" si="33"/>
        <v>63</v>
      </c>
    </row>
    <row r="285" spans="1:16" ht="15" customHeight="1" x14ac:dyDescent="0.3">
      <c r="A285" s="155" t="str">
        <f t="shared" si="32"/>
        <v>764</v>
      </c>
      <c r="B285" s="182">
        <f t="shared" si="30"/>
        <v>7</v>
      </c>
      <c r="C285" s="156" t="str">
        <f t="shared" si="31"/>
        <v>Portefeuille de projets</v>
      </c>
      <c r="D285" s="156" t="s">
        <v>284</v>
      </c>
      <c r="E285" s="168">
        <v>6</v>
      </c>
      <c r="F285" s="156" t="s">
        <v>315</v>
      </c>
      <c r="G285" s="406" t="s">
        <v>374</v>
      </c>
      <c r="H285" s="185" t="s">
        <v>164</v>
      </c>
      <c r="I285" s="162">
        <v>4</v>
      </c>
      <c r="J285" s="153" t="s">
        <v>365</v>
      </c>
      <c r="K285" s="153" t="s">
        <v>25</v>
      </c>
      <c r="L285" s="247" t="s">
        <v>769</v>
      </c>
      <c r="M285" s="153"/>
      <c r="N285" s="153"/>
      <c r="O285" s="199">
        <f>IFERROR(VLOOKUP($P285,Suppl!$B$2:$N$57,MATCH(BDD!$B285,Suppl!$C$1:$N$1,0)+1,FALSE),"")</f>
        <v>0</v>
      </c>
      <c r="P285" s="153" t="str">
        <f t="shared" si="33"/>
        <v>64</v>
      </c>
    </row>
    <row r="286" spans="1:16" ht="15" customHeight="1" x14ac:dyDescent="0.3">
      <c r="A286" s="155" t="str">
        <f t="shared" si="32"/>
        <v>765</v>
      </c>
      <c r="B286" s="182">
        <f t="shared" si="30"/>
        <v>7</v>
      </c>
      <c r="C286" s="156" t="str">
        <f t="shared" si="31"/>
        <v>Portefeuille de projets</v>
      </c>
      <c r="D286" s="156" t="s">
        <v>284</v>
      </c>
      <c r="E286" s="168">
        <v>6</v>
      </c>
      <c r="F286" s="156" t="s">
        <v>315</v>
      </c>
      <c r="G286" s="406" t="s">
        <v>374</v>
      </c>
      <c r="H286" s="185" t="s">
        <v>164</v>
      </c>
      <c r="I286" s="162">
        <v>5</v>
      </c>
      <c r="J286" s="153" t="s">
        <v>366</v>
      </c>
      <c r="K286" s="153" t="s">
        <v>26</v>
      </c>
      <c r="L286" s="247"/>
      <c r="M286" s="153"/>
      <c r="N286" s="153"/>
      <c r="O286" s="199">
        <f>IFERROR(VLOOKUP($P286,Suppl!$B$2:$N$57,MATCH(BDD!$B286,Suppl!$C$1:$N$1,0)+1,FALSE),"")</f>
        <v>0</v>
      </c>
      <c r="P286" s="153" t="str">
        <f t="shared" si="33"/>
        <v>65</v>
      </c>
    </row>
    <row r="287" spans="1:16" ht="15" customHeight="1" x14ac:dyDescent="0.3">
      <c r="A287" s="155" t="str">
        <f t="shared" si="32"/>
        <v>766</v>
      </c>
      <c r="B287" s="182">
        <f t="shared" si="30"/>
        <v>7</v>
      </c>
      <c r="C287" s="156" t="str">
        <f t="shared" si="31"/>
        <v>Portefeuille de projets</v>
      </c>
      <c r="D287" s="156" t="s">
        <v>284</v>
      </c>
      <c r="E287" s="168">
        <v>6</v>
      </c>
      <c r="F287" s="156" t="s">
        <v>315</v>
      </c>
      <c r="G287" s="406" t="s">
        <v>374</v>
      </c>
      <c r="H287" s="185" t="s">
        <v>164</v>
      </c>
      <c r="I287" s="162">
        <v>6</v>
      </c>
      <c r="J287" s="153"/>
      <c r="K287" s="153" t="s">
        <v>164</v>
      </c>
      <c r="L287" s="247"/>
      <c r="M287" s="153"/>
      <c r="N287" s="153"/>
      <c r="O287" s="199">
        <f>IFERROR(VLOOKUP($P287,Suppl!$B$2:$N$57,MATCH(BDD!$B287,Suppl!$C$1:$N$1,0)+1,FALSE),"")</f>
        <v>0</v>
      </c>
      <c r="P287" s="153" t="str">
        <f t="shared" si="33"/>
        <v>66</v>
      </c>
    </row>
    <row r="288" spans="1:16" ht="15" customHeight="1" thickBot="1" x14ac:dyDescent="0.35">
      <c r="A288" s="155" t="str">
        <f t="shared" si="32"/>
        <v>767</v>
      </c>
      <c r="B288" s="184">
        <f t="shared" si="30"/>
        <v>7</v>
      </c>
      <c r="C288" s="160" t="str">
        <f t="shared" si="31"/>
        <v>Portefeuille de projets</v>
      </c>
      <c r="D288" s="160" t="s">
        <v>284</v>
      </c>
      <c r="E288" s="170">
        <v>6</v>
      </c>
      <c r="F288" s="160" t="s">
        <v>315</v>
      </c>
      <c r="G288" s="410" t="s">
        <v>374</v>
      </c>
      <c r="H288" s="185" t="s">
        <v>164</v>
      </c>
      <c r="I288" s="172">
        <v>7</v>
      </c>
      <c r="J288" s="158"/>
      <c r="K288" s="158" t="s">
        <v>164</v>
      </c>
      <c r="L288" s="254"/>
      <c r="M288" s="158"/>
      <c r="N288" s="158"/>
      <c r="O288" s="201">
        <f>IFERROR(VLOOKUP($P288,Suppl!$B$2:$N$57,MATCH(BDD!$B288,Suppl!$C$1:$N$1,0)+1,FALSE),"")</f>
        <v>0</v>
      </c>
      <c r="P288" s="158" t="str">
        <f t="shared" si="33"/>
        <v>67</v>
      </c>
    </row>
    <row r="289" spans="1:16" ht="15" customHeight="1" x14ac:dyDescent="0.3">
      <c r="A289" s="155" t="str">
        <f t="shared" si="32"/>
        <v>811</v>
      </c>
      <c r="B289" s="162">
        <v>8</v>
      </c>
      <c r="C289" s="153" t="s">
        <v>98</v>
      </c>
      <c r="D289" s="153" t="s">
        <v>293</v>
      </c>
      <c r="E289" s="167">
        <v>1</v>
      </c>
      <c r="F289" s="153" t="s">
        <v>316</v>
      </c>
      <c r="G289" s="408" t="s">
        <v>334</v>
      </c>
      <c r="H289" s="345" t="s">
        <v>164</v>
      </c>
      <c r="I289" s="162">
        <v>1</v>
      </c>
      <c r="J289" s="153" t="s">
        <v>375</v>
      </c>
      <c r="K289" s="153" t="s">
        <v>22</v>
      </c>
      <c r="L289" s="247"/>
      <c r="M289" s="173" t="s">
        <v>287</v>
      </c>
      <c r="N289" s="176" t="s">
        <v>288</v>
      </c>
      <c r="O289" s="199">
        <f>IFERROR(VLOOKUP($P289,Suppl!$B$2:$N$57,MATCH(BDD!$B289,Suppl!$C$1:$N$1,0)+1,FALSE),"")</f>
        <v>0</v>
      </c>
      <c r="P289" s="153" t="str">
        <f t="shared" si="33"/>
        <v>11</v>
      </c>
    </row>
    <row r="290" spans="1:16" ht="15" customHeight="1" x14ac:dyDescent="0.3">
      <c r="A290" s="155" t="str">
        <f t="shared" si="32"/>
        <v>812</v>
      </c>
      <c r="B290" s="163">
        <f t="shared" ref="B290:C290" si="34">B289</f>
        <v>8</v>
      </c>
      <c r="C290" s="156" t="str">
        <f t="shared" si="34"/>
        <v>Projets</v>
      </c>
      <c r="D290" s="156" t="s">
        <v>293</v>
      </c>
      <c r="E290" s="168">
        <v>1</v>
      </c>
      <c r="F290" s="156" t="s">
        <v>316</v>
      </c>
      <c r="G290" s="406" t="s">
        <v>334</v>
      </c>
      <c r="H290" s="346" t="s">
        <v>164</v>
      </c>
      <c r="I290" s="162">
        <v>2</v>
      </c>
      <c r="J290" s="153" t="s">
        <v>376</v>
      </c>
      <c r="K290" s="153" t="s">
        <v>23</v>
      </c>
      <c r="L290" s="247"/>
      <c r="M290" s="174" t="s">
        <v>289</v>
      </c>
      <c r="N290" s="177" t="s">
        <v>290</v>
      </c>
      <c r="O290" s="199">
        <f>IFERROR(VLOOKUP($P290,Suppl!$B$2:$N$57,MATCH(BDD!$B290,Suppl!$C$1:$N$1,0)+1,FALSE),"")</f>
        <v>0</v>
      </c>
      <c r="P290" s="153" t="str">
        <f t="shared" si="33"/>
        <v>12</v>
      </c>
    </row>
    <row r="291" spans="1:16" ht="15" customHeight="1" x14ac:dyDescent="0.3">
      <c r="A291" s="155" t="str">
        <f t="shared" si="32"/>
        <v>813</v>
      </c>
      <c r="B291" s="163">
        <f t="shared" ref="B291:B337" si="35">B290</f>
        <v>8</v>
      </c>
      <c r="C291" s="156" t="str">
        <f t="shared" ref="C291:C337" si="36">C290</f>
        <v>Projets</v>
      </c>
      <c r="D291" s="156" t="s">
        <v>293</v>
      </c>
      <c r="E291" s="168">
        <v>1</v>
      </c>
      <c r="F291" s="156" t="s">
        <v>316</v>
      </c>
      <c r="G291" s="406" t="s">
        <v>334</v>
      </c>
      <c r="H291" s="346" t="s">
        <v>164</v>
      </c>
      <c r="I291" s="162">
        <v>3</v>
      </c>
      <c r="J291" s="153"/>
      <c r="K291" s="153" t="s">
        <v>164</v>
      </c>
      <c r="L291" s="247"/>
      <c r="M291" s="174" t="s">
        <v>291</v>
      </c>
      <c r="N291" s="177" t="s">
        <v>292</v>
      </c>
      <c r="O291" s="199">
        <f>IFERROR(VLOOKUP($P291,Suppl!$B$2:$N$57,MATCH(BDD!$B291,Suppl!$C$1:$N$1,0)+1,FALSE),"")</f>
        <v>0</v>
      </c>
      <c r="P291" s="153" t="str">
        <f t="shared" si="33"/>
        <v>13</v>
      </c>
    </row>
    <row r="292" spans="1:16" ht="15" customHeight="1" x14ac:dyDescent="0.3">
      <c r="A292" s="155" t="str">
        <f t="shared" si="32"/>
        <v>814</v>
      </c>
      <c r="B292" s="163">
        <f t="shared" si="35"/>
        <v>8</v>
      </c>
      <c r="C292" s="156" t="str">
        <f t="shared" si="36"/>
        <v>Projets</v>
      </c>
      <c r="D292" s="156" t="s">
        <v>293</v>
      </c>
      <c r="E292" s="168">
        <v>1</v>
      </c>
      <c r="F292" s="156" t="s">
        <v>316</v>
      </c>
      <c r="G292" s="406" t="s">
        <v>334</v>
      </c>
      <c r="H292" s="346" t="s">
        <v>164</v>
      </c>
      <c r="I292" s="162">
        <v>4</v>
      </c>
      <c r="J292" s="153"/>
      <c r="K292" s="153" t="s">
        <v>164</v>
      </c>
      <c r="L292" s="247"/>
      <c r="M292" s="174"/>
      <c r="N292" s="177"/>
      <c r="O292" s="199">
        <f>IFERROR(VLOOKUP($P292,Suppl!$B$2:$N$57,MATCH(BDD!$B292,Suppl!$C$1:$N$1,0)+1,FALSE),"")</f>
        <v>0</v>
      </c>
      <c r="P292" s="153" t="str">
        <f t="shared" si="33"/>
        <v>14</v>
      </c>
    </row>
    <row r="293" spans="1:16" ht="15" customHeight="1" x14ac:dyDescent="0.3">
      <c r="A293" s="155" t="str">
        <f t="shared" si="32"/>
        <v>815</v>
      </c>
      <c r="B293" s="163">
        <f t="shared" si="35"/>
        <v>8</v>
      </c>
      <c r="C293" s="156" t="str">
        <f t="shared" si="36"/>
        <v>Projets</v>
      </c>
      <c r="D293" s="156" t="s">
        <v>293</v>
      </c>
      <c r="E293" s="168">
        <v>1</v>
      </c>
      <c r="F293" s="156" t="s">
        <v>316</v>
      </c>
      <c r="G293" s="406" t="s">
        <v>334</v>
      </c>
      <c r="H293" s="346" t="s">
        <v>164</v>
      </c>
      <c r="I293" s="162">
        <v>5</v>
      </c>
      <c r="J293" s="153"/>
      <c r="K293" s="153" t="s">
        <v>164</v>
      </c>
      <c r="L293" s="247"/>
      <c r="M293" s="174"/>
      <c r="N293" s="177"/>
      <c r="O293" s="199">
        <f>IFERROR(VLOOKUP($P293,Suppl!$B$2:$N$57,MATCH(BDD!$B293,Suppl!$C$1:$N$1,0)+1,FALSE),"")</f>
        <v>0</v>
      </c>
      <c r="P293" s="153" t="str">
        <f t="shared" si="33"/>
        <v>15</v>
      </c>
    </row>
    <row r="294" spans="1:16" ht="15" customHeight="1" x14ac:dyDescent="0.3">
      <c r="A294" s="155" t="str">
        <f t="shared" si="32"/>
        <v>816</v>
      </c>
      <c r="B294" s="163">
        <f t="shared" si="35"/>
        <v>8</v>
      </c>
      <c r="C294" s="156" t="str">
        <f t="shared" si="36"/>
        <v>Projets</v>
      </c>
      <c r="D294" s="156" t="s">
        <v>293</v>
      </c>
      <c r="E294" s="168">
        <v>1</v>
      </c>
      <c r="F294" s="156" t="s">
        <v>316</v>
      </c>
      <c r="G294" s="406" t="s">
        <v>334</v>
      </c>
      <c r="H294" s="346" t="s">
        <v>164</v>
      </c>
      <c r="I294" s="162">
        <v>6</v>
      </c>
      <c r="J294" s="153"/>
      <c r="K294" s="153" t="s">
        <v>164</v>
      </c>
      <c r="L294" s="247"/>
      <c r="M294" s="174"/>
      <c r="N294" s="177"/>
      <c r="O294" s="199">
        <f>IFERROR(VLOOKUP($P294,Suppl!$B$2:$N$57,MATCH(BDD!$B294,Suppl!$C$1:$N$1,0)+1,FALSE),"")</f>
        <v>0</v>
      </c>
      <c r="P294" s="153" t="str">
        <f t="shared" si="33"/>
        <v>16</v>
      </c>
    </row>
    <row r="295" spans="1:16" ht="15" customHeight="1" x14ac:dyDescent="0.3">
      <c r="A295" s="155" t="str">
        <f t="shared" si="32"/>
        <v>817</v>
      </c>
      <c r="B295" s="164">
        <f t="shared" si="35"/>
        <v>8</v>
      </c>
      <c r="C295" s="157" t="str">
        <f t="shared" si="36"/>
        <v>Projets</v>
      </c>
      <c r="D295" s="157" t="s">
        <v>293</v>
      </c>
      <c r="E295" s="169">
        <v>1</v>
      </c>
      <c r="F295" s="157" t="s">
        <v>316</v>
      </c>
      <c r="G295" s="407" t="s">
        <v>334</v>
      </c>
      <c r="H295" s="346" t="s">
        <v>164</v>
      </c>
      <c r="I295" s="171">
        <v>7</v>
      </c>
      <c r="J295" s="154"/>
      <c r="K295" s="154" t="s">
        <v>164</v>
      </c>
      <c r="L295" s="323"/>
      <c r="M295" s="175"/>
      <c r="N295" s="178"/>
      <c r="O295" s="200">
        <f>IFERROR(VLOOKUP($P295,Suppl!$B$2:$N$57,MATCH(BDD!$B295,Suppl!$C$1:$N$1,0)+1,FALSE),"")</f>
        <v>0</v>
      </c>
      <c r="P295" s="154" t="str">
        <f t="shared" si="33"/>
        <v>17</v>
      </c>
    </row>
    <row r="296" spans="1:16" ht="15" customHeight="1" x14ac:dyDescent="0.3">
      <c r="A296" s="155" t="str">
        <f t="shared" si="32"/>
        <v>821</v>
      </c>
      <c r="B296" s="163">
        <f t="shared" si="35"/>
        <v>8</v>
      </c>
      <c r="C296" s="156" t="str">
        <f t="shared" si="36"/>
        <v>Projets</v>
      </c>
      <c r="D296" s="156" t="s">
        <v>293</v>
      </c>
      <c r="E296" s="167">
        <v>2</v>
      </c>
      <c r="F296" s="180" t="s">
        <v>317</v>
      </c>
      <c r="G296" s="409" t="s">
        <v>335</v>
      </c>
      <c r="H296" s="346" t="s">
        <v>400</v>
      </c>
      <c r="I296" s="162">
        <v>1</v>
      </c>
      <c r="J296" s="153" t="s">
        <v>377</v>
      </c>
      <c r="K296" s="153" t="s">
        <v>22</v>
      </c>
      <c r="L296" s="247" t="s">
        <v>770</v>
      </c>
      <c r="M296" s="153"/>
      <c r="N296" s="153"/>
      <c r="O296" s="199">
        <f>IFERROR(VLOOKUP($P296,Suppl!$B$2:$N$57,MATCH(BDD!$B296,Suppl!$C$1:$N$1,0)+1,FALSE),"")</f>
        <v>0</v>
      </c>
      <c r="P296" s="153" t="str">
        <f t="shared" si="33"/>
        <v>21</v>
      </c>
    </row>
    <row r="297" spans="1:16" ht="15" customHeight="1" x14ac:dyDescent="0.3">
      <c r="A297" s="155" t="str">
        <f t="shared" si="32"/>
        <v>822</v>
      </c>
      <c r="B297" s="163">
        <f t="shared" si="35"/>
        <v>8</v>
      </c>
      <c r="C297" s="156" t="str">
        <f t="shared" si="36"/>
        <v>Projets</v>
      </c>
      <c r="D297" s="156" t="s">
        <v>293</v>
      </c>
      <c r="E297" s="168">
        <v>2</v>
      </c>
      <c r="F297" s="156" t="s">
        <v>317</v>
      </c>
      <c r="G297" s="406" t="s">
        <v>335</v>
      </c>
      <c r="H297" s="346" t="s">
        <v>164</v>
      </c>
      <c r="I297" s="162">
        <v>2</v>
      </c>
      <c r="J297" s="153" t="s">
        <v>378</v>
      </c>
      <c r="K297" s="153" t="s">
        <v>22</v>
      </c>
      <c r="L297" s="247" t="s">
        <v>1102</v>
      </c>
      <c r="M297" s="153"/>
      <c r="N297" s="153"/>
      <c r="O297" s="199">
        <f>IFERROR(VLOOKUP($P297,Suppl!$B$2:$N$57,MATCH(BDD!$B297,Suppl!$C$1:$N$1,0)+1,FALSE),"")</f>
        <v>0</v>
      </c>
      <c r="P297" s="153" t="str">
        <f t="shared" si="33"/>
        <v>22</v>
      </c>
    </row>
    <row r="298" spans="1:16" ht="15" customHeight="1" x14ac:dyDescent="0.3">
      <c r="A298" s="155" t="str">
        <f t="shared" si="32"/>
        <v>823</v>
      </c>
      <c r="B298" s="163">
        <f t="shared" si="35"/>
        <v>8</v>
      </c>
      <c r="C298" s="156" t="str">
        <f t="shared" si="36"/>
        <v>Projets</v>
      </c>
      <c r="D298" s="156" t="s">
        <v>293</v>
      </c>
      <c r="E298" s="168">
        <v>2</v>
      </c>
      <c r="F298" s="156" t="s">
        <v>317</v>
      </c>
      <c r="G298" s="406" t="s">
        <v>335</v>
      </c>
      <c r="H298" s="346" t="s">
        <v>164</v>
      </c>
      <c r="I298" s="162">
        <v>3</v>
      </c>
      <c r="J298" s="153" t="s">
        <v>379</v>
      </c>
      <c r="K298" s="153" t="s">
        <v>23</v>
      </c>
      <c r="L298" s="247" t="s">
        <v>771</v>
      </c>
      <c r="M298" s="153"/>
      <c r="N298" s="153"/>
      <c r="O298" s="199">
        <f>IFERROR(VLOOKUP($P298,Suppl!$B$2:$N$57,MATCH(BDD!$B298,Suppl!$C$1:$N$1,0)+1,FALSE),"")</f>
        <v>0</v>
      </c>
      <c r="P298" s="153" t="str">
        <f t="shared" si="33"/>
        <v>23</v>
      </c>
    </row>
    <row r="299" spans="1:16" ht="15" customHeight="1" x14ac:dyDescent="0.3">
      <c r="A299" s="155" t="str">
        <f t="shared" si="32"/>
        <v>824</v>
      </c>
      <c r="B299" s="163">
        <f t="shared" si="35"/>
        <v>8</v>
      </c>
      <c r="C299" s="156" t="str">
        <f t="shared" si="36"/>
        <v>Projets</v>
      </c>
      <c r="D299" s="156" t="s">
        <v>293</v>
      </c>
      <c r="E299" s="168">
        <v>2</v>
      </c>
      <c r="F299" s="156" t="s">
        <v>317</v>
      </c>
      <c r="G299" s="406" t="s">
        <v>335</v>
      </c>
      <c r="H299" s="346" t="s">
        <v>164</v>
      </c>
      <c r="I299" s="162">
        <v>4</v>
      </c>
      <c r="J299" s="153" t="s">
        <v>380</v>
      </c>
      <c r="K299" s="153" t="s">
        <v>23</v>
      </c>
      <c r="L299" s="247" t="s">
        <v>772</v>
      </c>
      <c r="M299" s="153"/>
      <c r="N299" s="153"/>
      <c r="O299" s="199">
        <f>IFERROR(VLOOKUP($P299,Suppl!$B$2:$N$57,MATCH(BDD!$B299,Suppl!$C$1:$N$1,0)+1,FALSE),"")</f>
        <v>0</v>
      </c>
      <c r="P299" s="153" t="str">
        <f t="shared" si="33"/>
        <v>24</v>
      </c>
    </row>
    <row r="300" spans="1:16" ht="15" customHeight="1" x14ac:dyDescent="0.3">
      <c r="A300" s="155" t="str">
        <f t="shared" si="32"/>
        <v>825</v>
      </c>
      <c r="B300" s="163">
        <f t="shared" si="35"/>
        <v>8</v>
      </c>
      <c r="C300" s="156" t="str">
        <f t="shared" si="36"/>
        <v>Projets</v>
      </c>
      <c r="D300" s="156" t="s">
        <v>293</v>
      </c>
      <c r="E300" s="168">
        <v>2</v>
      </c>
      <c r="F300" s="156" t="s">
        <v>317</v>
      </c>
      <c r="G300" s="406" t="s">
        <v>335</v>
      </c>
      <c r="H300" s="346" t="s">
        <v>164</v>
      </c>
      <c r="I300" s="162">
        <v>5</v>
      </c>
      <c r="J300" s="153" t="s">
        <v>702</v>
      </c>
      <c r="K300" s="153" t="s">
        <v>23</v>
      </c>
      <c r="L300" s="247" t="s">
        <v>773</v>
      </c>
      <c r="M300" s="153"/>
      <c r="N300" s="153"/>
      <c r="O300" s="199">
        <f>IFERROR(VLOOKUP($P300,Suppl!$B$2:$N$57,MATCH(BDD!$B300,Suppl!$C$1:$N$1,0)+1,FALSE),"")</f>
        <v>0</v>
      </c>
      <c r="P300" s="153" t="str">
        <f t="shared" si="33"/>
        <v>25</v>
      </c>
    </row>
    <row r="301" spans="1:16" ht="15" customHeight="1" x14ac:dyDescent="0.3">
      <c r="A301" s="155" t="str">
        <f t="shared" si="32"/>
        <v>826</v>
      </c>
      <c r="B301" s="163">
        <f t="shared" si="35"/>
        <v>8</v>
      </c>
      <c r="C301" s="156" t="str">
        <f t="shared" si="36"/>
        <v>Projets</v>
      </c>
      <c r="D301" s="156" t="s">
        <v>293</v>
      </c>
      <c r="E301" s="168">
        <v>2</v>
      </c>
      <c r="F301" s="156" t="s">
        <v>317</v>
      </c>
      <c r="G301" s="406" t="s">
        <v>335</v>
      </c>
      <c r="H301" s="346" t="s">
        <v>164</v>
      </c>
      <c r="I301" s="162">
        <v>6</v>
      </c>
      <c r="J301" s="153" t="s">
        <v>381</v>
      </c>
      <c r="K301" s="153" t="s">
        <v>25</v>
      </c>
      <c r="L301" s="247" t="s">
        <v>774</v>
      </c>
      <c r="M301" s="153"/>
      <c r="N301" s="153"/>
      <c r="O301" s="199">
        <f>IFERROR(VLOOKUP($P301,Suppl!$B$2:$N$57,MATCH(BDD!$B301,Suppl!$C$1:$N$1,0)+1,FALSE),"")</f>
        <v>0</v>
      </c>
      <c r="P301" s="153" t="str">
        <f t="shared" si="33"/>
        <v>26</v>
      </c>
    </row>
    <row r="302" spans="1:16" ht="15" customHeight="1" x14ac:dyDescent="0.3">
      <c r="A302" s="155" t="str">
        <f t="shared" si="32"/>
        <v>827</v>
      </c>
      <c r="B302" s="164">
        <f t="shared" si="35"/>
        <v>8</v>
      </c>
      <c r="C302" s="157" t="str">
        <f t="shared" si="36"/>
        <v>Projets</v>
      </c>
      <c r="D302" s="157" t="s">
        <v>293</v>
      </c>
      <c r="E302" s="169">
        <v>2</v>
      </c>
      <c r="F302" s="157" t="s">
        <v>317</v>
      </c>
      <c r="G302" s="407" t="s">
        <v>335</v>
      </c>
      <c r="H302" s="346" t="s">
        <v>164</v>
      </c>
      <c r="I302" s="171">
        <v>7</v>
      </c>
      <c r="J302" s="154"/>
      <c r="K302" s="154" t="s">
        <v>164</v>
      </c>
      <c r="L302" s="323"/>
      <c r="M302" s="154"/>
      <c r="N302" s="154"/>
      <c r="O302" s="200">
        <f>IFERROR(VLOOKUP($P302,Suppl!$B$2:$N$57,MATCH(BDD!$B302,Suppl!$C$1:$N$1,0)+1,FALSE),"")</f>
        <v>0</v>
      </c>
      <c r="P302" s="154" t="str">
        <f t="shared" si="33"/>
        <v>27</v>
      </c>
    </row>
    <row r="303" spans="1:16" ht="15" customHeight="1" x14ac:dyDescent="0.3">
      <c r="A303" s="155" t="str">
        <f t="shared" si="32"/>
        <v>831</v>
      </c>
      <c r="B303" s="163">
        <f t="shared" si="35"/>
        <v>8</v>
      </c>
      <c r="C303" s="156" t="str">
        <f t="shared" si="36"/>
        <v>Projets</v>
      </c>
      <c r="D303" s="156" t="s">
        <v>293</v>
      </c>
      <c r="E303" s="167">
        <v>3</v>
      </c>
      <c r="F303" s="180" t="s">
        <v>318</v>
      </c>
      <c r="G303" s="409" t="s">
        <v>336</v>
      </c>
      <c r="H303" s="346" t="s">
        <v>164</v>
      </c>
      <c r="I303" s="162">
        <v>1</v>
      </c>
      <c r="J303" s="153" t="s">
        <v>382</v>
      </c>
      <c r="K303" s="153" t="s">
        <v>23</v>
      </c>
      <c r="L303" s="247" t="s">
        <v>775</v>
      </c>
      <c r="M303" s="153"/>
      <c r="N303" s="153"/>
      <c r="O303" s="199">
        <f>IFERROR(VLOOKUP($P303,Suppl!$B$2:$N$57,MATCH(BDD!$B303,Suppl!$C$1:$N$1,0)+1,FALSE),"")</f>
        <v>0</v>
      </c>
      <c r="P303" s="153" t="str">
        <f t="shared" si="33"/>
        <v>31</v>
      </c>
    </row>
    <row r="304" spans="1:16" ht="15" customHeight="1" x14ac:dyDescent="0.3">
      <c r="A304" s="155" t="str">
        <f t="shared" si="32"/>
        <v>832</v>
      </c>
      <c r="B304" s="163">
        <f t="shared" si="35"/>
        <v>8</v>
      </c>
      <c r="C304" s="156" t="str">
        <f t="shared" si="36"/>
        <v>Projets</v>
      </c>
      <c r="D304" s="156" t="s">
        <v>293</v>
      </c>
      <c r="E304" s="168">
        <v>3</v>
      </c>
      <c r="F304" s="156" t="s">
        <v>318</v>
      </c>
      <c r="G304" s="406" t="s">
        <v>336</v>
      </c>
      <c r="H304" s="346" t="s">
        <v>164</v>
      </c>
      <c r="I304" s="162">
        <v>2</v>
      </c>
      <c r="J304" s="153" t="s">
        <v>383</v>
      </c>
      <c r="K304" s="153" t="s">
        <v>22</v>
      </c>
      <c r="L304" s="247" t="s">
        <v>776</v>
      </c>
      <c r="M304" s="153"/>
      <c r="N304" s="153"/>
      <c r="O304" s="199">
        <f>IFERROR(VLOOKUP($P304,Suppl!$B$2:$N$57,MATCH(BDD!$B304,Suppl!$C$1:$N$1,0)+1,FALSE),"")</f>
        <v>0</v>
      </c>
      <c r="P304" s="153" t="str">
        <f t="shared" si="33"/>
        <v>32</v>
      </c>
    </row>
    <row r="305" spans="1:16" ht="15" customHeight="1" x14ac:dyDescent="0.3">
      <c r="A305" s="155" t="str">
        <f t="shared" si="32"/>
        <v>833</v>
      </c>
      <c r="B305" s="163">
        <f t="shared" si="35"/>
        <v>8</v>
      </c>
      <c r="C305" s="156" t="str">
        <f t="shared" si="36"/>
        <v>Projets</v>
      </c>
      <c r="D305" s="156" t="s">
        <v>293</v>
      </c>
      <c r="E305" s="168">
        <v>3</v>
      </c>
      <c r="F305" s="156" t="s">
        <v>318</v>
      </c>
      <c r="G305" s="406" t="s">
        <v>336</v>
      </c>
      <c r="H305" s="346" t="s">
        <v>164</v>
      </c>
      <c r="I305" s="162">
        <v>3</v>
      </c>
      <c r="J305" s="153" t="s">
        <v>384</v>
      </c>
      <c r="K305" s="153" t="s">
        <v>24</v>
      </c>
      <c r="L305" s="247" t="s">
        <v>777</v>
      </c>
      <c r="M305" s="153"/>
      <c r="N305" s="153"/>
      <c r="O305" s="199">
        <f>IFERROR(VLOOKUP($P305,Suppl!$B$2:$N$57,MATCH(BDD!$B305,Suppl!$C$1:$N$1,0)+1,FALSE),"")</f>
        <v>0</v>
      </c>
      <c r="P305" s="153" t="str">
        <f t="shared" si="33"/>
        <v>33</v>
      </c>
    </row>
    <row r="306" spans="1:16" ht="15" customHeight="1" x14ac:dyDescent="0.3">
      <c r="A306" s="155" t="str">
        <f t="shared" si="32"/>
        <v>834</v>
      </c>
      <c r="B306" s="163">
        <f t="shared" si="35"/>
        <v>8</v>
      </c>
      <c r="C306" s="156" t="str">
        <f t="shared" si="36"/>
        <v>Projets</v>
      </c>
      <c r="D306" s="156" t="s">
        <v>293</v>
      </c>
      <c r="E306" s="168">
        <v>3</v>
      </c>
      <c r="F306" s="156" t="s">
        <v>318</v>
      </c>
      <c r="G306" s="406" t="s">
        <v>336</v>
      </c>
      <c r="H306" s="346" t="s">
        <v>164</v>
      </c>
      <c r="I306" s="162">
        <v>4</v>
      </c>
      <c r="J306" s="153" t="s">
        <v>385</v>
      </c>
      <c r="K306" s="153" t="s">
        <v>23</v>
      </c>
      <c r="L306" s="247" t="s">
        <v>778</v>
      </c>
      <c r="M306" s="153"/>
      <c r="N306" s="153"/>
      <c r="O306" s="199">
        <f>IFERROR(VLOOKUP($P306,Suppl!$B$2:$N$57,MATCH(BDD!$B306,Suppl!$C$1:$N$1,0)+1,FALSE),"")</f>
        <v>0</v>
      </c>
      <c r="P306" s="153" t="str">
        <f t="shared" si="33"/>
        <v>34</v>
      </c>
    </row>
    <row r="307" spans="1:16" ht="15" customHeight="1" x14ac:dyDescent="0.3">
      <c r="A307" s="155" t="str">
        <f t="shared" si="32"/>
        <v>835</v>
      </c>
      <c r="B307" s="163">
        <f t="shared" si="35"/>
        <v>8</v>
      </c>
      <c r="C307" s="156" t="str">
        <f t="shared" si="36"/>
        <v>Projets</v>
      </c>
      <c r="D307" s="156" t="s">
        <v>293</v>
      </c>
      <c r="E307" s="168">
        <v>3</v>
      </c>
      <c r="F307" s="156" t="s">
        <v>318</v>
      </c>
      <c r="G307" s="406" t="s">
        <v>336</v>
      </c>
      <c r="H307" s="346" t="s">
        <v>164</v>
      </c>
      <c r="I307" s="162">
        <v>5</v>
      </c>
      <c r="J307" s="153" t="s">
        <v>386</v>
      </c>
      <c r="K307" s="153" t="s">
        <v>24</v>
      </c>
      <c r="L307" s="247" t="s">
        <v>779</v>
      </c>
      <c r="M307" s="153"/>
      <c r="N307" s="153"/>
      <c r="O307" s="199">
        <f>IFERROR(VLOOKUP($P307,Suppl!$B$2:$N$57,MATCH(BDD!$B307,Suppl!$C$1:$N$1,0)+1,FALSE),"")</f>
        <v>0</v>
      </c>
      <c r="P307" s="153" t="str">
        <f t="shared" si="33"/>
        <v>35</v>
      </c>
    </row>
    <row r="308" spans="1:16" ht="15" customHeight="1" x14ac:dyDescent="0.3">
      <c r="A308" s="155" t="str">
        <f t="shared" si="32"/>
        <v>836</v>
      </c>
      <c r="B308" s="163">
        <f t="shared" si="35"/>
        <v>8</v>
      </c>
      <c r="C308" s="156" t="str">
        <f t="shared" si="36"/>
        <v>Projets</v>
      </c>
      <c r="D308" s="156" t="s">
        <v>293</v>
      </c>
      <c r="E308" s="168">
        <v>3</v>
      </c>
      <c r="F308" s="156" t="s">
        <v>318</v>
      </c>
      <c r="G308" s="406" t="s">
        <v>336</v>
      </c>
      <c r="H308" s="346" t="s">
        <v>164</v>
      </c>
      <c r="I308" s="162">
        <v>6</v>
      </c>
      <c r="J308" s="153"/>
      <c r="K308" s="153" t="s">
        <v>164</v>
      </c>
      <c r="L308" s="247"/>
      <c r="M308" s="153"/>
      <c r="N308" s="153"/>
      <c r="O308" s="199">
        <f>IFERROR(VLOOKUP($P308,Suppl!$B$2:$N$57,MATCH(BDD!$B308,Suppl!$C$1:$N$1,0)+1,FALSE),"")</f>
        <v>0</v>
      </c>
      <c r="P308" s="153" t="str">
        <f t="shared" si="33"/>
        <v>36</v>
      </c>
    </row>
    <row r="309" spans="1:16" ht="15" customHeight="1" x14ac:dyDescent="0.3">
      <c r="A309" s="155" t="str">
        <f t="shared" si="32"/>
        <v>837</v>
      </c>
      <c r="B309" s="164">
        <f t="shared" si="35"/>
        <v>8</v>
      </c>
      <c r="C309" s="157" t="str">
        <f t="shared" si="36"/>
        <v>Projets</v>
      </c>
      <c r="D309" s="157" t="s">
        <v>293</v>
      </c>
      <c r="E309" s="169">
        <v>3</v>
      </c>
      <c r="F309" s="157" t="s">
        <v>318</v>
      </c>
      <c r="G309" s="407" t="s">
        <v>336</v>
      </c>
      <c r="H309" s="346" t="s">
        <v>164</v>
      </c>
      <c r="I309" s="171">
        <v>7</v>
      </c>
      <c r="J309" s="154"/>
      <c r="K309" s="154" t="s">
        <v>164</v>
      </c>
      <c r="L309" s="323"/>
      <c r="M309" s="154"/>
      <c r="N309" s="154"/>
      <c r="O309" s="200">
        <f>IFERROR(VLOOKUP($P309,Suppl!$B$2:$N$57,MATCH(BDD!$B309,Suppl!$C$1:$N$1,0)+1,FALSE),"")</f>
        <v>0</v>
      </c>
      <c r="P309" s="154" t="str">
        <f t="shared" si="33"/>
        <v>37</v>
      </c>
    </row>
    <row r="310" spans="1:16" ht="15" customHeight="1" x14ac:dyDescent="0.3">
      <c r="A310" s="155" t="str">
        <f t="shared" si="32"/>
        <v>841</v>
      </c>
      <c r="B310" s="163">
        <f t="shared" si="35"/>
        <v>8</v>
      </c>
      <c r="C310" s="156" t="str">
        <f t="shared" si="36"/>
        <v>Projets</v>
      </c>
      <c r="D310" s="156" t="s">
        <v>293</v>
      </c>
      <c r="E310" s="167">
        <v>4</v>
      </c>
      <c r="F310" s="180" t="s">
        <v>319</v>
      </c>
      <c r="G310" s="409" t="s">
        <v>337</v>
      </c>
      <c r="H310" s="346" t="s">
        <v>1080</v>
      </c>
      <c r="I310" s="162">
        <v>1</v>
      </c>
      <c r="J310" s="153" t="s">
        <v>387</v>
      </c>
      <c r="K310" s="153" t="s">
        <v>24</v>
      </c>
      <c r="L310" s="247" t="s">
        <v>885</v>
      </c>
      <c r="M310" s="153"/>
      <c r="N310" s="153"/>
      <c r="O310" s="199">
        <f>IFERROR(VLOOKUP($P310,Suppl!$B$2:$N$57,MATCH(BDD!$B310,Suppl!$C$1:$N$1,0)+1,FALSE),"")</f>
        <v>0</v>
      </c>
      <c r="P310" s="153" t="str">
        <f t="shared" si="33"/>
        <v>41</v>
      </c>
    </row>
    <row r="311" spans="1:16" ht="15" customHeight="1" x14ac:dyDescent="0.3">
      <c r="A311" s="155" t="str">
        <f t="shared" si="32"/>
        <v>842</v>
      </c>
      <c r="B311" s="163">
        <f t="shared" si="35"/>
        <v>8</v>
      </c>
      <c r="C311" s="156" t="str">
        <f t="shared" si="36"/>
        <v>Projets</v>
      </c>
      <c r="D311" s="156" t="s">
        <v>293</v>
      </c>
      <c r="E311" s="168">
        <v>4</v>
      </c>
      <c r="F311" s="156" t="s">
        <v>319</v>
      </c>
      <c r="G311" s="406" t="s">
        <v>337</v>
      </c>
      <c r="H311" s="346" t="s">
        <v>164</v>
      </c>
      <c r="I311" s="162">
        <v>2</v>
      </c>
      <c r="J311" s="153" t="s">
        <v>388</v>
      </c>
      <c r="K311" s="153" t="s">
        <v>24</v>
      </c>
      <c r="L311" s="247" t="s">
        <v>780</v>
      </c>
      <c r="M311" s="153"/>
      <c r="N311" s="153"/>
      <c r="O311" s="199">
        <f>IFERROR(VLOOKUP($P311,Suppl!$B$2:$N$57,MATCH(BDD!$B311,Suppl!$C$1:$N$1,0)+1,FALSE),"")</f>
        <v>0</v>
      </c>
      <c r="P311" s="153" t="str">
        <f t="shared" si="33"/>
        <v>42</v>
      </c>
    </row>
    <row r="312" spans="1:16" ht="15" customHeight="1" x14ac:dyDescent="0.3">
      <c r="A312" s="155" t="str">
        <f t="shared" si="32"/>
        <v>843</v>
      </c>
      <c r="B312" s="163">
        <f t="shared" si="35"/>
        <v>8</v>
      </c>
      <c r="C312" s="156" t="str">
        <f t="shared" si="36"/>
        <v>Projets</v>
      </c>
      <c r="D312" s="156" t="s">
        <v>293</v>
      </c>
      <c r="E312" s="168">
        <v>4</v>
      </c>
      <c r="F312" s="156" t="s">
        <v>319</v>
      </c>
      <c r="G312" s="406" t="s">
        <v>337</v>
      </c>
      <c r="H312" s="346" t="s">
        <v>164</v>
      </c>
      <c r="I312" s="162">
        <v>3</v>
      </c>
      <c r="J312" s="153" t="s">
        <v>886</v>
      </c>
      <c r="K312" s="153" t="s">
        <v>24</v>
      </c>
      <c r="L312" s="247" t="s">
        <v>781</v>
      </c>
      <c r="M312" s="153"/>
      <c r="N312" s="153"/>
      <c r="O312" s="199">
        <f>IFERROR(VLOOKUP($P312,Suppl!$B$2:$N$57,MATCH(BDD!$B312,Suppl!$C$1:$N$1,0)+1,FALSE),"")</f>
        <v>0</v>
      </c>
      <c r="P312" s="153" t="str">
        <f t="shared" si="33"/>
        <v>43</v>
      </c>
    </row>
    <row r="313" spans="1:16" ht="15" customHeight="1" x14ac:dyDescent="0.3">
      <c r="A313" s="155" t="str">
        <f t="shared" si="32"/>
        <v>844</v>
      </c>
      <c r="B313" s="163">
        <f t="shared" si="35"/>
        <v>8</v>
      </c>
      <c r="C313" s="156" t="str">
        <f t="shared" si="36"/>
        <v>Projets</v>
      </c>
      <c r="D313" s="156" t="s">
        <v>293</v>
      </c>
      <c r="E313" s="168">
        <v>4</v>
      </c>
      <c r="F313" s="156" t="s">
        <v>319</v>
      </c>
      <c r="G313" s="406" t="s">
        <v>337</v>
      </c>
      <c r="H313" s="346" t="s">
        <v>164</v>
      </c>
      <c r="I313" s="162">
        <v>4</v>
      </c>
      <c r="J313" s="153" t="s">
        <v>389</v>
      </c>
      <c r="K313" s="153" t="s">
        <v>25</v>
      </c>
      <c r="L313" s="247" t="s">
        <v>1103</v>
      </c>
      <c r="M313" s="153"/>
      <c r="N313" s="153"/>
      <c r="O313" s="199">
        <f>IFERROR(VLOOKUP($P313,Suppl!$B$2:$N$57,MATCH(BDD!$B313,Suppl!$C$1:$N$1,0)+1,FALSE),"")</f>
        <v>0</v>
      </c>
      <c r="P313" s="153" t="str">
        <f t="shared" si="33"/>
        <v>44</v>
      </c>
    </row>
    <row r="314" spans="1:16" ht="15" customHeight="1" x14ac:dyDescent="0.3">
      <c r="A314" s="155" t="str">
        <f t="shared" si="32"/>
        <v>845</v>
      </c>
      <c r="B314" s="163">
        <f t="shared" si="35"/>
        <v>8</v>
      </c>
      <c r="C314" s="156" t="str">
        <f t="shared" si="36"/>
        <v>Projets</v>
      </c>
      <c r="D314" s="156" t="s">
        <v>293</v>
      </c>
      <c r="E314" s="168">
        <v>4</v>
      </c>
      <c r="F314" s="156" t="s">
        <v>319</v>
      </c>
      <c r="G314" s="406" t="s">
        <v>337</v>
      </c>
      <c r="H314" s="346" t="s">
        <v>164</v>
      </c>
      <c r="I314" s="162">
        <v>5</v>
      </c>
      <c r="J314" s="153"/>
      <c r="K314" s="153" t="s">
        <v>164</v>
      </c>
      <c r="L314" s="247"/>
      <c r="M314" s="153"/>
      <c r="N314" s="153"/>
      <c r="O314" s="199">
        <f>IFERROR(VLOOKUP($P314,Suppl!$B$2:$N$57,MATCH(BDD!$B314,Suppl!$C$1:$N$1,0)+1,FALSE),"")</f>
        <v>0</v>
      </c>
      <c r="P314" s="153" t="str">
        <f t="shared" si="33"/>
        <v>45</v>
      </c>
    </row>
    <row r="315" spans="1:16" ht="15" customHeight="1" x14ac:dyDescent="0.3">
      <c r="A315" s="155" t="str">
        <f t="shared" si="32"/>
        <v>846</v>
      </c>
      <c r="B315" s="163">
        <f t="shared" si="35"/>
        <v>8</v>
      </c>
      <c r="C315" s="156" t="str">
        <f t="shared" si="36"/>
        <v>Projets</v>
      </c>
      <c r="D315" s="156" t="s">
        <v>293</v>
      </c>
      <c r="E315" s="168">
        <v>4</v>
      </c>
      <c r="F315" s="156" t="s">
        <v>319</v>
      </c>
      <c r="G315" s="406" t="s">
        <v>337</v>
      </c>
      <c r="H315" s="346" t="s">
        <v>164</v>
      </c>
      <c r="I315" s="162">
        <v>6</v>
      </c>
      <c r="J315" s="153"/>
      <c r="K315" s="153" t="s">
        <v>164</v>
      </c>
      <c r="L315" s="247"/>
      <c r="M315" s="153"/>
      <c r="N315" s="153"/>
      <c r="O315" s="199">
        <f>IFERROR(VLOOKUP($P315,Suppl!$B$2:$N$57,MATCH(BDD!$B315,Suppl!$C$1:$N$1,0)+1,FALSE),"")</f>
        <v>0</v>
      </c>
      <c r="P315" s="153" t="str">
        <f t="shared" si="33"/>
        <v>46</v>
      </c>
    </row>
    <row r="316" spans="1:16" ht="15" customHeight="1" x14ac:dyDescent="0.3">
      <c r="A316" s="155" t="str">
        <f t="shared" si="32"/>
        <v>847</v>
      </c>
      <c r="B316" s="164">
        <f t="shared" si="35"/>
        <v>8</v>
      </c>
      <c r="C316" s="157" t="str">
        <f t="shared" si="36"/>
        <v>Projets</v>
      </c>
      <c r="D316" s="157" t="s">
        <v>293</v>
      </c>
      <c r="E316" s="169">
        <v>4</v>
      </c>
      <c r="F316" s="157" t="s">
        <v>319</v>
      </c>
      <c r="G316" s="407" t="s">
        <v>337</v>
      </c>
      <c r="H316" s="346" t="s">
        <v>164</v>
      </c>
      <c r="I316" s="171">
        <v>7</v>
      </c>
      <c r="J316" s="154"/>
      <c r="K316" s="154" t="s">
        <v>164</v>
      </c>
      <c r="L316" s="323"/>
      <c r="M316" s="154"/>
      <c r="N316" s="154"/>
      <c r="O316" s="200">
        <f>IFERROR(VLOOKUP($P316,Suppl!$B$2:$N$57,MATCH(BDD!$B316,Suppl!$C$1:$N$1,0)+1,FALSE),"")</f>
        <v>0</v>
      </c>
      <c r="P316" s="154" t="str">
        <f t="shared" si="33"/>
        <v>47</v>
      </c>
    </row>
    <row r="317" spans="1:16" ht="15" customHeight="1" x14ac:dyDescent="0.3">
      <c r="A317" s="155" t="str">
        <f t="shared" si="32"/>
        <v>851</v>
      </c>
      <c r="B317" s="163">
        <f t="shared" si="35"/>
        <v>8</v>
      </c>
      <c r="C317" s="156" t="str">
        <f t="shared" si="36"/>
        <v>Projets</v>
      </c>
      <c r="D317" s="156" t="s">
        <v>293</v>
      </c>
      <c r="E317" s="167">
        <v>5</v>
      </c>
      <c r="F317" s="180" t="s">
        <v>320</v>
      </c>
      <c r="G317" s="409" t="s">
        <v>338</v>
      </c>
      <c r="H317" s="346" t="s">
        <v>401</v>
      </c>
      <c r="I317" s="162">
        <v>1</v>
      </c>
      <c r="J317" s="153" t="s">
        <v>390</v>
      </c>
      <c r="K317" s="153" t="s">
        <v>22</v>
      </c>
      <c r="L317" s="247" t="s">
        <v>782</v>
      </c>
      <c r="M317" s="153"/>
      <c r="N317" s="153"/>
      <c r="O317" s="199">
        <f>IFERROR(VLOOKUP($P317,Suppl!$B$2:$N$57,MATCH(BDD!$B317,Suppl!$C$1:$N$1,0)+1,FALSE),"")</f>
        <v>0</v>
      </c>
      <c r="P317" s="153" t="str">
        <f t="shared" si="33"/>
        <v>51</v>
      </c>
    </row>
    <row r="318" spans="1:16" ht="15" customHeight="1" x14ac:dyDescent="0.3">
      <c r="A318" s="155" t="str">
        <f t="shared" si="32"/>
        <v>852</v>
      </c>
      <c r="B318" s="163">
        <f t="shared" si="35"/>
        <v>8</v>
      </c>
      <c r="C318" s="156" t="str">
        <f t="shared" si="36"/>
        <v>Projets</v>
      </c>
      <c r="D318" s="156" t="s">
        <v>293</v>
      </c>
      <c r="E318" s="168">
        <v>5</v>
      </c>
      <c r="F318" s="156" t="s">
        <v>320</v>
      </c>
      <c r="G318" s="406" t="s">
        <v>338</v>
      </c>
      <c r="H318" s="346" t="s">
        <v>164</v>
      </c>
      <c r="I318" s="162">
        <v>2</v>
      </c>
      <c r="J318" s="153" t="s">
        <v>391</v>
      </c>
      <c r="K318" s="153" t="s">
        <v>22</v>
      </c>
      <c r="L318" s="247" t="s">
        <v>783</v>
      </c>
      <c r="M318" s="153"/>
      <c r="N318" s="153"/>
      <c r="O318" s="199">
        <f>IFERROR(VLOOKUP($P318,Suppl!$B$2:$N$57,MATCH(BDD!$B318,Suppl!$C$1:$N$1,0)+1,FALSE),"")</f>
        <v>0</v>
      </c>
      <c r="P318" s="153" t="str">
        <f t="shared" si="33"/>
        <v>52</v>
      </c>
    </row>
    <row r="319" spans="1:16" ht="15" customHeight="1" x14ac:dyDescent="0.3">
      <c r="A319" s="155" t="str">
        <f t="shared" si="32"/>
        <v>853</v>
      </c>
      <c r="B319" s="163">
        <f t="shared" si="35"/>
        <v>8</v>
      </c>
      <c r="C319" s="156" t="str">
        <f t="shared" si="36"/>
        <v>Projets</v>
      </c>
      <c r="D319" s="156" t="s">
        <v>293</v>
      </c>
      <c r="E319" s="168">
        <v>5</v>
      </c>
      <c r="F319" s="156" t="s">
        <v>320</v>
      </c>
      <c r="G319" s="406" t="s">
        <v>338</v>
      </c>
      <c r="H319" s="346" t="s">
        <v>164</v>
      </c>
      <c r="I319" s="162">
        <v>3</v>
      </c>
      <c r="J319" s="153" t="s">
        <v>392</v>
      </c>
      <c r="K319" s="153" t="s">
        <v>23</v>
      </c>
      <c r="L319" s="247"/>
      <c r="M319" s="153"/>
      <c r="N319" s="153"/>
      <c r="O319" s="199">
        <f>IFERROR(VLOOKUP($P319,Suppl!$B$2:$N$57,MATCH(BDD!$B319,Suppl!$C$1:$N$1,0)+1,FALSE),"")</f>
        <v>0</v>
      </c>
      <c r="P319" s="153" t="str">
        <f t="shared" si="33"/>
        <v>53</v>
      </c>
    </row>
    <row r="320" spans="1:16" ht="15" customHeight="1" x14ac:dyDescent="0.3">
      <c r="A320" s="155" t="str">
        <f t="shared" si="32"/>
        <v>854</v>
      </c>
      <c r="B320" s="163">
        <f t="shared" si="35"/>
        <v>8</v>
      </c>
      <c r="C320" s="156" t="str">
        <f t="shared" si="36"/>
        <v>Projets</v>
      </c>
      <c r="D320" s="156" t="s">
        <v>293</v>
      </c>
      <c r="E320" s="168">
        <v>5</v>
      </c>
      <c r="F320" s="156" t="s">
        <v>320</v>
      </c>
      <c r="G320" s="406" t="s">
        <v>338</v>
      </c>
      <c r="H320" s="346" t="s">
        <v>164</v>
      </c>
      <c r="I320" s="162">
        <v>4</v>
      </c>
      <c r="J320" s="153" t="s">
        <v>393</v>
      </c>
      <c r="K320" s="153" t="s">
        <v>24</v>
      </c>
      <c r="L320" s="247" t="s">
        <v>1104</v>
      </c>
      <c r="M320" s="153"/>
      <c r="N320" s="153"/>
      <c r="O320" s="199">
        <f>IFERROR(VLOOKUP($P320,Suppl!$B$2:$N$57,MATCH(BDD!$B320,Suppl!$C$1:$N$1,0)+1,FALSE),"")</f>
        <v>0</v>
      </c>
      <c r="P320" s="153" t="str">
        <f t="shared" si="33"/>
        <v>54</v>
      </c>
    </row>
    <row r="321" spans="1:16" ht="15" customHeight="1" x14ac:dyDescent="0.3">
      <c r="A321" s="155" t="str">
        <f t="shared" si="32"/>
        <v>855</v>
      </c>
      <c r="B321" s="163">
        <f t="shared" si="35"/>
        <v>8</v>
      </c>
      <c r="C321" s="156" t="str">
        <f t="shared" si="36"/>
        <v>Projets</v>
      </c>
      <c r="D321" s="156" t="s">
        <v>293</v>
      </c>
      <c r="E321" s="168">
        <v>5</v>
      </c>
      <c r="F321" s="156" t="s">
        <v>320</v>
      </c>
      <c r="G321" s="406" t="s">
        <v>338</v>
      </c>
      <c r="H321" s="346" t="s">
        <v>164</v>
      </c>
      <c r="I321" s="162">
        <v>5</v>
      </c>
      <c r="J321" s="153" t="s">
        <v>394</v>
      </c>
      <c r="K321" s="153" t="s">
        <v>23</v>
      </c>
      <c r="L321" s="247" t="s">
        <v>784</v>
      </c>
      <c r="M321" s="153"/>
      <c r="N321" s="153"/>
      <c r="O321" s="199">
        <f>IFERROR(VLOOKUP($P321,Suppl!$B$2:$N$57,MATCH(BDD!$B321,Suppl!$C$1:$N$1,0)+1,FALSE),"")</f>
        <v>0</v>
      </c>
      <c r="P321" s="153" t="str">
        <f t="shared" si="33"/>
        <v>55</v>
      </c>
    </row>
    <row r="322" spans="1:16" ht="15" customHeight="1" x14ac:dyDescent="0.3">
      <c r="A322" s="155" t="str">
        <f t="shared" si="32"/>
        <v>856</v>
      </c>
      <c r="B322" s="163">
        <f t="shared" si="35"/>
        <v>8</v>
      </c>
      <c r="C322" s="156" t="str">
        <f t="shared" si="36"/>
        <v>Projets</v>
      </c>
      <c r="D322" s="156" t="s">
        <v>293</v>
      </c>
      <c r="E322" s="168">
        <v>5</v>
      </c>
      <c r="F322" s="156" t="s">
        <v>320</v>
      </c>
      <c r="G322" s="406" t="s">
        <v>338</v>
      </c>
      <c r="H322" s="346" t="s">
        <v>164</v>
      </c>
      <c r="I322" s="162">
        <v>6</v>
      </c>
      <c r="J322" s="153"/>
      <c r="K322" s="153" t="s">
        <v>164</v>
      </c>
      <c r="L322" s="247"/>
      <c r="M322" s="153"/>
      <c r="N322" s="153"/>
      <c r="O322" s="199">
        <f>IFERROR(VLOOKUP($P322,Suppl!$B$2:$N$57,MATCH(BDD!$B322,Suppl!$C$1:$N$1,0)+1,FALSE),"")</f>
        <v>0</v>
      </c>
      <c r="P322" s="153" t="str">
        <f t="shared" si="33"/>
        <v>56</v>
      </c>
    </row>
    <row r="323" spans="1:16" ht="15" customHeight="1" x14ac:dyDescent="0.3">
      <c r="A323" s="155" t="str">
        <f t="shared" si="32"/>
        <v>857</v>
      </c>
      <c r="B323" s="164">
        <f t="shared" si="35"/>
        <v>8</v>
      </c>
      <c r="C323" s="157" t="str">
        <f t="shared" si="36"/>
        <v>Projets</v>
      </c>
      <c r="D323" s="157" t="s">
        <v>293</v>
      </c>
      <c r="E323" s="169">
        <v>5</v>
      </c>
      <c r="F323" s="157" t="s">
        <v>320</v>
      </c>
      <c r="G323" s="407" t="s">
        <v>338</v>
      </c>
      <c r="H323" s="346" t="s">
        <v>164</v>
      </c>
      <c r="I323" s="171">
        <v>7</v>
      </c>
      <c r="J323" s="154"/>
      <c r="K323" s="154" t="s">
        <v>164</v>
      </c>
      <c r="L323" s="323"/>
      <c r="M323" s="154"/>
      <c r="N323" s="154"/>
      <c r="O323" s="200">
        <f>IFERROR(VLOOKUP($P323,Suppl!$B$2:$N$57,MATCH(BDD!$B323,Suppl!$C$1:$N$1,0)+1,FALSE),"")</f>
        <v>0</v>
      </c>
      <c r="P323" s="154" t="str">
        <f t="shared" si="33"/>
        <v>57</v>
      </c>
    </row>
    <row r="324" spans="1:16" ht="15" customHeight="1" x14ac:dyDescent="0.3">
      <c r="A324" s="155" t="str">
        <f t="shared" si="32"/>
        <v>861</v>
      </c>
      <c r="B324" s="163">
        <f t="shared" si="35"/>
        <v>8</v>
      </c>
      <c r="C324" s="156" t="str">
        <f t="shared" si="36"/>
        <v>Projets</v>
      </c>
      <c r="D324" s="156" t="s">
        <v>293</v>
      </c>
      <c r="E324" s="167">
        <v>6</v>
      </c>
      <c r="F324" s="180" t="s">
        <v>339</v>
      </c>
      <c r="G324" s="409" t="s">
        <v>340</v>
      </c>
      <c r="H324" s="346" t="s">
        <v>164</v>
      </c>
      <c r="I324" s="162">
        <v>1</v>
      </c>
      <c r="J324" s="153" t="s">
        <v>395</v>
      </c>
      <c r="K324" s="153" t="s">
        <v>22</v>
      </c>
      <c r="L324" s="247" t="s">
        <v>1105</v>
      </c>
      <c r="M324" s="153" t="s">
        <v>164</v>
      </c>
      <c r="N324" s="153"/>
      <c r="O324" s="199">
        <f>IFERROR(VLOOKUP($P324,Suppl!$B$2:$N$57,MATCH(BDD!$B324,Suppl!$C$1:$N$1,0)+1,FALSE),"")</f>
        <v>0</v>
      </c>
      <c r="P324" s="153" t="str">
        <f t="shared" si="33"/>
        <v>61</v>
      </c>
    </row>
    <row r="325" spans="1:16" ht="15" customHeight="1" x14ac:dyDescent="0.3">
      <c r="A325" s="155" t="str">
        <f t="shared" si="32"/>
        <v>862</v>
      </c>
      <c r="B325" s="163">
        <f t="shared" si="35"/>
        <v>8</v>
      </c>
      <c r="C325" s="156" t="str">
        <f t="shared" si="36"/>
        <v>Projets</v>
      </c>
      <c r="D325" s="156" t="s">
        <v>293</v>
      </c>
      <c r="E325" s="168">
        <v>6</v>
      </c>
      <c r="F325" s="156" t="s">
        <v>339</v>
      </c>
      <c r="G325" s="406" t="s">
        <v>340</v>
      </c>
      <c r="H325" s="346" t="s">
        <v>164</v>
      </c>
      <c r="I325" s="162">
        <v>2</v>
      </c>
      <c r="J325" s="153" t="s">
        <v>396</v>
      </c>
      <c r="K325" s="153" t="s">
        <v>23</v>
      </c>
      <c r="L325" s="247" t="s">
        <v>785</v>
      </c>
      <c r="M325" s="153" t="s">
        <v>164</v>
      </c>
      <c r="N325" s="153"/>
      <c r="O325" s="199">
        <f>IFERROR(VLOOKUP($P325,Suppl!$B$2:$N$57,MATCH(BDD!$B325,Suppl!$C$1:$N$1,0)+1,FALSE),"")</f>
        <v>0</v>
      </c>
      <c r="P325" s="153" t="str">
        <f t="shared" si="33"/>
        <v>62</v>
      </c>
    </row>
    <row r="326" spans="1:16" ht="15" customHeight="1" x14ac:dyDescent="0.3">
      <c r="A326" s="155" t="str">
        <f t="shared" si="32"/>
        <v>863</v>
      </c>
      <c r="B326" s="163">
        <f t="shared" si="35"/>
        <v>8</v>
      </c>
      <c r="C326" s="156" t="str">
        <f t="shared" si="36"/>
        <v>Projets</v>
      </c>
      <c r="D326" s="156" t="s">
        <v>293</v>
      </c>
      <c r="E326" s="168">
        <v>6</v>
      </c>
      <c r="F326" s="156" t="s">
        <v>339</v>
      </c>
      <c r="G326" s="406" t="s">
        <v>340</v>
      </c>
      <c r="H326" s="346" t="s">
        <v>164</v>
      </c>
      <c r="I326" s="162">
        <v>3</v>
      </c>
      <c r="J326" s="153" t="s">
        <v>1091</v>
      </c>
      <c r="K326" s="153" t="s">
        <v>23</v>
      </c>
      <c r="L326" s="247" t="s">
        <v>786</v>
      </c>
      <c r="M326" s="153" t="s">
        <v>164</v>
      </c>
      <c r="N326" s="153"/>
      <c r="O326" s="199">
        <f>IFERROR(VLOOKUP($P326,Suppl!$B$2:$N$57,MATCH(BDD!$B326,Suppl!$C$1:$N$1,0)+1,FALSE),"")</f>
        <v>0</v>
      </c>
      <c r="P326" s="153" t="str">
        <f t="shared" si="33"/>
        <v>63</v>
      </c>
    </row>
    <row r="327" spans="1:16" ht="15" customHeight="1" x14ac:dyDescent="0.3">
      <c r="A327" s="155" t="str">
        <f t="shared" si="32"/>
        <v>864</v>
      </c>
      <c r="B327" s="163">
        <f t="shared" si="35"/>
        <v>8</v>
      </c>
      <c r="C327" s="156" t="str">
        <f t="shared" si="36"/>
        <v>Projets</v>
      </c>
      <c r="D327" s="156" t="s">
        <v>293</v>
      </c>
      <c r="E327" s="168">
        <v>6</v>
      </c>
      <c r="F327" s="156" t="s">
        <v>339</v>
      </c>
      <c r="G327" s="406" t="s">
        <v>340</v>
      </c>
      <c r="H327" s="346" t="s">
        <v>164</v>
      </c>
      <c r="I327" s="162">
        <v>4</v>
      </c>
      <c r="J327" s="153" t="s">
        <v>397</v>
      </c>
      <c r="K327" s="153" t="s">
        <v>24</v>
      </c>
      <c r="L327" s="247" t="s">
        <v>787</v>
      </c>
      <c r="M327" s="153" t="s">
        <v>164</v>
      </c>
      <c r="N327" s="153"/>
      <c r="O327" s="199">
        <f>IFERROR(VLOOKUP($P327,Suppl!$B$2:$N$57,MATCH(BDD!$B327,Suppl!$C$1:$N$1,0)+1,FALSE),"")</f>
        <v>0</v>
      </c>
      <c r="P327" s="153" t="str">
        <f t="shared" si="33"/>
        <v>64</v>
      </c>
    </row>
    <row r="328" spans="1:16" ht="15" customHeight="1" x14ac:dyDescent="0.3">
      <c r="A328" s="155" t="str">
        <f t="shared" si="32"/>
        <v>865</v>
      </c>
      <c r="B328" s="163">
        <f t="shared" si="35"/>
        <v>8</v>
      </c>
      <c r="C328" s="156" t="str">
        <f t="shared" si="36"/>
        <v>Projets</v>
      </c>
      <c r="D328" s="156" t="s">
        <v>293</v>
      </c>
      <c r="E328" s="168">
        <v>6</v>
      </c>
      <c r="F328" s="156" t="s">
        <v>339</v>
      </c>
      <c r="G328" s="406" t="s">
        <v>340</v>
      </c>
      <c r="H328" s="346" t="s">
        <v>164</v>
      </c>
      <c r="I328" s="162">
        <v>5</v>
      </c>
      <c r="J328" s="153" t="s">
        <v>398</v>
      </c>
      <c r="K328" s="153" t="s">
        <v>24</v>
      </c>
      <c r="L328" s="247" t="s">
        <v>788</v>
      </c>
      <c r="M328" s="153" t="s">
        <v>164</v>
      </c>
      <c r="N328" s="153"/>
      <c r="O328" s="199">
        <f>IFERROR(VLOOKUP($P328,Suppl!$B$2:$N$57,MATCH(BDD!$B328,Suppl!$C$1:$N$1,0)+1,FALSE),"")</f>
        <v>0</v>
      </c>
      <c r="P328" s="153" t="str">
        <f t="shared" si="33"/>
        <v>65</v>
      </c>
    </row>
    <row r="329" spans="1:16" ht="15" customHeight="1" x14ac:dyDescent="0.3">
      <c r="A329" s="155" t="str">
        <f t="shared" si="32"/>
        <v>866</v>
      </c>
      <c r="B329" s="163">
        <f t="shared" si="35"/>
        <v>8</v>
      </c>
      <c r="C329" s="156" t="str">
        <f t="shared" si="36"/>
        <v>Projets</v>
      </c>
      <c r="D329" s="156" t="s">
        <v>293</v>
      </c>
      <c r="E329" s="168">
        <v>6</v>
      </c>
      <c r="F329" s="156" t="s">
        <v>339</v>
      </c>
      <c r="G329" s="406" t="s">
        <v>340</v>
      </c>
      <c r="H329" s="346" t="s">
        <v>164</v>
      </c>
      <c r="I329" s="162">
        <v>6</v>
      </c>
      <c r="J329" s="153"/>
      <c r="K329" s="153" t="s">
        <v>164</v>
      </c>
      <c r="L329" s="247"/>
      <c r="M329" s="153" t="s">
        <v>164</v>
      </c>
      <c r="N329" s="153"/>
      <c r="O329" s="199">
        <f>IFERROR(VLOOKUP($P329,Suppl!$B$2:$N$57,MATCH(BDD!$B329,Suppl!$C$1:$N$1,0)+1,FALSE),"")</f>
        <v>0</v>
      </c>
      <c r="P329" s="153" t="str">
        <f t="shared" si="33"/>
        <v>66</v>
      </c>
    </row>
    <row r="330" spans="1:16" ht="15" customHeight="1" x14ac:dyDescent="0.3">
      <c r="A330" s="155" t="str">
        <f t="shared" ref="A330:A386" si="37">B330&amp;E330&amp;I330</f>
        <v>867</v>
      </c>
      <c r="B330" s="164">
        <f t="shared" si="35"/>
        <v>8</v>
      </c>
      <c r="C330" s="157" t="str">
        <f t="shared" si="36"/>
        <v>Projets</v>
      </c>
      <c r="D330" s="157" t="s">
        <v>293</v>
      </c>
      <c r="E330" s="169">
        <v>6</v>
      </c>
      <c r="F330" s="157" t="s">
        <v>339</v>
      </c>
      <c r="G330" s="407" t="s">
        <v>340</v>
      </c>
      <c r="H330" s="346" t="s">
        <v>164</v>
      </c>
      <c r="I330" s="171">
        <v>7</v>
      </c>
      <c r="J330" s="154"/>
      <c r="K330" s="154" t="s">
        <v>164</v>
      </c>
      <c r="L330" s="323"/>
      <c r="M330" s="154" t="s">
        <v>164</v>
      </c>
      <c r="N330" s="154"/>
      <c r="O330" s="200">
        <f>IFERROR(VLOOKUP($P330,Suppl!$B$2:$N$57,MATCH(BDD!$B330,Suppl!$C$1:$N$1,0)+1,FALSE),"")</f>
        <v>0</v>
      </c>
      <c r="P330" s="154" t="str">
        <f t="shared" ref="P330:P386" si="38">E330&amp;I330</f>
        <v>67</v>
      </c>
    </row>
    <row r="331" spans="1:16" ht="15" customHeight="1" x14ac:dyDescent="0.3">
      <c r="A331" s="155" t="str">
        <f t="shared" si="37"/>
        <v>871</v>
      </c>
      <c r="B331" s="163">
        <f t="shared" si="35"/>
        <v>8</v>
      </c>
      <c r="C331" s="156" t="str">
        <f t="shared" si="36"/>
        <v>Projets</v>
      </c>
      <c r="D331" s="156" t="s">
        <v>293</v>
      </c>
      <c r="E331" s="167">
        <v>7</v>
      </c>
      <c r="F331" s="180" t="s">
        <v>997</v>
      </c>
      <c r="G331" s="409" t="s">
        <v>341</v>
      </c>
      <c r="H331" s="346"/>
      <c r="I331" s="162">
        <v>1</v>
      </c>
      <c r="J331" s="153" t="s">
        <v>998</v>
      </c>
      <c r="K331" s="153" t="s">
        <v>23</v>
      </c>
      <c r="L331" s="247" t="s">
        <v>789</v>
      </c>
      <c r="M331" s="153" t="s">
        <v>164</v>
      </c>
      <c r="O331" s="199">
        <f>IFERROR(VLOOKUP($P331,Suppl!$B$2:$N$57,MATCH(BDD!$B331,Suppl!$C$1:$N$1,0)+1,FALSE),"")</f>
        <v>0</v>
      </c>
      <c r="P331" s="153" t="str">
        <f t="shared" si="38"/>
        <v>71</v>
      </c>
    </row>
    <row r="332" spans="1:16" ht="15" customHeight="1" x14ac:dyDescent="0.3">
      <c r="A332" s="155" t="str">
        <f t="shared" si="37"/>
        <v>872</v>
      </c>
      <c r="B332" s="163">
        <f t="shared" si="35"/>
        <v>8</v>
      </c>
      <c r="C332" s="156" t="str">
        <f t="shared" si="36"/>
        <v>Projets</v>
      </c>
      <c r="D332" s="156" t="s">
        <v>293</v>
      </c>
      <c r="E332" s="168">
        <v>7</v>
      </c>
      <c r="F332" s="156" t="s">
        <v>997</v>
      </c>
      <c r="G332" s="406" t="s">
        <v>341</v>
      </c>
      <c r="H332" s="346" t="s">
        <v>164</v>
      </c>
      <c r="I332" s="162">
        <v>2</v>
      </c>
      <c r="J332" s="153" t="s">
        <v>999</v>
      </c>
      <c r="K332" s="153" t="s">
        <v>23</v>
      </c>
      <c r="L332" s="247" t="s">
        <v>1106</v>
      </c>
      <c r="M332" s="153" t="s">
        <v>164</v>
      </c>
      <c r="O332" s="199">
        <f>IFERROR(VLOOKUP($P332,Suppl!$B$2:$N$57,MATCH(BDD!$B332,Suppl!$C$1:$N$1,0)+1,FALSE),"")</f>
        <v>0</v>
      </c>
      <c r="P332" s="153" t="str">
        <f t="shared" si="38"/>
        <v>72</v>
      </c>
    </row>
    <row r="333" spans="1:16" ht="15" customHeight="1" x14ac:dyDescent="0.3">
      <c r="A333" s="155" t="str">
        <f t="shared" si="37"/>
        <v>873</v>
      </c>
      <c r="B333" s="163">
        <f t="shared" si="35"/>
        <v>8</v>
      </c>
      <c r="C333" s="156" t="str">
        <f t="shared" si="36"/>
        <v>Projets</v>
      </c>
      <c r="D333" s="156" t="s">
        <v>293</v>
      </c>
      <c r="E333" s="168">
        <v>7</v>
      </c>
      <c r="F333" s="156" t="s">
        <v>997</v>
      </c>
      <c r="G333" s="406" t="s">
        <v>341</v>
      </c>
      <c r="H333" s="346" t="s">
        <v>164</v>
      </c>
      <c r="I333" s="162">
        <v>3</v>
      </c>
      <c r="J333" s="153" t="s">
        <v>399</v>
      </c>
      <c r="K333" s="153" t="s">
        <v>25</v>
      </c>
      <c r="L333" s="247" t="s">
        <v>790</v>
      </c>
      <c r="M333" s="153" t="s">
        <v>164</v>
      </c>
      <c r="O333" s="199">
        <f>IFERROR(VLOOKUP($P333,Suppl!$B$2:$N$57,MATCH(BDD!$B333,Suppl!$C$1:$N$1,0)+1,FALSE),"")</f>
        <v>0</v>
      </c>
      <c r="P333" s="153" t="str">
        <f t="shared" si="38"/>
        <v>73</v>
      </c>
    </row>
    <row r="334" spans="1:16" ht="15" customHeight="1" x14ac:dyDescent="0.3">
      <c r="A334" s="155" t="str">
        <f t="shared" si="37"/>
        <v>874</v>
      </c>
      <c r="B334" s="163">
        <f t="shared" si="35"/>
        <v>8</v>
      </c>
      <c r="C334" s="156" t="str">
        <f t="shared" si="36"/>
        <v>Projets</v>
      </c>
      <c r="D334" s="156" t="s">
        <v>293</v>
      </c>
      <c r="E334" s="168">
        <v>7</v>
      </c>
      <c r="F334" s="156" t="s">
        <v>997</v>
      </c>
      <c r="G334" s="406" t="s">
        <v>341</v>
      </c>
      <c r="H334" s="346" t="s">
        <v>164</v>
      </c>
      <c r="I334" s="162">
        <v>4</v>
      </c>
      <c r="J334" s="153"/>
      <c r="K334" s="153" t="s">
        <v>164</v>
      </c>
      <c r="L334" s="247"/>
      <c r="M334" s="153" t="s">
        <v>164</v>
      </c>
      <c r="O334" s="199">
        <f>IFERROR(VLOOKUP($P334,Suppl!$B$2:$N$57,MATCH(BDD!$B334,Suppl!$C$1:$N$1,0)+1,FALSE),"")</f>
        <v>0</v>
      </c>
      <c r="P334" s="153" t="str">
        <f t="shared" si="38"/>
        <v>74</v>
      </c>
    </row>
    <row r="335" spans="1:16" ht="15" customHeight="1" x14ac:dyDescent="0.3">
      <c r="A335" s="155" t="str">
        <f t="shared" si="37"/>
        <v>875</v>
      </c>
      <c r="B335" s="163">
        <f t="shared" si="35"/>
        <v>8</v>
      </c>
      <c r="C335" s="156" t="str">
        <f t="shared" si="36"/>
        <v>Projets</v>
      </c>
      <c r="D335" s="156" t="s">
        <v>293</v>
      </c>
      <c r="E335" s="168">
        <v>7</v>
      </c>
      <c r="F335" s="156" t="s">
        <v>997</v>
      </c>
      <c r="G335" s="406" t="s">
        <v>341</v>
      </c>
      <c r="H335" s="346" t="s">
        <v>164</v>
      </c>
      <c r="I335" s="162">
        <v>5</v>
      </c>
      <c r="J335" s="153"/>
      <c r="K335" s="153" t="s">
        <v>164</v>
      </c>
      <c r="L335" s="247"/>
      <c r="M335" s="153" t="s">
        <v>164</v>
      </c>
      <c r="O335" s="199">
        <f>IFERROR(VLOOKUP($P335,Suppl!$B$2:$N$57,MATCH(BDD!$B335,Suppl!$C$1:$N$1,0)+1,FALSE),"")</f>
        <v>0</v>
      </c>
      <c r="P335" s="153" t="str">
        <f t="shared" si="38"/>
        <v>75</v>
      </c>
    </row>
    <row r="336" spans="1:16" ht="15" customHeight="1" x14ac:dyDescent="0.3">
      <c r="A336" s="155" t="str">
        <f t="shared" si="37"/>
        <v>876</v>
      </c>
      <c r="B336" s="163">
        <f t="shared" si="35"/>
        <v>8</v>
      </c>
      <c r="C336" s="156" t="str">
        <f t="shared" si="36"/>
        <v>Projets</v>
      </c>
      <c r="D336" s="156" t="s">
        <v>293</v>
      </c>
      <c r="E336" s="168">
        <v>7</v>
      </c>
      <c r="F336" s="156" t="s">
        <v>997</v>
      </c>
      <c r="G336" s="406" t="s">
        <v>341</v>
      </c>
      <c r="H336" s="346" t="s">
        <v>164</v>
      </c>
      <c r="I336" s="162">
        <v>6</v>
      </c>
      <c r="J336" s="153"/>
      <c r="K336" s="153" t="s">
        <v>164</v>
      </c>
      <c r="L336" s="247"/>
      <c r="M336" s="153" t="s">
        <v>164</v>
      </c>
      <c r="O336" s="199">
        <f>IFERROR(VLOOKUP($P336,Suppl!$B$2:$N$57,MATCH(BDD!$B336,Suppl!$C$1:$N$1,0)+1,FALSE),"")</f>
        <v>0</v>
      </c>
      <c r="P336" s="153" t="str">
        <f t="shared" si="38"/>
        <v>76</v>
      </c>
    </row>
    <row r="337" spans="1:16" ht="15" customHeight="1" thickBot="1" x14ac:dyDescent="0.35">
      <c r="A337" s="155" t="str">
        <f t="shared" si="37"/>
        <v>877</v>
      </c>
      <c r="B337" s="165">
        <f t="shared" si="35"/>
        <v>8</v>
      </c>
      <c r="C337" s="160" t="str">
        <f t="shared" si="36"/>
        <v>Projets</v>
      </c>
      <c r="D337" s="160" t="s">
        <v>293</v>
      </c>
      <c r="E337" s="170">
        <v>7</v>
      </c>
      <c r="F337" s="160" t="s">
        <v>997</v>
      </c>
      <c r="G337" s="410" t="s">
        <v>341</v>
      </c>
      <c r="H337" s="347" t="s">
        <v>164</v>
      </c>
      <c r="I337" s="172">
        <v>7</v>
      </c>
      <c r="J337" s="158"/>
      <c r="K337" s="158" t="s">
        <v>164</v>
      </c>
      <c r="L337" s="254"/>
      <c r="M337" s="158" t="s">
        <v>164</v>
      </c>
      <c r="N337" s="158" t="s">
        <v>164</v>
      </c>
      <c r="O337" s="200">
        <f>IFERROR(VLOOKUP($P337,Suppl!$B$2:$N$57,MATCH(BDD!$B337,Suppl!$C$1:$N$1,0)+1,FALSE),"")</f>
        <v>0</v>
      </c>
      <c r="P337" s="154" t="str">
        <f t="shared" si="38"/>
        <v>77</v>
      </c>
    </row>
    <row r="338" spans="1:16" ht="15" customHeight="1" x14ac:dyDescent="0.3">
      <c r="A338" s="155" t="str">
        <f t="shared" si="37"/>
        <v>1011</v>
      </c>
      <c r="B338" s="181">
        <v>10</v>
      </c>
      <c r="C338" s="153" t="s">
        <v>510</v>
      </c>
      <c r="D338" s="153" t="s">
        <v>511</v>
      </c>
      <c r="E338" s="167">
        <v>1</v>
      </c>
      <c r="F338" s="153" t="s">
        <v>512</v>
      </c>
      <c r="G338" s="408" t="s">
        <v>513</v>
      </c>
      <c r="H338" s="185" t="s">
        <v>164</v>
      </c>
      <c r="I338" s="162">
        <v>1</v>
      </c>
      <c r="J338" s="153" t="s">
        <v>514</v>
      </c>
      <c r="K338" s="153" t="s">
        <v>23</v>
      </c>
      <c r="L338" s="247" t="s">
        <v>887</v>
      </c>
      <c r="M338" s="173" t="s">
        <v>509</v>
      </c>
      <c r="N338" s="176" t="s">
        <v>541</v>
      </c>
      <c r="O338" s="199">
        <f>IFERROR(VLOOKUP($P338,Suppl!$B$2:$N$57,MATCH(BDD!$B338,Suppl!$C$1:$N$1,0)+1,FALSE),"")</f>
        <v>0</v>
      </c>
      <c r="P338" s="153" t="str">
        <f t="shared" si="38"/>
        <v>11</v>
      </c>
    </row>
    <row r="339" spans="1:16" ht="15" customHeight="1" x14ac:dyDescent="0.3">
      <c r="A339" s="155" t="str">
        <f t="shared" si="37"/>
        <v>1012</v>
      </c>
      <c r="B339" s="182">
        <f t="shared" ref="B339:C339" si="39">B338</f>
        <v>10</v>
      </c>
      <c r="C339" s="156" t="str">
        <f t="shared" si="39"/>
        <v xml:space="preserve">Ressources humaines </v>
      </c>
      <c r="D339" s="156" t="s">
        <v>511</v>
      </c>
      <c r="E339" s="168">
        <v>1</v>
      </c>
      <c r="F339" s="156" t="s">
        <v>512</v>
      </c>
      <c r="G339" s="406" t="s">
        <v>513</v>
      </c>
      <c r="H339" s="185" t="s">
        <v>164</v>
      </c>
      <c r="I339" s="162">
        <v>2</v>
      </c>
      <c r="J339" s="153" t="s">
        <v>515</v>
      </c>
      <c r="K339" s="153" t="s">
        <v>24</v>
      </c>
      <c r="L339" s="247" t="s">
        <v>792</v>
      </c>
      <c r="M339" s="174" t="s">
        <v>508</v>
      </c>
      <c r="N339" s="177" t="s">
        <v>542</v>
      </c>
      <c r="O339" s="199">
        <f>IFERROR(VLOOKUP($P339,Suppl!$B$2:$N$57,MATCH(BDD!$B339,Suppl!$C$1:$N$1,0)+1,FALSE),"")</f>
        <v>0</v>
      </c>
      <c r="P339" s="153" t="str">
        <f t="shared" si="38"/>
        <v>12</v>
      </c>
    </row>
    <row r="340" spans="1:16" ht="15" customHeight="1" x14ac:dyDescent="0.3">
      <c r="A340" s="155" t="str">
        <f t="shared" si="37"/>
        <v>1013</v>
      </c>
      <c r="B340" s="182">
        <f t="shared" ref="B340:B379" si="40">B339</f>
        <v>10</v>
      </c>
      <c r="C340" s="156" t="str">
        <f t="shared" ref="C340:C379" si="41">C339</f>
        <v xml:space="preserve">Ressources humaines </v>
      </c>
      <c r="D340" s="156" t="s">
        <v>511</v>
      </c>
      <c r="E340" s="168">
        <v>1</v>
      </c>
      <c r="F340" s="156" t="s">
        <v>512</v>
      </c>
      <c r="G340" s="406" t="s">
        <v>513</v>
      </c>
      <c r="H340" s="185" t="s">
        <v>164</v>
      </c>
      <c r="I340" s="162">
        <v>3</v>
      </c>
      <c r="J340" s="153" t="s">
        <v>516</v>
      </c>
      <c r="K340" s="153" t="s">
        <v>24</v>
      </c>
      <c r="L340" s="247" t="s">
        <v>1107</v>
      </c>
      <c r="M340" s="174" t="s">
        <v>543</v>
      </c>
      <c r="N340" s="177" t="s">
        <v>544</v>
      </c>
      <c r="O340" s="199">
        <f>IFERROR(VLOOKUP($P340,Suppl!$B$2:$N$57,MATCH(BDD!$B340,Suppl!$C$1:$N$1,0)+1,FALSE),"")</f>
        <v>0</v>
      </c>
      <c r="P340" s="153" t="str">
        <f t="shared" si="38"/>
        <v>13</v>
      </c>
    </row>
    <row r="341" spans="1:16" ht="15" customHeight="1" x14ac:dyDescent="0.3">
      <c r="A341" s="155" t="str">
        <f t="shared" si="37"/>
        <v>1014</v>
      </c>
      <c r="B341" s="182">
        <f t="shared" si="40"/>
        <v>10</v>
      </c>
      <c r="C341" s="156" t="str">
        <f t="shared" si="41"/>
        <v xml:space="preserve">Ressources humaines </v>
      </c>
      <c r="D341" s="156" t="s">
        <v>511</v>
      </c>
      <c r="E341" s="168">
        <v>1</v>
      </c>
      <c r="F341" s="156" t="s">
        <v>512</v>
      </c>
      <c r="G341" s="406" t="s">
        <v>513</v>
      </c>
      <c r="H341" s="185" t="s">
        <v>164</v>
      </c>
      <c r="I341" s="162">
        <v>4</v>
      </c>
      <c r="J341" s="153" t="s">
        <v>517</v>
      </c>
      <c r="K341" s="153" t="s">
        <v>24</v>
      </c>
      <c r="L341" s="247"/>
      <c r="M341" s="174" t="s">
        <v>545</v>
      </c>
      <c r="N341" s="177"/>
      <c r="O341" s="199">
        <f>IFERROR(VLOOKUP($P341,Suppl!$B$2:$N$57,MATCH(BDD!$B341,Suppl!$C$1:$N$1,0)+1,FALSE),"")</f>
        <v>0</v>
      </c>
      <c r="P341" s="153" t="str">
        <f t="shared" si="38"/>
        <v>14</v>
      </c>
    </row>
    <row r="342" spans="1:16" ht="15" customHeight="1" x14ac:dyDescent="0.3">
      <c r="A342" s="155" t="str">
        <f t="shared" si="37"/>
        <v>1015</v>
      </c>
      <c r="B342" s="182">
        <f t="shared" si="40"/>
        <v>10</v>
      </c>
      <c r="C342" s="156" t="str">
        <f t="shared" si="41"/>
        <v xml:space="preserve">Ressources humaines </v>
      </c>
      <c r="D342" s="156" t="s">
        <v>511</v>
      </c>
      <c r="E342" s="168">
        <v>1</v>
      </c>
      <c r="F342" s="156" t="s">
        <v>512</v>
      </c>
      <c r="G342" s="406" t="s">
        <v>513</v>
      </c>
      <c r="H342" s="185" t="s">
        <v>164</v>
      </c>
      <c r="I342" s="162">
        <v>5</v>
      </c>
      <c r="J342" s="153" t="s">
        <v>518</v>
      </c>
      <c r="K342" s="153" t="s">
        <v>22</v>
      </c>
      <c r="L342" s="247" t="s">
        <v>1108</v>
      </c>
      <c r="M342" s="174"/>
      <c r="N342" s="177"/>
      <c r="O342" s="199">
        <f>IFERROR(VLOOKUP($P342,Suppl!$B$2:$N$57,MATCH(BDD!$B342,Suppl!$C$1:$N$1,0)+1,FALSE),"")</f>
        <v>0</v>
      </c>
      <c r="P342" s="153" t="str">
        <f t="shared" si="38"/>
        <v>15</v>
      </c>
    </row>
    <row r="343" spans="1:16" ht="15" customHeight="1" x14ac:dyDescent="0.3">
      <c r="A343" s="155" t="str">
        <f t="shared" si="37"/>
        <v>1016</v>
      </c>
      <c r="B343" s="182">
        <f t="shared" si="40"/>
        <v>10</v>
      </c>
      <c r="C343" s="156" t="str">
        <f t="shared" si="41"/>
        <v xml:space="preserve">Ressources humaines </v>
      </c>
      <c r="D343" s="156" t="s">
        <v>511</v>
      </c>
      <c r="E343" s="168">
        <v>1</v>
      </c>
      <c r="F343" s="156" t="s">
        <v>512</v>
      </c>
      <c r="G343" s="406" t="s">
        <v>513</v>
      </c>
      <c r="H343" s="185" t="s">
        <v>164</v>
      </c>
      <c r="I343" s="162">
        <v>6</v>
      </c>
      <c r="J343" s="153" t="s">
        <v>519</v>
      </c>
      <c r="K343" s="153" t="s">
        <v>24</v>
      </c>
      <c r="L343" s="247" t="s">
        <v>793</v>
      </c>
      <c r="M343" s="174"/>
      <c r="N343" s="177"/>
      <c r="O343" s="199">
        <f>IFERROR(VLOOKUP($P343,Suppl!$B$2:$N$57,MATCH(BDD!$B343,Suppl!$C$1:$N$1,0)+1,FALSE),"")</f>
        <v>0</v>
      </c>
      <c r="P343" s="153" t="str">
        <f t="shared" si="38"/>
        <v>16</v>
      </c>
    </row>
    <row r="344" spans="1:16" ht="15" customHeight="1" x14ac:dyDescent="0.3">
      <c r="A344" s="155" t="str">
        <f t="shared" si="37"/>
        <v>1017</v>
      </c>
      <c r="B344" s="183">
        <f t="shared" si="40"/>
        <v>10</v>
      </c>
      <c r="C344" s="157" t="str">
        <f t="shared" si="41"/>
        <v xml:space="preserve">Ressources humaines </v>
      </c>
      <c r="D344" s="157" t="s">
        <v>511</v>
      </c>
      <c r="E344" s="169">
        <v>1</v>
      </c>
      <c r="F344" s="157" t="s">
        <v>512</v>
      </c>
      <c r="G344" s="407" t="s">
        <v>513</v>
      </c>
      <c r="H344" s="185" t="s">
        <v>164</v>
      </c>
      <c r="I344" s="171">
        <v>7</v>
      </c>
      <c r="J344" s="154"/>
      <c r="K344" s="154" t="s">
        <v>164</v>
      </c>
      <c r="L344" s="323"/>
      <c r="M344" s="175"/>
      <c r="N344" s="178"/>
      <c r="O344" s="200">
        <f>IFERROR(VLOOKUP($P344,Suppl!$B$2:$N$57,MATCH(BDD!$B344,Suppl!$C$1:$N$1,0)+1,FALSE),"")</f>
        <v>0</v>
      </c>
      <c r="P344" s="154" t="str">
        <f t="shared" si="38"/>
        <v>17</v>
      </c>
    </row>
    <row r="345" spans="1:16" ht="15" customHeight="1" x14ac:dyDescent="0.3">
      <c r="A345" s="155" t="str">
        <f t="shared" si="37"/>
        <v>1021</v>
      </c>
      <c r="B345" s="182">
        <f t="shared" si="40"/>
        <v>10</v>
      </c>
      <c r="C345" s="156" t="str">
        <f t="shared" si="41"/>
        <v xml:space="preserve">Ressources humaines </v>
      </c>
      <c r="D345" s="156" t="s">
        <v>511</v>
      </c>
      <c r="E345" s="167">
        <v>2</v>
      </c>
      <c r="F345" s="180" t="s">
        <v>520</v>
      </c>
      <c r="G345" s="409" t="s">
        <v>521</v>
      </c>
      <c r="H345" s="185" t="s">
        <v>164</v>
      </c>
      <c r="I345" s="162">
        <v>1</v>
      </c>
      <c r="J345" s="155" t="s">
        <v>522</v>
      </c>
      <c r="K345" s="153" t="s">
        <v>22</v>
      </c>
      <c r="L345" s="326" t="s">
        <v>1109</v>
      </c>
      <c r="M345" s="153"/>
      <c r="N345" s="153"/>
      <c r="O345" s="199">
        <f>IFERROR(VLOOKUP($P345,Suppl!$B$2:$N$57,MATCH(BDD!$B345,Suppl!$C$1:$N$1,0)+1,FALSE),"")</f>
        <v>0</v>
      </c>
      <c r="P345" s="153" t="str">
        <f t="shared" si="38"/>
        <v>21</v>
      </c>
    </row>
    <row r="346" spans="1:16" ht="15" customHeight="1" x14ac:dyDescent="0.3">
      <c r="A346" s="155" t="str">
        <f t="shared" si="37"/>
        <v>1022</v>
      </c>
      <c r="B346" s="182">
        <f t="shared" si="40"/>
        <v>10</v>
      </c>
      <c r="C346" s="156" t="str">
        <f t="shared" si="41"/>
        <v xml:space="preserve">Ressources humaines </v>
      </c>
      <c r="D346" s="156" t="s">
        <v>511</v>
      </c>
      <c r="E346" s="168">
        <v>2</v>
      </c>
      <c r="F346" s="156" t="s">
        <v>520</v>
      </c>
      <c r="G346" s="406" t="s">
        <v>521</v>
      </c>
      <c r="H346" s="185" t="s">
        <v>164</v>
      </c>
      <c r="I346" s="162">
        <v>2</v>
      </c>
      <c r="J346" s="153" t="s">
        <v>524</v>
      </c>
      <c r="K346" s="153" t="s">
        <v>22</v>
      </c>
      <c r="L346" s="247" t="s">
        <v>794</v>
      </c>
      <c r="M346" s="153"/>
      <c r="N346" s="153"/>
      <c r="O346" s="199">
        <f>IFERROR(VLOOKUP($P346,Suppl!$B$2:$N$57,MATCH(BDD!$B346,Suppl!$C$1:$N$1,0)+1,FALSE),"")</f>
        <v>0</v>
      </c>
      <c r="P346" s="153" t="str">
        <f t="shared" si="38"/>
        <v>22</v>
      </c>
    </row>
    <row r="347" spans="1:16" ht="15" customHeight="1" x14ac:dyDescent="0.3">
      <c r="A347" s="155" t="str">
        <f t="shared" si="37"/>
        <v>1023</v>
      </c>
      <c r="B347" s="182">
        <f t="shared" si="40"/>
        <v>10</v>
      </c>
      <c r="C347" s="156" t="str">
        <f t="shared" si="41"/>
        <v xml:space="preserve">Ressources humaines </v>
      </c>
      <c r="D347" s="156" t="s">
        <v>511</v>
      </c>
      <c r="E347" s="168">
        <v>2</v>
      </c>
      <c r="F347" s="156" t="s">
        <v>520</v>
      </c>
      <c r="G347" s="406" t="s">
        <v>521</v>
      </c>
      <c r="H347" s="185" t="s">
        <v>164</v>
      </c>
      <c r="I347" s="162">
        <v>3</v>
      </c>
      <c r="J347" s="153" t="s">
        <v>523</v>
      </c>
      <c r="K347" s="153" t="s">
        <v>24</v>
      </c>
      <c r="L347" s="247" t="s">
        <v>1110</v>
      </c>
      <c r="M347" s="153"/>
      <c r="N347" s="153"/>
      <c r="O347" s="199">
        <f>IFERROR(VLOOKUP($P347,Suppl!$B$2:$N$57,MATCH(BDD!$B347,Suppl!$C$1:$N$1,0)+1,FALSE),"")</f>
        <v>0</v>
      </c>
      <c r="P347" s="153" t="str">
        <f t="shared" si="38"/>
        <v>23</v>
      </c>
    </row>
    <row r="348" spans="1:16" ht="15" customHeight="1" x14ac:dyDescent="0.3">
      <c r="A348" s="155" t="str">
        <f t="shared" si="37"/>
        <v>1024</v>
      </c>
      <c r="B348" s="182">
        <f t="shared" si="40"/>
        <v>10</v>
      </c>
      <c r="C348" s="156" t="str">
        <f t="shared" si="41"/>
        <v xml:space="preserve">Ressources humaines </v>
      </c>
      <c r="D348" s="156" t="s">
        <v>511</v>
      </c>
      <c r="E348" s="168">
        <v>2</v>
      </c>
      <c r="F348" s="156" t="s">
        <v>520</v>
      </c>
      <c r="G348" s="406" t="s">
        <v>521</v>
      </c>
      <c r="H348" s="185" t="s">
        <v>164</v>
      </c>
      <c r="I348" s="162">
        <v>4</v>
      </c>
      <c r="K348" s="153" t="s">
        <v>164</v>
      </c>
      <c r="L348" s="247"/>
      <c r="M348" s="153"/>
      <c r="N348" s="153"/>
      <c r="O348" s="199">
        <f>IFERROR(VLOOKUP($P348,Suppl!$B$2:$N$57,MATCH(BDD!$B348,Suppl!$C$1:$N$1,0)+1,FALSE),"")</f>
        <v>0</v>
      </c>
      <c r="P348" s="153" t="str">
        <f t="shared" si="38"/>
        <v>24</v>
      </c>
    </row>
    <row r="349" spans="1:16" ht="15" customHeight="1" x14ac:dyDescent="0.3">
      <c r="A349" s="155" t="str">
        <f t="shared" si="37"/>
        <v>1025</v>
      </c>
      <c r="B349" s="182">
        <f t="shared" si="40"/>
        <v>10</v>
      </c>
      <c r="C349" s="156" t="str">
        <f t="shared" si="41"/>
        <v xml:space="preserve">Ressources humaines </v>
      </c>
      <c r="D349" s="156" t="s">
        <v>511</v>
      </c>
      <c r="E349" s="168">
        <v>2</v>
      </c>
      <c r="F349" s="156" t="s">
        <v>520</v>
      </c>
      <c r="G349" s="406" t="s">
        <v>521</v>
      </c>
      <c r="H349" s="185" t="s">
        <v>164</v>
      </c>
      <c r="I349" s="162">
        <v>5</v>
      </c>
      <c r="J349" s="153"/>
      <c r="K349" s="153" t="s">
        <v>164</v>
      </c>
      <c r="L349" s="247"/>
      <c r="M349" s="153"/>
      <c r="N349" s="153"/>
      <c r="O349" s="199">
        <f>IFERROR(VLOOKUP($P349,Suppl!$B$2:$N$57,MATCH(BDD!$B349,Suppl!$C$1:$N$1,0)+1,FALSE),"")</f>
        <v>0</v>
      </c>
      <c r="P349" s="153" t="str">
        <f t="shared" si="38"/>
        <v>25</v>
      </c>
    </row>
    <row r="350" spans="1:16" ht="15" customHeight="1" x14ac:dyDescent="0.3">
      <c r="A350" s="155" t="str">
        <f t="shared" si="37"/>
        <v>1026</v>
      </c>
      <c r="B350" s="182">
        <f t="shared" si="40"/>
        <v>10</v>
      </c>
      <c r="C350" s="156" t="str">
        <f t="shared" si="41"/>
        <v xml:space="preserve">Ressources humaines </v>
      </c>
      <c r="D350" s="156" t="s">
        <v>511</v>
      </c>
      <c r="E350" s="168">
        <v>2</v>
      </c>
      <c r="F350" s="156" t="s">
        <v>520</v>
      </c>
      <c r="G350" s="406" t="s">
        <v>521</v>
      </c>
      <c r="H350" s="185" t="s">
        <v>164</v>
      </c>
      <c r="I350" s="162">
        <v>6</v>
      </c>
      <c r="J350" s="153"/>
      <c r="K350" s="153" t="s">
        <v>164</v>
      </c>
      <c r="L350" s="247"/>
      <c r="M350" s="153"/>
      <c r="N350" s="153"/>
      <c r="O350" s="199">
        <f>IFERROR(VLOOKUP($P350,Suppl!$B$2:$N$57,MATCH(BDD!$B350,Suppl!$C$1:$N$1,0)+1,FALSE),"")</f>
        <v>0</v>
      </c>
      <c r="P350" s="153" t="str">
        <f t="shared" si="38"/>
        <v>26</v>
      </c>
    </row>
    <row r="351" spans="1:16" ht="15" customHeight="1" x14ac:dyDescent="0.3">
      <c r="A351" s="155" t="str">
        <f t="shared" si="37"/>
        <v>1027</v>
      </c>
      <c r="B351" s="183">
        <f t="shared" si="40"/>
        <v>10</v>
      </c>
      <c r="C351" s="157" t="str">
        <f t="shared" si="41"/>
        <v xml:space="preserve">Ressources humaines </v>
      </c>
      <c r="D351" s="157" t="s">
        <v>511</v>
      </c>
      <c r="E351" s="169">
        <v>2</v>
      </c>
      <c r="F351" s="157" t="s">
        <v>520</v>
      </c>
      <c r="G351" s="407" t="s">
        <v>521</v>
      </c>
      <c r="H351" s="185" t="s">
        <v>164</v>
      </c>
      <c r="I351" s="171">
        <v>7</v>
      </c>
      <c r="J351" s="154"/>
      <c r="K351" s="154" t="s">
        <v>164</v>
      </c>
      <c r="L351" s="323"/>
      <c r="M351" s="154"/>
      <c r="N351" s="154"/>
      <c r="O351" s="200">
        <f>IFERROR(VLOOKUP($P351,Suppl!$B$2:$N$57,MATCH(BDD!$B351,Suppl!$C$1:$N$1,0)+1,FALSE),"")</f>
        <v>0</v>
      </c>
      <c r="P351" s="154" t="str">
        <f t="shared" si="38"/>
        <v>27</v>
      </c>
    </row>
    <row r="352" spans="1:16" ht="15" customHeight="1" x14ac:dyDescent="0.3">
      <c r="A352" s="155" t="str">
        <f t="shared" si="37"/>
        <v>1031</v>
      </c>
      <c r="B352" s="182">
        <f t="shared" si="40"/>
        <v>10</v>
      </c>
      <c r="C352" s="156" t="str">
        <f t="shared" si="41"/>
        <v xml:space="preserve">Ressources humaines </v>
      </c>
      <c r="D352" s="156" t="s">
        <v>511</v>
      </c>
      <c r="E352" s="167">
        <v>3</v>
      </c>
      <c r="F352" s="180" t="s">
        <v>525</v>
      </c>
      <c r="G352" s="409" t="s">
        <v>526</v>
      </c>
      <c r="H352" s="185" t="s">
        <v>1022</v>
      </c>
      <c r="I352" s="162">
        <v>1</v>
      </c>
      <c r="J352" s="153" t="s">
        <v>994</v>
      </c>
      <c r="K352" s="153" t="s">
        <v>22</v>
      </c>
      <c r="L352" s="247" t="s">
        <v>795</v>
      </c>
      <c r="M352" s="153"/>
      <c r="N352" s="153"/>
      <c r="O352" s="199">
        <f>IFERROR(VLOOKUP($P352,Suppl!$B$2:$N$57,MATCH(BDD!$B352,Suppl!$C$1:$N$1,0)+1,FALSE),"")</f>
        <v>0</v>
      </c>
      <c r="P352" s="153" t="str">
        <f t="shared" si="38"/>
        <v>31</v>
      </c>
    </row>
    <row r="353" spans="1:17" ht="15" customHeight="1" x14ac:dyDescent="0.3">
      <c r="A353" s="155" t="str">
        <f t="shared" si="37"/>
        <v>1032</v>
      </c>
      <c r="B353" s="182">
        <f t="shared" si="40"/>
        <v>10</v>
      </c>
      <c r="C353" s="156" t="str">
        <f t="shared" si="41"/>
        <v xml:space="preserve">Ressources humaines </v>
      </c>
      <c r="D353" s="156" t="s">
        <v>511</v>
      </c>
      <c r="E353" s="168">
        <v>3</v>
      </c>
      <c r="F353" s="156" t="s">
        <v>525</v>
      </c>
      <c r="G353" s="406" t="s">
        <v>526</v>
      </c>
      <c r="H353" s="185" t="s">
        <v>164</v>
      </c>
      <c r="I353" s="162">
        <v>2</v>
      </c>
      <c r="J353" s="153" t="s">
        <v>993</v>
      </c>
      <c r="K353" s="153" t="s">
        <v>24</v>
      </c>
      <c r="L353" s="247"/>
      <c r="M353" s="153"/>
      <c r="N353" s="153"/>
      <c r="O353" s="199">
        <f>IFERROR(VLOOKUP($P353,Suppl!$B$2:$N$57,MATCH(BDD!$B353,Suppl!$C$1:$N$1,0)+1,FALSE),"")</f>
        <v>0</v>
      </c>
      <c r="P353" s="153" t="str">
        <f t="shared" si="38"/>
        <v>32</v>
      </c>
    </row>
    <row r="354" spans="1:17" ht="15" customHeight="1" x14ac:dyDescent="0.3">
      <c r="A354" s="155" t="str">
        <f t="shared" si="37"/>
        <v>1033</v>
      </c>
      <c r="B354" s="182">
        <f t="shared" si="40"/>
        <v>10</v>
      </c>
      <c r="C354" s="156" t="str">
        <f t="shared" si="41"/>
        <v xml:space="preserve">Ressources humaines </v>
      </c>
      <c r="D354" s="156" t="s">
        <v>511</v>
      </c>
      <c r="E354" s="168">
        <v>3</v>
      </c>
      <c r="F354" s="156" t="s">
        <v>525</v>
      </c>
      <c r="G354" s="406" t="s">
        <v>526</v>
      </c>
      <c r="H354" s="185" t="s">
        <v>164</v>
      </c>
      <c r="I354" s="162">
        <v>3</v>
      </c>
      <c r="J354" s="153" t="s">
        <v>995</v>
      </c>
      <c r="K354" s="153" t="s">
        <v>25</v>
      </c>
      <c r="L354" s="247" t="s">
        <v>996</v>
      </c>
      <c r="M354" s="153"/>
      <c r="N354" s="153"/>
      <c r="O354" s="199">
        <f>IFERROR(VLOOKUP($P354,Suppl!$B$2:$N$57,MATCH(BDD!$B354,Suppl!$C$1:$N$1,0)+1,FALSE),"")</f>
        <v>0</v>
      </c>
      <c r="P354" s="153" t="str">
        <f t="shared" si="38"/>
        <v>33</v>
      </c>
    </row>
    <row r="355" spans="1:17" ht="15" customHeight="1" x14ac:dyDescent="0.3">
      <c r="A355" s="155" t="str">
        <f t="shared" si="37"/>
        <v>1034</v>
      </c>
      <c r="B355" s="182">
        <f t="shared" si="40"/>
        <v>10</v>
      </c>
      <c r="C355" s="156" t="str">
        <f t="shared" si="41"/>
        <v xml:space="preserve">Ressources humaines </v>
      </c>
      <c r="D355" s="156" t="s">
        <v>511</v>
      </c>
      <c r="E355" s="168">
        <v>3</v>
      </c>
      <c r="F355" s="156" t="s">
        <v>525</v>
      </c>
      <c r="G355" s="406" t="s">
        <v>526</v>
      </c>
      <c r="H355" s="185" t="s">
        <v>164</v>
      </c>
      <c r="I355" s="162">
        <v>4</v>
      </c>
      <c r="K355" s="153"/>
      <c r="L355" s="247"/>
      <c r="M355" s="153"/>
      <c r="N355" s="153"/>
      <c r="O355" s="199">
        <f>IFERROR(VLOOKUP($P355,Suppl!$B$2:$N$57,MATCH(BDD!$B355,Suppl!$C$1:$N$1,0)+1,FALSE),"")</f>
        <v>0</v>
      </c>
      <c r="P355" s="153" t="str">
        <f t="shared" si="38"/>
        <v>34</v>
      </c>
    </row>
    <row r="356" spans="1:17" ht="15" customHeight="1" x14ac:dyDescent="0.3">
      <c r="A356" s="155" t="str">
        <f t="shared" si="37"/>
        <v>1035</v>
      </c>
      <c r="B356" s="182">
        <f t="shared" si="40"/>
        <v>10</v>
      </c>
      <c r="C356" s="156" t="str">
        <f t="shared" si="41"/>
        <v xml:space="preserve">Ressources humaines </v>
      </c>
      <c r="D356" s="156" t="s">
        <v>511</v>
      </c>
      <c r="E356" s="168">
        <v>3</v>
      </c>
      <c r="F356" s="156" t="s">
        <v>525</v>
      </c>
      <c r="G356" s="406" t="s">
        <v>526</v>
      </c>
      <c r="H356" s="185" t="s">
        <v>164</v>
      </c>
      <c r="I356" s="162">
        <v>5</v>
      </c>
      <c r="K356" s="153" t="s">
        <v>164</v>
      </c>
      <c r="L356" s="247"/>
      <c r="M356" s="153"/>
      <c r="N356" s="153"/>
      <c r="O356" s="199">
        <f>IFERROR(VLOOKUP($P356,Suppl!$B$2:$N$57,MATCH(BDD!$B356,Suppl!$C$1:$N$1,0)+1,FALSE),"")</f>
        <v>0</v>
      </c>
      <c r="P356" s="153" t="str">
        <f t="shared" si="38"/>
        <v>35</v>
      </c>
    </row>
    <row r="357" spans="1:17" ht="15" customHeight="1" x14ac:dyDescent="0.3">
      <c r="A357" s="155" t="str">
        <f t="shared" si="37"/>
        <v>1036</v>
      </c>
      <c r="B357" s="182">
        <f t="shared" si="40"/>
        <v>10</v>
      </c>
      <c r="C357" s="156" t="str">
        <f t="shared" si="41"/>
        <v xml:space="preserve">Ressources humaines </v>
      </c>
      <c r="D357" s="156" t="s">
        <v>511</v>
      </c>
      <c r="E357" s="168">
        <v>3</v>
      </c>
      <c r="F357" s="156" t="s">
        <v>525</v>
      </c>
      <c r="G357" s="406" t="s">
        <v>526</v>
      </c>
      <c r="H357" s="185" t="s">
        <v>164</v>
      </c>
      <c r="I357" s="162">
        <v>6</v>
      </c>
      <c r="J357" s="153"/>
      <c r="K357" s="153" t="s">
        <v>164</v>
      </c>
      <c r="L357" s="247"/>
      <c r="M357" s="153"/>
      <c r="N357" s="153"/>
      <c r="O357" s="199">
        <f>IFERROR(VLOOKUP($P357,Suppl!$B$2:$N$57,MATCH(BDD!$B357,Suppl!$C$1:$N$1,0)+1,FALSE),"")</f>
        <v>0</v>
      </c>
      <c r="P357" s="153" t="str">
        <f t="shared" si="38"/>
        <v>36</v>
      </c>
      <c r="Q357" s="220"/>
    </row>
    <row r="358" spans="1:17" ht="15" customHeight="1" x14ac:dyDescent="0.3">
      <c r="A358" s="155" t="str">
        <f t="shared" si="37"/>
        <v>1037</v>
      </c>
      <c r="B358" s="183">
        <f t="shared" si="40"/>
        <v>10</v>
      </c>
      <c r="C358" s="157" t="str">
        <f t="shared" si="41"/>
        <v xml:space="preserve">Ressources humaines </v>
      </c>
      <c r="D358" s="157" t="s">
        <v>511</v>
      </c>
      <c r="E358" s="169">
        <v>3</v>
      </c>
      <c r="F358" s="157" t="s">
        <v>525</v>
      </c>
      <c r="G358" s="407" t="s">
        <v>526</v>
      </c>
      <c r="H358" s="185" t="s">
        <v>164</v>
      </c>
      <c r="I358" s="171">
        <v>7</v>
      </c>
      <c r="J358" s="154"/>
      <c r="K358" s="154" t="s">
        <v>164</v>
      </c>
      <c r="L358" s="247"/>
      <c r="M358" s="154"/>
      <c r="N358" s="154"/>
      <c r="O358" s="200">
        <f>IFERROR(VLOOKUP($P358,Suppl!$B$2:$N$57,MATCH(BDD!$B358,Suppl!$C$1:$N$1,0)+1,FALSE),"")</f>
        <v>0</v>
      </c>
      <c r="P358" s="154" t="str">
        <f t="shared" si="38"/>
        <v>37</v>
      </c>
    </row>
    <row r="359" spans="1:17" ht="15" customHeight="1" x14ac:dyDescent="0.3">
      <c r="A359" s="155" t="str">
        <f t="shared" si="37"/>
        <v>1041</v>
      </c>
      <c r="B359" s="182">
        <f t="shared" si="40"/>
        <v>10</v>
      </c>
      <c r="C359" s="156" t="str">
        <f t="shared" si="41"/>
        <v xml:space="preserve">Ressources humaines </v>
      </c>
      <c r="D359" s="156" t="s">
        <v>511</v>
      </c>
      <c r="E359" s="167">
        <v>4</v>
      </c>
      <c r="F359" s="180" t="s">
        <v>527</v>
      </c>
      <c r="G359" s="409" t="s">
        <v>528</v>
      </c>
      <c r="H359" s="185" t="s">
        <v>164</v>
      </c>
      <c r="I359" s="162">
        <v>1</v>
      </c>
      <c r="J359" s="153" t="s">
        <v>529</v>
      </c>
      <c r="K359" s="153" t="s">
        <v>22</v>
      </c>
      <c r="L359" s="326"/>
      <c r="M359" s="153"/>
      <c r="N359" s="153"/>
      <c r="O359" s="199">
        <f>IFERROR(VLOOKUP($P359,Suppl!$B$2:$N$57,MATCH(BDD!$B359,Suppl!$C$1:$N$1,0)+1,FALSE),"")</f>
        <v>0</v>
      </c>
      <c r="P359" s="153" t="str">
        <f t="shared" si="38"/>
        <v>41</v>
      </c>
    </row>
    <row r="360" spans="1:17" ht="15" customHeight="1" x14ac:dyDescent="0.3">
      <c r="A360" s="155" t="str">
        <f t="shared" si="37"/>
        <v>1042</v>
      </c>
      <c r="B360" s="182">
        <f t="shared" si="40"/>
        <v>10</v>
      </c>
      <c r="C360" s="156" t="str">
        <f t="shared" si="41"/>
        <v xml:space="preserve">Ressources humaines </v>
      </c>
      <c r="D360" s="156" t="s">
        <v>511</v>
      </c>
      <c r="E360" s="168">
        <v>4</v>
      </c>
      <c r="F360" s="156" t="s">
        <v>527</v>
      </c>
      <c r="G360" s="406" t="s">
        <v>528</v>
      </c>
      <c r="H360" s="185" t="s">
        <v>164</v>
      </c>
      <c r="I360" s="162">
        <v>2</v>
      </c>
      <c r="J360" s="153" t="s">
        <v>1092</v>
      </c>
      <c r="K360" s="153" t="s">
        <v>23</v>
      </c>
      <c r="L360" s="247" t="s">
        <v>796</v>
      </c>
      <c r="M360" s="153"/>
      <c r="N360" s="153"/>
      <c r="O360" s="199">
        <f>IFERROR(VLOOKUP($P360,Suppl!$B$2:$N$57,MATCH(BDD!$B360,Suppl!$C$1:$N$1,0)+1,FALSE),"")</f>
        <v>0</v>
      </c>
      <c r="P360" s="153" t="str">
        <f t="shared" si="38"/>
        <v>42</v>
      </c>
    </row>
    <row r="361" spans="1:17" ht="15" customHeight="1" x14ac:dyDescent="0.3">
      <c r="A361" s="155" t="str">
        <f t="shared" si="37"/>
        <v>1043</v>
      </c>
      <c r="B361" s="182">
        <f t="shared" si="40"/>
        <v>10</v>
      </c>
      <c r="C361" s="156" t="str">
        <f t="shared" si="41"/>
        <v xml:space="preserve">Ressources humaines </v>
      </c>
      <c r="D361" s="156" t="s">
        <v>511</v>
      </c>
      <c r="E361" s="168">
        <v>4</v>
      </c>
      <c r="F361" s="156" t="s">
        <v>527</v>
      </c>
      <c r="G361" s="406" t="s">
        <v>528</v>
      </c>
      <c r="H361" s="185" t="s">
        <v>164</v>
      </c>
      <c r="I361" s="162">
        <v>3</v>
      </c>
      <c r="J361" s="153" t="s">
        <v>1093</v>
      </c>
      <c r="K361" s="153" t="s">
        <v>25</v>
      </c>
      <c r="L361" s="247"/>
      <c r="M361" s="153"/>
      <c r="N361" s="153"/>
      <c r="O361" s="199">
        <f>IFERROR(VLOOKUP($P361,Suppl!$B$2:$N$57,MATCH(BDD!$B361,Suppl!$C$1:$N$1,0)+1,FALSE),"")</f>
        <v>0</v>
      </c>
      <c r="P361" s="153" t="str">
        <f t="shared" si="38"/>
        <v>43</v>
      </c>
    </row>
    <row r="362" spans="1:17" ht="15" customHeight="1" x14ac:dyDescent="0.3">
      <c r="A362" s="155" t="str">
        <f t="shared" si="37"/>
        <v>1044</v>
      </c>
      <c r="B362" s="182">
        <f t="shared" si="40"/>
        <v>10</v>
      </c>
      <c r="C362" s="156" t="str">
        <f t="shared" si="41"/>
        <v xml:space="preserve">Ressources humaines </v>
      </c>
      <c r="D362" s="156" t="s">
        <v>511</v>
      </c>
      <c r="E362" s="168">
        <v>4</v>
      </c>
      <c r="F362" s="156" t="s">
        <v>527</v>
      </c>
      <c r="G362" s="406" t="s">
        <v>528</v>
      </c>
      <c r="H362" s="185" t="s">
        <v>164</v>
      </c>
      <c r="I362" s="162">
        <v>4</v>
      </c>
      <c r="J362" s="153" t="s">
        <v>530</v>
      </c>
      <c r="K362" s="153" t="s">
        <v>22</v>
      </c>
      <c r="L362" s="247" t="s">
        <v>797</v>
      </c>
      <c r="M362" s="153"/>
      <c r="N362" s="153"/>
      <c r="O362" s="199">
        <f>IFERROR(VLOOKUP($P362,Suppl!$B$2:$N$57,MATCH(BDD!$B362,Suppl!$C$1:$N$1,0)+1,FALSE),"")</f>
        <v>0</v>
      </c>
      <c r="P362" s="153" t="str">
        <f t="shared" si="38"/>
        <v>44</v>
      </c>
    </row>
    <row r="363" spans="1:17" ht="15" customHeight="1" x14ac:dyDescent="0.3">
      <c r="A363" s="155" t="str">
        <f t="shared" si="37"/>
        <v>1045</v>
      </c>
      <c r="B363" s="182">
        <f t="shared" si="40"/>
        <v>10</v>
      </c>
      <c r="C363" s="156" t="str">
        <f t="shared" si="41"/>
        <v xml:space="preserve">Ressources humaines </v>
      </c>
      <c r="D363" s="156" t="s">
        <v>511</v>
      </c>
      <c r="E363" s="168">
        <v>4</v>
      </c>
      <c r="F363" s="156" t="s">
        <v>527</v>
      </c>
      <c r="G363" s="406" t="s">
        <v>528</v>
      </c>
      <c r="H363" s="185" t="s">
        <v>164</v>
      </c>
      <c r="I363" s="162">
        <v>5</v>
      </c>
      <c r="J363" s="153" t="s">
        <v>531</v>
      </c>
      <c r="K363" s="153" t="s">
        <v>23</v>
      </c>
      <c r="L363" s="247" t="s">
        <v>798</v>
      </c>
      <c r="M363" s="153"/>
      <c r="N363" s="153"/>
      <c r="O363" s="199">
        <f>IFERROR(VLOOKUP($P363,Suppl!$B$2:$N$57,MATCH(BDD!$B363,Suppl!$C$1:$N$1,0)+1,FALSE),"")</f>
        <v>0</v>
      </c>
      <c r="P363" s="153" t="str">
        <f t="shared" si="38"/>
        <v>45</v>
      </c>
    </row>
    <row r="364" spans="1:17" ht="15" customHeight="1" x14ac:dyDescent="0.3">
      <c r="A364" s="155" t="str">
        <f t="shared" si="37"/>
        <v>1046</v>
      </c>
      <c r="B364" s="182">
        <f t="shared" si="40"/>
        <v>10</v>
      </c>
      <c r="C364" s="156" t="str">
        <f t="shared" si="41"/>
        <v xml:space="preserve">Ressources humaines </v>
      </c>
      <c r="D364" s="156" t="s">
        <v>511</v>
      </c>
      <c r="E364" s="168">
        <v>4</v>
      </c>
      <c r="F364" s="156" t="s">
        <v>527</v>
      </c>
      <c r="G364" s="406" t="s">
        <v>528</v>
      </c>
      <c r="H364" s="185" t="s">
        <v>164</v>
      </c>
      <c r="I364" s="162">
        <v>6</v>
      </c>
      <c r="J364" s="155" t="s">
        <v>532</v>
      </c>
      <c r="K364" s="153" t="s">
        <v>25</v>
      </c>
      <c r="L364" s="247" t="s">
        <v>799</v>
      </c>
      <c r="M364" s="153"/>
      <c r="N364" s="153"/>
      <c r="O364" s="199">
        <f>IFERROR(VLOOKUP($P364,Suppl!$B$2:$N$57,MATCH(BDD!$B364,Suppl!$C$1:$N$1,0)+1,FALSE),"")</f>
        <v>0</v>
      </c>
      <c r="P364" s="153" t="str">
        <f t="shared" si="38"/>
        <v>46</v>
      </c>
    </row>
    <row r="365" spans="1:17" ht="15" customHeight="1" x14ac:dyDescent="0.3">
      <c r="A365" s="155" t="str">
        <f t="shared" si="37"/>
        <v>1047</v>
      </c>
      <c r="B365" s="183">
        <f t="shared" si="40"/>
        <v>10</v>
      </c>
      <c r="C365" s="157" t="str">
        <f t="shared" si="41"/>
        <v xml:space="preserve">Ressources humaines </v>
      </c>
      <c r="D365" s="157" t="s">
        <v>511</v>
      </c>
      <c r="E365" s="169">
        <v>4</v>
      </c>
      <c r="F365" s="157" t="s">
        <v>527</v>
      </c>
      <c r="G365" s="407" t="s">
        <v>528</v>
      </c>
      <c r="H365" s="185" t="s">
        <v>164</v>
      </c>
      <c r="I365" s="171">
        <v>7</v>
      </c>
      <c r="J365" s="154"/>
      <c r="K365" s="154" t="s">
        <v>164</v>
      </c>
      <c r="L365" s="323"/>
      <c r="M365" s="154"/>
      <c r="N365" s="154"/>
      <c r="O365" s="200">
        <f>IFERROR(VLOOKUP($P365,Suppl!$B$2:$N$57,MATCH(BDD!$B365,Suppl!$C$1:$N$1,0)+1,FALSE),"")</f>
        <v>0</v>
      </c>
      <c r="P365" s="154" t="str">
        <f t="shared" si="38"/>
        <v>47</v>
      </c>
    </row>
    <row r="366" spans="1:17" ht="15" customHeight="1" x14ac:dyDescent="0.3">
      <c r="A366" s="155" t="str">
        <f t="shared" si="37"/>
        <v>1051</v>
      </c>
      <c r="B366" s="182">
        <f t="shared" si="40"/>
        <v>10</v>
      </c>
      <c r="C366" s="156" t="str">
        <f t="shared" si="41"/>
        <v xml:space="preserve">Ressources humaines </v>
      </c>
      <c r="D366" s="156" t="s">
        <v>511</v>
      </c>
      <c r="E366" s="167">
        <v>5</v>
      </c>
      <c r="F366" s="180" t="s">
        <v>533</v>
      </c>
      <c r="G366" s="409" t="s">
        <v>535</v>
      </c>
      <c r="H366" s="185" t="s">
        <v>164</v>
      </c>
      <c r="I366" s="162">
        <v>1</v>
      </c>
      <c r="J366" s="153" t="s">
        <v>1094</v>
      </c>
      <c r="K366" s="153" t="s">
        <v>22</v>
      </c>
      <c r="L366" s="247" t="s">
        <v>800</v>
      </c>
      <c r="M366" s="153"/>
      <c r="N366" s="153"/>
      <c r="O366" s="199">
        <f>IFERROR(VLOOKUP($P366,Suppl!$B$2:$N$57,MATCH(BDD!$B366,Suppl!$C$1:$N$1,0)+1,FALSE),"")</f>
        <v>0</v>
      </c>
      <c r="P366" s="153" t="str">
        <f t="shared" si="38"/>
        <v>51</v>
      </c>
    </row>
    <row r="367" spans="1:17" ht="15" customHeight="1" x14ac:dyDescent="0.3">
      <c r="A367" s="155" t="str">
        <f t="shared" si="37"/>
        <v>1052</v>
      </c>
      <c r="B367" s="182">
        <f t="shared" si="40"/>
        <v>10</v>
      </c>
      <c r="C367" s="156" t="str">
        <f t="shared" si="41"/>
        <v xml:space="preserve">Ressources humaines </v>
      </c>
      <c r="D367" s="156" t="s">
        <v>511</v>
      </c>
      <c r="E367" s="168">
        <v>5</v>
      </c>
      <c r="F367" s="156" t="s">
        <v>533</v>
      </c>
      <c r="G367" s="406" t="s">
        <v>535</v>
      </c>
      <c r="H367" s="185" t="s">
        <v>164</v>
      </c>
      <c r="I367" s="162">
        <v>2</v>
      </c>
      <c r="J367" s="153" t="s">
        <v>537</v>
      </c>
      <c r="K367" s="153" t="s">
        <v>23</v>
      </c>
      <c r="L367" s="247" t="s">
        <v>801</v>
      </c>
      <c r="M367" s="153"/>
      <c r="N367" s="153"/>
      <c r="O367" s="199">
        <f>IFERROR(VLOOKUP($P367,Suppl!$B$2:$N$57,MATCH(BDD!$B367,Suppl!$C$1:$N$1,0)+1,FALSE),"")</f>
        <v>0</v>
      </c>
      <c r="P367" s="153" t="str">
        <f t="shared" si="38"/>
        <v>52</v>
      </c>
    </row>
    <row r="368" spans="1:17" ht="15" customHeight="1" x14ac:dyDescent="0.3">
      <c r="A368" s="155" t="str">
        <f t="shared" si="37"/>
        <v>1053</v>
      </c>
      <c r="B368" s="182">
        <f t="shared" si="40"/>
        <v>10</v>
      </c>
      <c r="C368" s="156" t="str">
        <f t="shared" si="41"/>
        <v xml:space="preserve">Ressources humaines </v>
      </c>
      <c r="D368" s="156" t="s">
        <v>511</v>
      </c>
      <c r="E368" s="168">
        <v>5</v>
      </c>
      <c r="F368" s="156" t="s">
        <v>533</v>
      </c>
      <c r="G368" s="406" t="s">
        <v>535</v>
      </c>
      <c r="H368" s="185" t="s">
        <v>164</v>
      </c>
      <c r="I368" s="162">
        <v>3</v>
      </c>
      <c r="J368" s="153" t="s">
        <v>1095</v>
      </c>
      <c r="K368" s="153" t="s">
        <v>23</v>
      </c>
      <c r="L368" s="247" t="s">
        <v>802</v>
      </c>
      <c r="M368" s="153"/>
      <c r="N368" s="153"/>
      <c r="O368" s="199">
        <f>IFERROR(VLOOKUP($P368,Suppl!$B$2:$N$57,MATCH(BDD!$B368,Suppl!$C$1:$N$1,0)+1,FALSE),"")</f>
        <v>0</v>
      </c>
      <c r="P368" s="153" t="str">
        <f t="shared" si="38"/>
        <v>53</v>
      </c>
    </row>
    <row r="369" spans="1:18" ht="15" customHeight="1" x14ac:dyDescent="0.3">
      <c r="A369" s="155" t="str">
        <f t="shared" si="37"/>
        <v>1054</v>
      </c>
      <c r="B369" s="182">
        <f t="shared" si="40"/>
        <v>10</v>
      </c>
      <c r="C369" s="156" t="str">
        <f t="shared" si="41"/>
        <v xml:space="preserve">Ressources humaines </v>
      </c>
      <c r="D369" s="156" t="s">
        <v>511</v>
      </c>
      <c r="E369" s="168">
        <v>5</v>
      </c>
      <c r="F369" s="156" t="s">
        <v>533</v>
      </c>
      <c r="G369" s="406" t="s">
        <v>535</v>
      </c>
      <c r="H369" s="185" t="s">
        <v>164</v>
      </c>
      <c r="I369" s="162">
        <v>4</v>
      </c>
      <c r="J369" s="153"/>
      <c r="K369" s="153" t="s">
        <v>164</v>
      </c>
      <c r="L369" s="247"/>
      <c r="M369" s="153"/>
      <c r="N369" s="153"/>
      <c r="O369" s="199">
        <f>IFERROR(VLOOKUP($P369,Suppl!$B$2:$N$57,MATCH(BDD!$B369,Suppl!$C$1:$N$1,0)+1,FALSE),"")</f>
        <v>0</v>
      </c>
      <c r="P369" s="153" t="str">
        <f t="shared" si="38"/>
        <v>54</v>
      </c>
    </row>
    <row r="370" spans="1:18" ht="15" customHeight="1" x14ac:dyDescent="0.3">
      <c r="A370" s="155" t="str">
        <f t="shared" si="37"/>
        <v>1055</v>
      </c>
      <c r="B370" s="182">
        <f t="shared" si="40"/>
        <v>10</v>
      </c>
      <c r="C370" s="156" t="str">
        <f t="shared" si="41"/>
        <v xml:space="preserve">Ressources humaines </v>
      </c>
      <c r="D370" s="156" t="s">
        <v>511</v>
      </c>
      <c r="E370" s="168">
        <v>5</v>
      </c>
      <c r="F370" s="156" t="s">
        <v>533</v>
      </c>
      <c r="G370" s="406" t="s">
        <v>535</v>
      </c>
      <c r="H370" s="185" t="s">
        <v>164</v>
      </c>
      <c r="I370" s="162">
        <v>5</v>
      </c>
      <c r="J370" s="153"/>
      <c r="K370" s="153" t="s">
        <v>164</v>
      </c>
      <c r="L370" s="247"/>
      <c r="M370" s="153"/>
      <c r="N370" s="153"/>
      <c r="O370" s="199">
        <f>IFERROR(VLOOKUP($P370,Suppl!$B$2:$N$57,MATCH(BDD!$B370,Suppl!$C$1:$N$1,0)+1,FALSE),"")</f>
        <v>0</v>
      </c>
      <c r="P370" s="153" t="str">
        <f t="shared" si="38"/>
        <v>55</v>
      </c>
    </row>
    <row r="371" spans="1:18" ht="15" customHeight="1" x14ac:dyDescent="0.3">
      <c r="A371" s="155" t="str">
        <f t="shared" si="37"/>
        <v>1056</v>
      </c>
      <c r="B371" s="182">
        <f t="shared" si="40"/>
        <v>10</v>
      </c>
      <c r="C371" s="156" t="str">
        <f t="shared" si="41"/>
        <v xml:space="preserve">Ressources humaines </v>
      </c>
      <c r="D371" s="156" t="s">
        <v>511</v>
      </c>
      <c r="E371" s="168">
        <v>5</v>
      </c>
      <c r="F371" s="156" t="s">
        <v>533</v>
      </c>
      <c r="G371" s="406" t="s">
        <v>535</v>
      </c>
      <c r="H371" s="185" t="s">
        <v>164</v>
      </c>
      <c r="I371" s="162">
        <v>6</v>
      </c>
      <c r="J371" s="153"/>
      <c r="K371" s="153" t="s">
        <v>164</v>
      </c>
      <c r="L371" s="247"/>
      <c r="M371" s="153"/>
      <c r="N371" s="153"/>
      <c r="O371" s="199">
        <f>IFERROR(VLOOKUP($P371,Suppl!$B$2:$N$57,MATCH(BDD!$B371,Suppl!$C$1:$N$1,0)+1,FALSE),"")</f>
        <v>0</v>
      </c>
      <c r="P371" s="153" t="str">
        <f t="shared" si="38"/>
        <v>56</v>
      </c>
    </row>
    <row r="372" spans="1:18" ht="15" customHeight="1" x14ac:dyDescent="0.3">
      <c r="A372" s="155" t="str">
        <f t="shared" si="37"/>
        <v>1057</v>
      </c>
      <c r="B372" s="183">
        <f t="shared" si="40"/>
        <v>10</v>
      </c>
      <c r="C372" s="157" t="str">
        <f t="shared" si="41"/>
        <v xml:space="preserve">Ressources humaines </v>
      </c>
      <c r="D372" s="157" t="s">
        <v>511</v>
      </c>
      <c r="E372" s="169">
        <v>5</v>
      </c>
      <c r="F372" s="157" t="s">
        <v>533</v>
      </c>
      <c r="G372" s="407" t="s">
        <v>535</v>
      </c>
      <c r="H372" s="185" t="s">
        <v>164</v>
      </c>
      <c r="I372" s="171">
        <v>7</v>
      </c>
      <c r="J372" s="154"/>
      <c r="K372" s="154" t="s">
        <v>164</v>
      </c>
      <c r="L372" s="323"/>
      <c r="M372" s="154"/>
      <c r="N372" s="154"/>
      <c r="O372" s="200">
        <f>IFERROR(VLOOKUP($P372,Suppl!$B$2:$N$57,MATCH(BDD!$B372,Suppl!$C$1:$N$1,0)+1,FALSE),"")</f>
        <v>0</v>
      </c>
      <c r="P372" s="154" t="str">
        <f t="shared" si="38"/>
        <v>57</v>
      </c>
    </row>
    <row r="373" spans="1:18" ht="15" customHeight="1" x14ac:dyDescent="0.3">
      <c r="A373" s="155" t="str">
        <f t="shared" si="37"/>
        <v>1061</v>
      </c>
      <c r="B373" s="182">
        <f t="shared" si="40"/>
        <v>10</v>
      </c>
      <c r="C373" s="156" t="str">
        <f t="shared" si="41"/>
        <v xml:space="preserve">Ressources humaines </v>
      </c>
      <c r="D373" s="156" t="s">
        <v>511</v>
      </c>
      <c r="E373" s="167">
        <v>6</v>
      </c>
      <c r="F373" s="180" t="s">
        <v>534</v>
      </c>
      <c r="G373" s="409" t="s">
        <v>536</v>
      </c>
      <c r="I373" s="162">
        <v>1</v>
      </c>
      <c r="J373" s="153" t="s">
        <v>538</v>
      </c>
      <c r="K373" s="153" t="s">
        <v>23</v>
      </c>
      <c r="L373" s="255" t="s">
        <v>1111</v>
      </c>
      <c r="M373" s="153"/>
      <c r="O373" s="202">
        <f>IFERROR(VLOOKUP($P373,Suppl!$B$2:$N$57,MATCH(BDD!$B373,Suppl!$C$1:$N$1,0)+1,FALSE),"")</f>
        <v>0</v>
      </c>
      <c r="P373" s="155" t="str">
        <f t="shared" si="38"/>
        <v>61</v>
      </c>
    </row>
    <row r="374" spans="1:18" ht="15" customHeight="1" x14ac:dyDescent="0.3">
      <c r="A374" s="155" t="str">
        <f t="shared" si="37"/>
        <v>1062</v>
      </c>
      <c r="B374" s="182">
        <f t="shared" si="40"/>
        <v>10</v>
      </c>
      <c r="C374" s="156" t="str">
        <f t="shared" si="41"/>
        <v xml:space="preserve">Ressources humaines </v>
      </c>
      <c r="D374" s="156" t="s">
        <v>511</v>
      </c>
      <c r="E374" s="168">
        <v>6</v>
      </c>
      <c r="F374" s="156" t="s">
        <v>534</v>
      </c>
      <c r="G374" s="406" t="s">
        <v>536</v>
      </c>
      <c r="H374" s="185" t="s">
        <v>164</v>
      </c>
      <c r="I374" s="162">
        <v>2</v>
      </c>
      <c r="J374" s="153" t="s">
        <v>539</v>
      </c>
      <c r="K374" s="153" t="s">
        <v>23</v>
      </c>
      <c r="L374" s="247" t="s">
        <v>803</v>
      </c>
      <c r="M374" s="153"/>
      <c r="O374" s="202">
        <f>IFERROR(VLOOKUP($P374,Suppl!$B$2:$N$57,MATCH(BDD!$B374,Suppl!$C$1:$N$1,0)+1,FALSE),"")</f>
        <v>0</v>
      </c>
      <c r="P374" s="155" t="str">
        <f t="shared" si="38"/>
        <v>62</v>
      </c>
    </row>
    <row r="375" spans="1:18" ht="15" customHeight="1" x14ac:dyDescent="0.3">
      <c r="A375" s="155" t="str">
        <f t="shared" si="37"/>
        <v>1063</v>
      </c>
      <c r="B375" s="182">
        <f t="shared" si="40"/>
        <v>10</v>
      </c>
      <c r="C375" s="156" t="str">
        <f t="shared" si="41"/>
        <v xml:space="preserve">Ressources humaines </v>
      </c>
      <c r="D375" s="156" t="s">
        <v>511</v>
      </c>
      <c r="E375" s="168">
        <v>6</v>
      </c>
      <c r="F375" s="156" t="s">
        <v>534</v>
      </c>
      <c r="G375" s="406" t="s">
        <v>536</v>
      </c>
      <c r="H375" s="185" t="s">
        <v>164</v>
      </c>
      <c r="I375" s="162">
        <v>3</v>
      </c>
      <c r="J375" s="153" t="s">
        <v>1096</v>
      </c>
      <c r="K375" s="153" t="s">
        <v>23</v>
      </c>
      <c r="L375" s="255" t="s">
        <v>1097</v>
      </c>
      <c r="M375" s="153"/>
      <c r="O375" s="202">
        <f>IFERROR(VLOOKUP($P375,Suppl!$B$2:$N$57,MATCH(BDD!$B375,Suppl!$C$1:$N$1,0)+1,FALSE),"")</f>
        <v>0</v>
      </c>
      <c r="P375" s="155" t="str">
        <f t="shared" si="38"/>
        <v>63</v>
      </c>
    </row>
    <row r="376" spans="1:18" ht="15" customHeight="1" x14ac:dyDescent="0.3">
      <c r="A376" s="155" t="str">
        <f t="shared" si="37"/>
        <v>1064</v>
      </c>
      <c r="B376" s="182">
        <f t="shared" si="40"/>
        <v>10</v>
      </c>
      <c r="C376" s="156" t="str">
        <f t="shared" si="41"/>
        <v xml:space="preserve">Ressources humaines </v>
      </c>
      <c r="D376" s="156" t="s">
        <v>511</v>
      </c>
      <c r="E376" s="168">
        <v>6</v>
      </c>
      <c r="F376" s="156" t="s">
        <v>534</v>
      </c>
      <c r="G376" s="406" t="s">
        <v>536</v>
      </c>
      <c r="H376" s="185" t="s">
        <v>164</v>
      </c>
      <c r="I376" s="162">
        <v>4</v>
      </c>
      <c r="J376" s="155" t="s">
        <v>1098</v>
      </c>
      <c r="K376" s="153" t="s">
        <v>24</v>
      </c>
      <c r="L376" s="255" t="s">
        <v>804</v>
      </c>
      <c r="M376" s="153"/>
      <c r="O376" s="202">
        <f>IFERROR(VLOOKUP($P376,Suppl!$B$2:$N$57,MATCH(BDD!$B376,Suppl!$C$1:$N$1,0)+1,FALSE),"")</f>
        <v>0</v>
      </c>
      <c r="P376" s="155" t="str">
        <f t="shared" si="38"/>
        <v>64</v>
      </c>
    </row>
    <row r="377" spans="1:18" ht="15" customHeight="1" x14ac:dyDescent="0.3">
      <c r="A377" s="155" t="str">
        <f t="shared" si="37"/>
        <v>1065</v>
      </c>
      <c r="B377" s="182">
        <f t="shared" si="40"/>
        <v>10</v>
      </c>
      <c r="C377" s="156" t="str">
        <f t="shared" si="41"/>
        <v xml:space="preserve">Ressources humaines </v>
      </c>
      <c r="D377" s="156" t="s">
        <v>511</v>
      </c>
      <c r="E377" s="168">
        <v>6</v>
      </c>
      <c r="F377" s="156" t="s">
        <v>534</v>
      </c>
      <c r="G377" s="406" t="s">
        <v>536</v>
      </c>
      <c r="H377" s="185" t="s">
        <v>164</v>
      </c>
      <c r="I377" s="162">
        <v>5</v>
      </c>
      <c r="J377" s="153" t="s">
        <v>540</v>
      </c>
      <c r="K377" s="153" t="s">
        <v>22</v>
      </c>
      <c r="L377" s="255" t="s">
        <v>805</v>
      </c>
      <c r="M377" s="153"/>
      <c r="O377" s="202">
        <f>IFERROR(VLOOKUP($P377,Suppl!$B$2:$N$57,MATCH(BDD!$B377,Suppl!$C$1:$N$1,0)+1,FALSE),"")</f>
        <v>0</v>
      </c>
      <c r="P377" s="155" t="str">
        <f t="shared" si="38"/>
        <v>65</v>
      </c>
    </row>
    <row r="378" spans="1:18" ht="15" customHeight="1" x14ac:dyDescent="0.3">
      <c r="A378" s="155" t="str">
        <f t="shared" si="37"/>
        <v>1066</v>
      </c>
      <c r="B378" s="182">
        <f t="shared" si="40"/>
        <v>10</v>
      </c>
      <c r="C378" s="156" t="str">
        <f t="shared" si="41"/>
        <v xml:space="preserve">Ressources humaines </v>
      </c>
      <c r="D378" s="156" t="s">
        <v>511</v>
      </c>
      <c r="E378" s="168">
        <v>6</v>
      </c>
      <c r="F378" s="156" t="s">
        <v>534</v>
      </c>
      <c r="G378" s="406" t="s">
        <v>536</v>
      </c>
      <c r="H378" s="185" t="s">
        <v>164</v>
      </c>
      <c r="I378" s="162">
        <v>6</v>
      </c>
      <c r="J378" s="153" t="s">
        <v>1100</v>
      </c>
      <c r="K378" s="153" t="s">
        <v>24</v>
      </c>
      <c r="L378" s="255" t="s">
        <v>806</v>
      </c>
      <c r="M378" s="153"/>
      <c r="O378" s="202">
        <f>IFERROR(VLOOKUP($P378,Suppl!$B$2:$N$57,MATCH(BDD!$B378,Suppl!$C$1:$N$1,0)+1,FALSE),"")</f>
        <v>0</v>
      </c>
      <c r="P378" s="155" t="str">
        <f t="shared" si="38"/>
        <v>66</v>
      </c>
    </row>
    <row r="379" spans="1:18" ht="15" customHeight="1" thickBot="1" x14ac:dyDescent="0.35">
      <c r="A379" s="179" t="str">
        <f t="shared" si="37"/>
        <v>1067</v>
      </c>
      <c r="B379" s="184">
        <f t="shared" si="40"/>
        <v>10</v>
      </c>
      <c r="C379" s="160" t="str">
        <f t="shared" si="41"/>
        <v xml:space="preserve">Ressources humaines </v>
      </c>
      <c r="D379" s="160" t="s">
        <v>511</v>
      </c>
      <c r="E379" s="170">
        <v>6</v>
      </c>
      <c r="F379" s="160" t="s">
        <v>534</v>
      </c>
      <c r="G379" s="410" t="s">
        <v>536</v>
      </c>
      <c r="H379" s="204" t="s">
        <v>164</v>
      </c>
      <c r="I379" s="172">
        <v>7</v>
      </c>
      <c r="J379" s="158"/>
      <c r="K379" s="158" t="s">
        <v>164</v>
      </c>
      <c r="L379" s="254"/>
      <c r="M379" s="158"/>
      <c r="N379" s="158"/>
      <c r="O379" s="201">
        <f>IFERROR(VLOOKUP($P379,Suppl!$B$2:$N$57,MATCH(BDD!$B379,Suppl!$C$1:$N$1,0)+1,FALSE),"")</f>
        <v>0</v>
      </c>
      <c r="P379" s="158" t="str">
        <f t="shared" si="38"/>
        <v>67</v>
      </c>
    </row>
    <row r="380" spans="1:18" ht="15" customHeight="1" x14ac:dyDescent="0.3">
      <c r="A380" s="155" t="str">
        <f t="shared" si="37"/>
        <v>1111</v>
      </c>
      <c r="B380" s="162">
        <v>11</v>
      </c>
      <c r="C380" s="153" t="s">
        <v>1087</v>
      </c>
      <c r="D380" s="153" t="s">
        <v>546</v>
      </c>
      <c r="E380" s="167">
        <v>1</v>
      </c>
      <c r="F380" s="153" t="s">
        <v>301</v>
      </c>
      <c r="G380" s="408" t="s">
        <v>327</v>
      </c>
      <c r="H380" s="185" t="s">
        <v>547</v>
      </c>
      <c r="I380" s="162">
        <v>1</v>
      </c>
      <c r="J380" s="153" t="s">
        <v>888</v>
      </c>
      <c r="K380" s="153" t="s">
        <v>22</v>
      </c>
      <c r="L380" s="247" t="s">
        <v>1112</v>
      </c>
      <c r="M380" s="186" t="s">
        <v>1122</v>
      </c>
      <c r="N380" s="187" t="s">
        <v>294</v>
      </c>
      <c r="O380" s="199">
        <f>IFERROR(VLOOKUP($P380,Suppl!$B$2:$N$57,MATCH(BDD!$B380,Suppl!$C$1:$N$1,0)+1,FALSE),"")</f>
        <v>0</v>
      </c>
      <c r="P380" s="153" t="str">
        <f t="shared" si="38"/>
        <v>11</v>
      </c>
      <c r="Q380" s="159"/>
      <c r="R380" s="159"/>
    </row>
    <row r="381" spans="1:18" ht="15" customHeight="1" x14ac:dyDescent="0.3">
      <c r="A381" s="155" t="str">
        <f t="shared" si="37"/>
        <v>1112</v>
      </c>
      <c r="B381" s="163">
        <f t="shared" ref="B381:C381" si="42">B380</f>
        <v>11</v>
      </c>
      <c r="C381" s="156" t="str">
        <f t="shared" si="42"/>
        <v>Prestataires &amp; fournisseurs</v>
      </c>
      <c r="D381" s="156" t="s">
        <v>546</v>
      </c>
      <c r="E381" s="168">
        <v>1</v>
      </c>
      <c r="F381" s="156" t="s">
        <v>301</v>
      </c>
      <c r="G381" s="406" t="s">
        <v>327</v>
      </c>
      <c r="H381" s="185" t="s">
        <v>164</v>
      </c>
      <c r="I381" s="162">
        <v>2</v>
      </c>
      <c r="J381" s="153" t="s">
        <v>1099</v>
      </c>
      <c r="K381" s="153" t="s">
        <v>24</v>
      </c>
      <c r="L381" s="247" t="s">
        <v>807</v>
      </c>
      <c r="M381" s="174" t="s">
        <v>295</v>
      </c>
      <c r="N381" s="177" t="s">
        <v>296</v>
      </c>
      <c r="O381" s="199">
        <f>IFERROR(VLOOKUP($P381,Suppl!$B$2:$N$57,MATCH(BDD!$B381,Suppl!$C$1:$N$1,0)+1,FALSE),"")</f>
        <v>0</v>
      </c>
      <c r="P381" s="153" t="str">
        <f t="shared" si="38"/>
        <v>12</v>
      </c>
      <c r="R381" s="159"/>
    </row>
    <row r="382" spans="1:18" ht="15" customHeight="1" x14ac:dyDescent="0.3">
      <c r="A382" s="155" t="str">
        <f t="shared" si="37"/>
        <v>1113</v>
      </c>
      <c r="B382" s="163">
        <f t="shared" ref="B382:B428" si="43">B381</f>
        <v>11</v>
      </c>
      <c r="C382" s="156" t="str">
        <f t="shared" ref="C382:C428" si="44">C381</f>
        <v>Prestataires &amp; fournisseurs</v>
      </c>
      <c r="D382" s="156" t="s">
        <v>546</v>
      </c>
      <c r="E382" s="168">
        <v>1</v>
      </c>
      <c r="F382" s="156" t="s">
        <v>301</v>
      </c>
      <c r="G382" s="406" t="s">
        <v>327</v>
      </c>
      <c r="H382" s="185" t="s">
        <v>164</v>
      </c>
      <c r="I382" s="162">
        <v>3</v>
      </c>
      <c r="J382" s="153"/>
      <c r="K382" s="153" t="s">
        <v>164</v>
      </c>
      <c r="L382" s="247"/>
      <c r="M382" s="174" t="s">
        <v>297</v>
      </c>
      <c r="N382" s="177" t="s">
        <v>298</v>
      </c>
      <c r="O382" s="199">
        <f>IFERROR(VLOOKUP($P382,Suppl!$B$2:$N$57,MATCH(BDD!$B382,Suppl!$C$1:$N$1,0)+1,FALSE),"")</f>
        <v>0</v>
      </c>
      <c r="P382" s="153" t="str">
        <f t="shared" si="38"/>
        <v>13</v>
      </c>
      <c r="Q382" s="221"/>
    </row>
    <row r="383" spans="1:18" ht="15" customHeight="1" x14ac:dyDescent="0.3">
      <c r="A383" s="155" t="str">
        <f t="shared" si="37"/>
        <v>1114</v>
      </c>
      <c r="B383" s="163">
        <f t="shared" si="43"/>
        <v>11</v>
      </c>
      <c r="C383" s="156" t="str">
        <f t="shared" si="44"/>
        <v>Prestataires &amp; fournisseurs</v>
      </c>
      <c r="D383" s="156" t="s">
        <v>546</v>
      </c>
      <c r="E383" s="168">
        <v>1</v>
      </c>
      <c r="F383" s="156" t="s">
        <v>301</v>
      </c>
      <c r="G383" s="406" t="s">
        <v>327</v>
      </c>
      <c r="H383" s="185" t="s">
        <v>164</v>
      </c>
      <c r="I383" s="162">
        <v>4</v>
      </c>
      <c r="J383" s="153"/>
      <c r="K383" s="153" t="s">
        <v>164</v>
      </c>
      <c r="L383" s="247"/>
      <c r="M383" s="174" t="s">
        <v>1123</v>
      </c>
      <c r="N383" s="177" t="s">
        <v>299</v>
      </c>
      <c r="O383" s="199">
        <f>IFERROR(VLOOKUP($P383,Suppl!$B$2:$N$57,MATCH(BDD!$B383,Suppl!$C$1:$N$1,0)+1,FALSE),"")</f>
        <v>0</v>
      </c>
      <c r="P383" s="153" t="str">
        <f t="shared" si="38"/>
        <v>14</v>
      </c>
    </row>
    <row r="384" spans="1:18" ht="15" customHeight="1" x14ac:dyDescent="0.3">
      <c r="A384" s="155" t="str">
        <f t="shared" si="37"/>
        <v>1115</v>
      </c>
      <c r="B384" s="163">
        <f t="shared" si="43"/>
        <v>11</v>
      </c>
      <c r="C384" s="156" t="str">
        <f t="shared" si="44"/>
        <v>Prestataires &amp; fournisseurs</v>
      </c>
      <c r="D384" s="156" t="s">
        <v>546</v>
      </c>
      <c r="E384" s="168">
        <v>1</v>
      </c>
      <c r="F384" s="156" t="s">
        <v>301</v>
      </c>
      <c r="G384" s="406" t="s">
        <v>327</v>
      </c>
      <c r="H384" s="185" t="s">
        <v>164</v>
      </c>
      <c r="I384" s="162">
        <v>5</v>
      </c>
      <c r="J384" s="153"/>
      <c r="K384" s="153" t="s">
        <v>164</v>
      </c>
      <c r="L384" s="247"/>
      <c r="M384" s="174"/>
      <c r="N384" s="177" t="s">
        <v>300</v>
      </c>
      <c r="O384" s="199">
        <f>IFERROR(VLOOKUP($P384,Suppl!$B$2:$N$57,MATCH(BDD!$B384,Suppl!$C$1:$N$1,0)+1,FALSE),"")</f>
        <v>0</v>
      </c>
      <c r="P384" s="153" t="str">
        <f t="shared" si="38"/>
        <v>15</v>
      </c>
    </row>
    <row r="385" spans="1:18" ht="15" customHeight="1" x14ac:dyDescent="0.3">
      <c r="A385" s="155" t="str">
        <f t="shared" si="37"/>
        <v>1116</v>
      </c>
      <c r="B385" s="163">
        <f t="shared" si="43"/>
        <v>11</v>
      </c>
      <c r="C385" s="156" t="str">
        <f t="shared" si="44"/>
        <v>Prestataires &amp; fournisseurs</v>
      </c>
      <c r="D385" s="156" t="s">
        <v>546</v>
      </c>
      <c r="E385" s="168">
        <v>1</v>
      </c>
      <c r="F385" s="156" t="s">
        <v>301</v>
      </c>
      <c r="G385" s="406" t="s">
        <v>327</v>
      </c>
      <c r="H385" s="185" t="s">
        <v>164</v>
      </c>
      <c r="I385" s="162">
        <v>6</v>
      </c>
      <c r="J385" s="153"/>
      <c r="K385" s="153" t="s">
        <v>164</v>
      </c>
      <c r="L385" s="247"/>
      <c r="M385" s="174"/>
      <c r="N385" s="177"/>
      <c r="O385" s="199">
        <f>IFERROR(VLOOKUP($P385,Suppl!$B$2:$N$57,MATCH(BDD!$B385,Suppl!$C$1:$N$1,0)+1,FALSE),"")</f>
        <v>0</v>
      </c>
      <c r="P385" s="153" t="str">
        <f t="shared" si="38"/>
        <v>16</v>
      </c>
    </row>
    <row r="386" spans="1:18" ht="15" customHeight="1" x14ac:dyDescent="0.3">
      <c r="A386" s="155" t="str">
        <f t="shared" si="37"/>
        <v>1117</v>
      </c>
      <c r="B386" s="164">
        <f t="shared" si="43"/>
        <v>11</v>
      </c>
      <c r="C386" s="157" t="str">
        <f t="shared" si="44"/>
        <v>Prestataires &amp; fournisseurs</v>
      </c>
      <c r="D386" s="157" t="s">
        <v>546</v>
      </c>
      <c r="E386" s="169">
        <v>1</v>
      </c>
      <c r="F386" s="157" t="s">
        <v>301</v>
      </c>
      <c r="G386" s="407" t="s">
        <v>327</v>
      </c>
      <c r="H386" s="185" t="s">
        <v>164</v>
      </c>
      <c r="I386" s="171">
        <v>7</v>
      </c>
      <c r="J386" s="154"/>
      <c r="K386" s="154" t="s">
        <v>164</v>
      </c>
      <c r="L386" s="323"/>
      <c r="M386" s="175"/>
      <c r="N386" s="178"/>
      <c r="O386" s="200">
        <f>IFERROR(VLOOKUP($P386,Suppl!$B$2:$N$57,MATCH(BDD!$B386,Suppl!$C$1:$N$1,0)+1,FALSE),"")</f>
        <v>0</v>
      </c>
      <c r="P386" s="154" t="str">
        <f t="shared" si="38"/>
        <v>17</v>
      </c>
    </row>
    <row r="387" spans="1:18" ht="15" customHeight="1" x14ac:dyDescent="0.3">
      <c r="A387" s="155" t="str">
        <f t="shared" ref="A387:A435" si="45">B387&amp;E387&amp;I387</f>
        <v>1121</v>
      </c>
      <c r="B387" s="163">
        <f t="shared" si="43"/>
        <v>11</v>
      </c>
      <c r="C387" s="156" t="str">
        <f t="shared" si="44"/>
        <v>Prestataires &amp; fournisseurs</v>
      </c>
      <c r="D387" s="156" t="s">
        <v>546</v>
      </c>
      <c r="E387" s="167">
        <v>2</v>
      </c>
      <c r="F387" s="180" t="s">
        <v>321</v>
      </c>
      <c r="G387" s="409" t="s">
        <v>328</v>
      </c>
      <c r="H387" s="185" t="s">
        <v>164</v>
      </c>
      <c r="I387" s="162">
        <v>1</v>
      </c>
      <c r="J387" s="153" t="s">
        <v>467</v>
      </c>
      <c r="K387" s="153" t="s">
        <v>23</v>
      </c>
      <c r="L387" s="247" t="s">
        <v>808</v>
      </c>
      <c r="M387" s="153"/>
      <c r="N387" s="153"/>
      <c r="O387" s="199">
        <f>IFERROR(VLOOKUP($P387,Suppl!$B$2:$N$57,MATCH(BDD!$B387,Suppl!$C$1:$N$1,0)+1,FALSE),"")</f>
        <v>0</v>
      </c>
      <c r="P387" s="153" t="str">
        <f t="shared" ref="P387:P435" si="46">E387&amp;I387</f>
        <v>21</v>
      </c>
      <c r="Q387" s="159"/>
      <c r="R387" s="159"/>
    </row>
    <row r="388" spans="1:18" ht="15" customHeight="1" x14ac:dyDescent="0.3">
      <c r="A388" s="155" t="str">
        <f t="shared" si="45"/>
        <v>1122</v>
      </c>
      <c r="B388" s="163">
        <f t="shared" si="43"/>
        <v>11</v>
      </c>
      <c r="C388" s="156" t="str">
        <f t="shared" si="44"/>
        <v>Prestataires &amp; fournisseurs</v>
      </c>
      <c r="D388" s="156" t="s">
        <v>546</v>
      </c>
      <c r="E388" s="168">
        <v>2</v>
      </c>
      <c r="F388" s="156" t="s">
        <v>321</v>
      </c>
      <c r="G388" s="406" t="s">
        <v>328</v>
      </c>
      <c r="H388" s="185" t="s">
        <v>164</v>
      </c>
      <c r="I388" s="162">
        <v>2</v>
      </c>
      <c r="J388" s="153" t="s">
        <v>468</v>
      </c>
      <c r="K388" s="153" t="s">
        <v>22</v>
      </c>
      <c r="L388" s="247" t="s">
        <v>809</v>
      </c>
      <c r="M388" s="153"/>
      <c r="N388" s="153"/>
      <c r="O388" s="199">
        <f>IFERROR(VLOOKUP($P388,Suppl!$B$2:$N$57,MATCH(BDD!$B388,Suppl!$C$1:$N$1,0)+1,FALSE),"")</f>
        <v>0</v>
      </c>
      <c r="P388" s="153" t="str">
        <f t="shared" si="46"/>
        <v>22</v>
      </c>
    </row>
    <row r="389" spans="1:18" ht="15" customHeight="1" x14ac:dyDescent="0.3">
      <c r="A389" s="155" t="str">
        <f t="shared" si="45"/>
        <v>1123</v>
      </c>
      <c r="B389" s="163">
        <f t="shared" si="43"/>
        <v>11</v>
      </c>
      <c r="C389" s="156" t="str">
        <f t="shared" si="44"/>
        <v>Prestataires &amp; fournisseurs</v>
      </c>
      <c r="D389" s="156" t="s">
        <v>546</v>
      </c>
      <c r="E389" s="168">
        <v>2</v>
      </c>
      <c r="F389" s="156" t="s">
        <v>321</v>
      </c>
      <c r="G389" s="406" t="s">
        <v>328</v>
      </c>
      <c r="H389" s="185" t="s">
        <v>164</v>
      </c>
      <c r="I389" s="162">
        <v>3</v>
      </c>
      <c r="J389" s="153" t="s">
        <v>469</v>
      </c>
      <c r="K389" s="153" t="s">
        <v>22</v>
      </c>
      <c r="L389" s="247" t="s">
        <v>810</v>
      </c>
      <c r="M389" s="153"/>
      <c r="N389" s="153"/>
      <c r="O389" s="199">
        <f>IFERROR(VLOOKUP($P389,Suppl!$B$2:$N$57,MATCH(BDD!$B389,Suppl!$C$1:$N$1,0)+1,FALSE),"")</f>
        <v>0</v>
      </c>
      <c r="P389" s="153" t="str">
        <f t="shared" si="46"/>
        <v>23</v>
      </c>
    </row>
    <row r="390" spans="1:18" ht="15" customHeight="1" x14ac:dyDescent="0.3">
      <c r="A390" s="155" t="str">
        <f t="shared" si="45"/>
        <v>1124</v>
      </c>
      <c r="B390" s="163">
        <f t="shared" si="43"/>
        <v>11</v>
      </c>
      <c r="C390" s="156" t="str">
        <f t="shared" si="44"/>
        <v>Prestataires &amp; fournisseurs</v>
      </c>
      <c r="D390" s="156" t="s">
        <v>546</v>
      </c>
      <c r="E390" s="168">
        <v>2</v>
      </c>
      <c r="F390" s="156" t="s">
        <v>321</v>
      </c>
      <c r="G390" s="406" t="s">
        <v>328</v>
      </c>
      <c r="H390" s="185" t="s">
        <v>164</v>
      </c>
      <c r="I390" s="162">
        <v>4</v>
      </c>
      <c r="J390" s="153" t="s">
        <v>470</v>
      </c>
      <c r="K390" s="153" t="s">
        <v>24</v>
      </c>
      <c r="L390" s="247" t="s">
        <v>1113</v>
      </c>
      <c r="M390" s="153"/>
      <c r="N390" s="153"/>
      <c r="O390" s="199">
        <f>IFERROR(VLOOKUP($P390,Suppl!$B$2:$N$57,MATCH(BDD!$B390,Suppl!$C$1:$N$1,0)+1,FALSE),"")</f>
        <v>0</v>
      </c>
      <c r="P390" s="153" t="str">
        <f t="shared" si="46"/>
        <v>24</v>
      </c>
    </row>
    <row r="391" spans="1:18" ht="15" customHeight="1" x14ac:dyDescent="0.3">
      <c r="A391" s="155" t="str">
        <f t="shared" si="45"/>
        <v>1125</v>
      </c>
      <c r="B391" s="163">
        <f t="shared" si="43"/>
        <v>11</v>
      </c>
      <c r="C391" s="156" t="str">
        <f t="shared" si="44"/>
        <v>Prestataires &amp; fournisseurs</v>
      </c>
      <c r="D391" s="156" t="s">
        <v>546</v>
      </c>
      <c r="E391" s="168">
        <v>2</v>
      </c>
      <c r="F391" s="156" t="s">
        <v>321</v>
      </c>
      <c r="G391" s="406" t="s">
        <v>328</v>
      </c>
      <c r="H391" s="185" t="s">
        <v>164</v>
      </c>
      <c r="I391" s="162">
        <v>5</v>
      </c>
      <c r="J391" s="153" t="s">
        <v>889</v>
      </c>
      <c r="K391" s="153" t="s">
        <v>24</v>
      </c>
      <c r="L391" s="247" t="s">
        <v>811</v>
      </c>
      <c r="M391" s="153"/>
      <c r="N391" s="153"/>
      <c r="O391" s="199">
        <f>IFERROR(VLOOKUP($P391,Suppl!$B$2:$N$57,MATCH(BDD!$B391,Suppl!$C$1:$N$1,0)+1,FALSE),"")</f>
        <v>0</v>
      </c>
      <c r="P391" s="153" t="str">
        <f t="shared" si="46"/>
        <v>25</v>
      </c>
    </row>
    <row r="392" spans="1:18" ht="15" customHeight="1" x14ac:dyDescent="0.3">
      <c r="A392" s="155" t="str">
        <f t="shared" si="45"/>
        <v>1126</v>
      </c>
      <c r="B392" s="163">
        <f t="shared" si="43"/>
        <v>11</v>
      </c>
      <c r="C392" s="156" t="str">
        <f t="shared" si="44"/>
        <v>Prestataires &amp; fournisseurs</v>
      </c>
      <c r="D392" s="156" t="s">
        <v>546</v>
      </c>
      <c r="E392" s="168">
        <v>2</v>
      </c>
      <c r="F392" s="156" t="s">
        <v>321</v>
      </c>
      <c r="G392" s="406" t="s">
        <v>328</v>
      </c>
      <c r="H392" s="185" t="s">
        <v>164</v>
      </c>
      <c r="I392" s="162">
        <v>6</v>
      </c>
      <c r="J392" s="153" t="s">
        <v>471</v>
      </c>
      <c r="K392" s="153" t="s">
        <v>22</v>
      </c>
      <c r="L392" s="247"/>
      <c r="M392" s="153"/>
      <c r="N392" s="153"/>
      <c r="O392" s="199">
        <f>IFERROR(VLOOKUP($P392,Suppl!$B$2:$N$57,MATCH(BDD!$B392,Suppl!$C$1:$N$1,0)+1,FALSE),"")</f>
        <v>0</v>
      </c>
      <c r="P392" s="153" t="str">
        <f t="shared" si="46"/>
        <v>26</v>
      </c>
    </row>
    <row r="393" spans="1:18" ht="15" customHeight="1" x14ac:dyDescent="0.3">
      <c r="A393" s="155" t="str">
        <f t="shared" si="45"/>
        <v>1127</v>
      </c>
      <c r="B393" s="164">
        <f t="shared" si="43"/>
        <v>11</v>
      </c>
      <c r="C393" s="157" t="str">
        <f t="shared" si="44"/>
        <v>Prestataires &amp; fournisseurs</v>
      </c>
      <c r="D393" s="157" t="s">
        <v>546</v>
      </c>
      <c r="E393" s="169">
        <v>2</v>
      </c>
      <c r="F393" s="157" t="s">
        <v>321</v>
      </c>
      <c r="G393" s="407" t="s">
        <v>328</v>
      </c>
      <c r="H393" s="185" t="s">
        <v>164</v>
      </c>
      <c r="I393" s="171">
        <v>7</v>
      </c>
      <c r="J393" s="154"/>
      <c r="K393" s="154"/>
      <c r="L393" s="323"/>
      <c r="M393" s="154"/>
      <c r="N393" s="154"/>
      <c r="O393" s="200">
        <f>IFERROR(VLOOKUP($P393,Suppl!$B$2:$N$57,MATCH(BDD!$B393,Suppl!$C$1:$N$1,0)+1,FALSE),"")</f>
        <v>0</v>
      </c>
      <c r="P393" s="154" t="str">
        <f t="shared" si="46"/>
        <v>27</v>
      </c>
    </row>
    <row r="394" spans="1:18" ht="15" customHeight="1" x14ac:dyDescent="0.3">
      <c r="A394" s="155" t="str">
        <f t="shared" si="45"/>
        <v>1131</v>
      </c>
      <c r="B394" s="163">
        <f t="shared" si="43"/>
        <v>11</v>
      </c>
      <c r="C394" s="156" t="str">
        <f t="shared" si="44"/>
        <v>Prestataires &amp; fournisseurs</v>
      </c>
      <c r="D394" s="156" t="s">
        <v>546</v>
      </c>
      <c r="E394" s="167">
        <v>3</v>
      </c>
      <c r="F394" s="180" t="s">
        <v>322</v>
      </c>
      <c r="G394" s="409" t="s">
        <v>329</v>
      </c>
      <c r="H394" s="185" t="s">
        <v>548</v>
      </c>
      <c r="I394" s="162">
        <v>1</v>
      </c>
      <c r="J394" s="153" t="s">
        <v>472</v>
      </c>
      <c r="K394" s="153" t="s">
        <v>22</v>
      </c>
      <c r="L394" s="247" t="s">
        <v>812</v>
      </c>
      <c r="M394" s="153"/>
      <c r="N394" s="153"/>
      <c r="O394" s="199">
        <f>IFERROR(VLOOKUP($P394,Suppl!$B$2:$N$57,MATCH(BDD!$B394,Suppl!$C$1:$N$1,0)+1,FALSE),"")</f>
        <v>0</v>
      </c>
      <c r="P394" s="153" t="str">
        <f t="shared" si="46"/>
        <v>31</v>
      </c>
    </row>
    <row r="395" spans="1:18" ht="15" customHeight="1" x14ac:dyDescent="0.3">
      <c r="A395" s="155" t="str">
        <f t="shared" si="45"/>
        <v>1132</v>
      </c>
      <c r="B395" s="163">
        <f t="shared" si="43"/>
        <v>11</v>
      </c>
      <c r="C395" s="156" t="str">
        <f t="shared" si="44"/>
        <v>Prestataires &amp; fournisseurs</v>
      </c>
      <c r="D395" s="156" t="s">
        <v>546</v>
      </c>
      <c r="E395" s="168">
        <v>3</v>
      </c>
      <c r="F395" s="156" t="s">
        <v>322</v>
      </c>
      <c r="G395" s="406" t="s">
        <v>329</v>
      </c>
      <c r="H395" s="185" t="s">
        <v>164</v>
      </c>
      <c r="I395" s="162">
        <v>2</v>
      </c>
      <c r="J395" s="153" t="s">
        <v>473</v>
      </c>
      <c r="K395" s="153" t="s">
        <v>22</v>
      </c>
      <c r="L395" s="247" t="s">
        <v>813</v>
      </c>
      <c r="M395" s="153"/>
      <c r="N395" s="153"/>
      <c r="O395" s="199">
        <f>IFERROR(VLOOKUP($P395,Suppl!$B$2:$N$57,MATCH(BDD!$B395,Suppl!$C$1:$N$1,0)+1,FALSE),"")</f>
        <v>0</v>
      </c>
      <c r="P395" s="153" t="str">
        <f t="shared" si="46"/>
        <v>32</v>
      </c>
    </row>
    <row r="396" spans="1:18" ht="15" customHeight="1" x14ac:dyDescent="0.3">
      <c r="A396" s="155" t="str">
        <f t="shared" si="45"/>
        <v>1133</v>
      </c>
      <c r="B396" s="163">
        <f t="shared" si="43"/>
        <v>11</v>
      </c>
      <c r="C396" s="156" t="str">
        <f t="shared" si="44"/>
        <v>Prestataires &amp; fournisseurs</v>
      </c>
      <c r="D396" s="156" t="s">
        <v>546</v>
      </c>
      <c r="E396" s="168">
        <v>3</v>
      </c>
      <c r="F396" s="156" t="s">
        <v>322</v>
      </c>
      <c r="G396" s="406" t="s">
        <v>329</v>
      </c>
      <c r="H396" s="185" t="s">
        <v>164</v>
      </c>
      <c r="I396" s="162">
        <v>3</v>
      </c>
      <c r="J396" s="153" t="s">
        <v>474</v>
      </c>
      <c r="K396" s="153" t="s">
        <v>24</v>
      </c>
      <c r="L396" s="247" t="s">
        <v>1114</v>
      </c>
      <c r="M396" s="153"/>
      <c r="N396" s="153"/>
      <c r="O396" s="199">
        <f>IFERROR(VLOOKUP($P396,Suppl!$B$2:$N$57,MATCH(BDD!$B396,Suppl!$C$1:$N$1,0)+1,FALSE),"")</f>
        <v>0</v>
      </c>
      <c r="P396" s="153" t="str">
        <f t="shared" si="46"/>
        <v>33</v>
      </c>
    </row>
    <row r="397" spans="1:18" ht="15" customHeight="1" x14ac:dyDescent="0.3">
      <c r="A397" s="155" t="str">
        <f t="shared" si="45"/>
        <v>1134</v>
      </c>
      <c r="B397" s="163">
        <f t="shared" si="43"/>
        <v>11</v>
      </c>
      <c r="C397" s="156" t="str">
        <f t="shared" si="44"/>
        <v>Prestataires &amp; fournisseurs</v>
      </c>
      <c r="D397" s="156" t="s">
        <v>546</v>
      </c>
      <c r="E397" s="168">
        <v>3</v>
      </c>
      <c r="F397" s="156" t="s">
        <v>322</v>
      </c>
      <c r="G397" s="406" t="s">
        <v>329</v>
      </c>
      <c r="H397" s="185" t="s">
        <v>164</v>
      </c>
      <c r="I397" s="162">
        <v>4</v>
      </c>
      <c r="J397" s="153" t="s">
        <v>475</v>
      </c>
      <c r="K397" s="153" t="s">
        <v>23</v>
      </c>
      <c r="L397" s="247" t="s">
        <v>814</v>
      </c>
      <c r="M397" s="153"/>
      <c r="N397" s="153"/>
      <c r="O397" s="199">
        <f>IFERROR(VLOOKUP($P397,Suppl!$B$2:$N$57,MATCH(BDD!$B397,Suppl!$C$1:$N$1,0)+1,FALSE),"")</f>
        <v>0</v>
      </c>
      <c r="P397" s="153" t="str">
        <f t="shared" si="46"/>
        <v>34</v>
      </c>
    </row>
    <row r="398" spans="1:18" ht="15" customHeight="1" x14ac:dyDescent="0.3">
      <c r="A398" s="155" t="str">
        <f t="shared" si="45"/>
        <v>1135</v>
      </c>
      <c r="B398" s="163">
        <f t="shared" si="43"/>
        <v>11</v>
      </c>
      <c r="C398" s="156" t="str">
        <f t="shared" si="44"/>
        <v>Prestataires &amp; fournisseurs</v>
      </c>
      <c r="D398" s="156" t="s">
        <v>546</v>
      </c>
      <c r="E398" s="168">
        <v>3</v>
      </c>
      <c r="F398" s="156" t="s">
        <v>322</v>
      </c>
      <c r="G398" s="406" t="s">
        <v>329</v>
      </c>
      <c r="H398" s="185" t="s">
        <v>164</v>
      </c>
      <c r="I398" s="162">
        <v>5</v>
      </c>
      <c r="J398" s="153" t="s">
        <v>476</v>
      </c>
      <c r="K398" s="153" t="s">
        <v>23</v>
      </c>
      <c r="L398" s="247" t="s">
        <v>815</v>
      </c>
      <c r="M398" s="153"/>
      <c r="N398" s="153"/>
      <c r="O398" s="199">
        <f>IFERROR(VLOOKUP($P398,Suppl!$B$2:$N$57,MATCH(BDD!$B398,Suppl!$C$1:$N$1,0)+1,FALSE),"")</f>
        <v>0</v>
      </c>
      <c r="P398" s="153" t="str">
        <f t="shared" si="46"/>
        <v>35</v>
      </c>
    </row>
    <row r="399" spans="1:18" ht="15" customHeight="1" x14ac:dyDescent="0.3">
      <c r="A399" s="155" t="str">
        <f t="shared" si="45"/>
        <v>1136</v>
      </c>
      <c r="B399" s="163">
        <f t="shared" si="43"/>
        <v>11</v>
      </c>
      <c r="C399" s="156" t="str">
        <f t="shared" si="44"/>
        <v>Prestataires &amp; fournisseurs</v>
      </c>
      <c r="D399" s="156" t="s">
        <v>546</v>
      </c>
      <c r="E399" s="168">
        <v>3</v>
      </c>
      <c r="F399" s="156" t="s">
        <v>322</v>
      </c>
      <c r="G399" s="406" t="s">
        <v>329</v>
      </c>
      <c r="H399" s="185" t="s">
        <v>164</v>
      </c>
      <c r="I399" s="162">
        <v>6</v>
      </c>
      <c r="J399" s="153"/>
      <c r="K399" s="153" t="s">
        <v>164</v>
      </c>
      <c r="L399" s="247"/>
      <c r="M399" s="153"/>
      <c r="N399" s="153"/>
      <c r="O399" s="199">
        <f>IFERROR(VLOOKUP($P399,Suppl!$B$2:$N$57,MATCH(BDD!$B399,Suppl!$C$1:$N$1,0)+1,FALSE),"")</f>
        <v>0</v>
      </c>
      <c r="P399" s="153" t="str">
        <f t="shared" si="46"/>
        <v>36</v>
      </c>
    </row>
    <row r="400" spans="1:18" ht="15" customHeight="1" x14ac:dyDescent="0.3">
      <c r="A400" s="155" t="str">
        <f t="shared" si="45"/>
        <v>1137</v>
      </c>
      <c r="B400" s="164">
        <f t="shared" si="43"/>
        <v>11</v>
      </c>
      <c r="C400" s="157" t="str">
        <f t="shared" si="44"/>
        <v>Prestataires &amp; fournisseurs</v>
      </c>
      <c r="D400" s="157" t="s">
        <v>546</v>
      </c>
      <c r="E400" s="169">
        <v>3</v>
      </c>
      <c r="F400" s="157" t="s">
        <v>322</v>
      </c>
      <c r="G400" s="407" t="s">
        <v>329</v>
      </c>
      <c r="H400" s="185" t="s">
        <v>164</v>
      </c>
      <c r="I400" s="171">
        <v>7</v>
      </c>
      <c r="J400" s="154"/>
      <c r="K400" s="154" t="s">
        <v>164</v>
      </c>
      <c r="L400" s="323"/>
      <c r="M400" s="154"/>
      <c r="N400" s="154"/>
      <c r="O400" s="200">
        <f>IFERROR(VLOOKUP($P400,Suppl!$B$2:$N$57,MATCH(BDD!$B400,Suppl!$C$1:$N$1,0)+1,FALSE),"")</f>
        <v>0</v>
      </c>
      <c r="P400" s="154" t="str">
        <f t="shared" si="46"/>
        <v>37</v>
      </c>
    </row>
    <row r="401" spans="1:16" ht="15" customHeight="1" x14ac:dyDescent="0.3">
      <c r="A401" s="155" t="str">
        <f t="shared" si="45"/>
        <v>1141</v>
      </c>
      <c r="B401" s="163">
        <f t="shared" si="43"/>
        <v>11</v>
      </c>
      <c r="C401" s="156" t="str">
        <f t="shared" si="44"/>
        <v>Prestataires &amp; fournisseurs</v>
      </c>
      <c r="D401" s="156" t="s">
        <v>546</v>
      </c>
      <c r="E401" s="167">
        <v>4</v>
      </c>
      <c r="F401" s="180" t="s">
        <v>323</v>
      </c>
      <c r="G401" s="409" t="s">
        <v>330</v>
      </c>
      <c r="H401" s="185" t="s">
        <v>164</v>
      </c>
      <c r="I401" s="162">
        <v>1</v>
      </c>
      <c r="J401" s="153" t="s">
        <v>477</v>
      </c>
      <c r="K401" s="153" t="s">
        <v>22</v>
      </c>
      <c r="L401" s="247" t="s">
        <v>816</v>
      </c>
      <c r="M401" s="153"/>
      <c r="N401" s="153"/>
      <c r="O401" s="199">
        <f>IFERROR(VLOOKUP($P401,Suppl!$B$2:$N$57,MATCH(BDD!$B401,Suppl!$C$1:$N$1,0)+1,FALSE),"")</f>
        <v>0</v>
      </c>
      <c r="P401" s="153" t="str">
        <f t="shared" si="46"/>
        <v>41</v>
      </c>
    </row>
    <row r="402" spans="1:16" ht="15" customHeight="1" x14ac:dyDescent="0.3">
      <c r="A402" s="155" t="str">
        <f t="shared" si="45"/>
        <v>1142</v>
      </c>
      <c r="B402" s="163">
        <f t="shared" si="43"/>
        <v>11</v>
      </c>
      <c r="C402" s="156" t="str">
        <f t="shared" si="44"/>
        <v>Prestataires &amp; fournisseurs</v>
      </c>
      <c r="D402" s="156" t="s">
        <v>546</v>
      </c>
      <c r="E402" s="168">
        <v>4</v>
      </c>
      <c r="F402" s="156" t="s">
        <v>323</v>
      </c>
      <c r="G402" s="406" t="s">
        <v>330</v>
      </c>
      <c r="H402" s="185" t="s">
        <v>164</v>
      </c>
      <c r="I402" s="162">
        <v>2</v>
      </c>
      <c r="J402" s="153" t="s">
        <v>478</v>
      </c>
      <c r="K402" s="153" t="s">
        <v>23</v>
      </c>
      <c r="L402" s="247" t="s">
        <v>817</v>
      </c>
      <c r="M402" s="153"/>
      <c r="N402" s="153"/>
      <c r="O402" s="199">
        <f>IFERROR(VLOOKUP($P402,Suppl!$B$2:$N$57,MATCH(BDD!$B402,Suppl!$C$1:$N$1,0)+1,FALSE),"")</f>
        <v>0</v>
      </c>
      <c r="P402" s="153" t="str">
        <f t="shared" si="46"/>
        <v>42</v>
      </c>
    </row>
    <row r="403" spans="1:16" ht="15" customHeight="1" x14ac:dyDescent="0.3">
      <c r="A403" s="155" t="str">
        <f t="shared" si="45"/>
        <v>1143</v>
      </c>
      <c r="B403" s="163">
        <f t="shared" si="43"/>
        <v>11</v>
      </c>
      <c r="C403" s="156" t="str">
        <f t="shared" si="44"/>
        <v>Prestataires &amp; fournisseurs</v>
      </c>
      <c r="D403" s="156" t="s">
        <v>546</v>
      </c>
      <c r="E403" s="168">
        <v>4</v>
      </c>
      <c r="F403" s="156" t="s">
        <v>323</v>
      </c>
      <c r="G403" s="406" t="s">
        <v>330</v>
      </c>
      <c r="H403" s="185" t="s">
        <v>164</v>
      </c>
      <c r="I403" s="162">
        <v>3</v>
      </c>
      <c r="J403" s="153" t="s">
        <v>479</v>
      </c>
      <c r="K403" s="153" t="s">
        <v>23</v>
      </c>
      <c r="L403" s="247" t="s">
        <v>818</v>
      </c>
      <c r="M403" s="153"/>
      <c r="N403" s="153"/>
      <c r="O403" s="199">
        <f>IFERROR(VLOOKUP($P403,Suppl!$B$2:$N$57,MATCH(BDD!$B403,Suppl!$C$1:$N$1,0)+1,FALSE),"")</f>
        <v>0</v>
      </c>
      <c r="P403" s="153" t="str">
        <f t="shared" si="46"/>
        <v>43</v>
      </c>
    </row>
    <row r="404" spans="1:16" ht="15" customHeight="1" x14ac:dyDescent="0.3">
      <c r="A404" s="155" t="str">
        <f t="shared" si="45"/>
        <v>1144</v>
      </c>
      <c r="B404" s="163">
        <f t="shared" si="43"/>
        <v>11</v>
      </c>
      <c r="C404" s="156" t="str">
        <f t="shared" si="44"/>
        <v>Prestataires &amp; fournisseurs</v>
      </c>
      <c r="D404" s="156" t="s">
        <v>546</v>
      </c>
      <c r="E404" s="168">
        <v>4</v>
      </c>
      <c r="F404" s="156" t="s">
        <v>323</v>
      </c>
      <c r="G404" s="406" t="s">
        <v>330</v>
      </c>
      <c r="H404" s="185" t="s">
        <v>164</v>
      </c>
      <c r="I404" s="162">
        <v>4</v>
      </c>
      <c r="J404" s="153" t="s">
        <v>480</v>
      </c>
      <c r="K404" s="153" t="s">
        <v>23</v>
      </c>
      <c r="L404" s="247" t="s">
        <v>819</v>
      </c>
      <c r="M404" s="153"/>
      <c r="N404" s="153"/>
      <c r="O404" s="199">
        <f>IFERROR(VLOOKUP($P404,Suppl!$B$2:$N$57,MATCH(BDD!$B404,Suppl!$C$1:$N$1,0)+1,FALSE),"")</f>
        <v>0</v>
      </c>
      <c r="P404" s="153" t="str">
        <f t="shared" si="46"/>
        <v>44</v>
      </c>
    </row>
    <row r="405" spans="1:16" ht="15" customHeight="1" x14ac:dyDescent="0.3">
      <c r="A405" s="155" t="str">
        <f t="shared" si="45"/>
        <v>1145</v>
      </c>
      <c r="B405" s="163">
        <f t="shared" si="43"/>
        <v>11</v>
      </c>
      <c r="C405" s="156" t="str">
        <f t="shared" si="44"/>
        <v>Prestataires &amp; fournisseurs</v>
      </c>
      <c r="D405" s="156" t="s">
        <v>546</v>
      </c>
      <c r="E405" s="168">
        <v>4</v>
      </c>
      <c r="F405" s="156" t="s">
        <v>323</v>
      </c>
      <c r="G405" s="406" t="s">
        <v>330</v>
      </c>
      <c r="H405" s="185" t="s">
        <v>164</v>
      </c>
      <c r="I405" s="162">
        <v>5</v>
      </c>
      <c r="J405" s="153" t="s">
        <v>481</v>
      </c>
      <c r="K405" s="153" t="s">
        <v>23</v>
      </c>
      <c r="L405" s="247" t="s">
        <v>1115</v>
      </c>
      <c r="M405" s="153"/>
      <c r="N405" s="153"/>
      <c r="O405" s="199">
        <f>IFERROR(VLOOKUP($P405,Suppl!$B$2:$N$57,MATCH(BDD!$B405,Suppl!$C$1:$N$1,0)+1,FALSE),"")</f>
        <v>0</v>
      </c>
      <c r="P405" s="153" t="str">
        <f t="shared" si="46"/>
        <v>45</v>
      </c>
    </row>
    <row r="406" spans="1:16" ht="15" customHeight="1" x14ac:dyDescent="0.3">
      <c r="A406" s="155" t="str">
        <f t="shared" si="45"/>
        <v>1146</v>
      </c>
      <c r="B406" s="163">
        <f t="shared" si="43"/>
        <v>11</v>
      </c>
      <c r="C406" s="156" t="str">
        <f t="shared" si="44"/>
        <v>Prestataires &amp; fournisseurs</v>
      </c>
      <c r="D406" s="156" t="s">
        <v>546</v>
      </c>
      <c r="E406" s="168">
        <v>4</v>
      </c>
      <c r="F406" s="156" t="s">
        <v>323</v>
      </c>
      <c r="G406" s="406" t="s">
        <v>330</v>
      </c>
      <c r="H406" s="185" t="s">
        <v>164</v>
      </c>
      <c r="I406" s="162">
        <v>6</v>
      </c>
      <c r="J406" s="153"/>
      <c r="K406" s="153" t="s">
        <v>164</v>
      </c>
      <c r="L406" s="247"/>
      <c r="M406" s="153"/>
      <c r="N406" s="153"/>
      <c r="O406" s="199">
        <f>IFERROR(VLOOKUP($P406,Suppl!$B$2:$N$57,MATCH(BDD!$B406,Suppl!$C$1:$N$1,0)+1,FALSE),"")</f>
        <v>0</v>
      </c>
      <c r="P406" s="153" t="str">
        <f t="shared" si="46"/>
        <v>46</v>
      </c>
    </row>
    <row r="407" spans="1:16" ht="15" customHeight="1" x14ac:dyDescent="0.3">
      <c r="A407" s="155" t="str">
        <f t="shared" si="45"/>
        <v>1147</v>
      </c>
      <c r="B407" s="164">
        <f t="shared" si="43"/>
        <v>11</v>
      </c>
      <c r="C407" s="157" t="str">
        <f t="shared" si="44"/>
        <v>Prestataires &amp; fournisseurs</v>
      </c>
      <c r="D407" s="157" t="s">
        <v>546</v>
      </c>
      <c r="E407" s="169">
        <v>4</v>
      </c>
      <c r="F407" s="157" t="s">
        <v>323</v>
      </c>
      <c r="G407" s="407" t="s">
        <v>330</v>
      </c>
      <c r="H407" s="185" t="s">
        <v>164</v>
      </c>
      <c r="I407" s="171">
        <v>7</v>
      </c>
      <c r="J407" s="154"/>
      <c r="K407" s="154" t="s">
        <v>164</v>
      </c>
      <c r="L407" s="323"/>
      <c r="M407" s="154"/>
      <c r="N407" s="154"/>
      <c r="O407" s="200">
        <f>IFERROR(VLOOKUP($P407,Suppl!$B$2:$N$57,MATCH(BDD!$B407,Suppl!$C$1:$N$1,0)+1,FALSE),"")</f>
        <v>0</v>
      </c>
      <c r="P407" s="154" t="str">
        <f t="shared" si="46"/>
        <v>47</v>
      </c>
    </row>
    <row r="408" spans="1:16" ht="15" customHeight="1" x14ac:dyDescent="0.3">
      <c r="A408" s="155" t="str">
        <f t="shared" si="45"/>
        <v>1151</v>
      </c>
      <c r="B408" s="163">
        <f t="shared" si="43"/>
        <v>11</v>
      </c>
      <c r="C408" s="156" t="str">
        <f t="shared" si="44"/>
        <v>Prestataires &amp; fournisseurs</v>
      </c>
      <c r="D408" s="156" t="s">
        <v>546</v>
      </c>
      <c r="E408" s="167">
        <v>5</v>
      </c>
      <c r="F408" s="180" t="s">
        <v>324</v>
      </c>
      <c r="G408" s="409" t="s">
        <v>331</v>
      </c>
      <c r="H408" s="185" t="s">
        <v>164</v>
      </c>
      <c r="I408" s="162">
        <v>1</v>
      </c>
      <c r="J408" s="153" t="s">
        <v>482</v>
      </c>
      <c r="K408" s="153" t="s">
        <v>22</v>
      </c>
      <c r="L408" s="247" t="s">
        <v>820</v>
      </c>
      <c r="M408" s="153"/>
      <c r="N408" s="153"/>
      <c r="O408" s="199">
        <f>IFERROR(VLOOKUP($P408,Suppl!$B$2:$N$57,MATCH(BDD!$B408,Suppl!$C$1:$N$1,0)+1,FALSE),"")</f>
        <v>0</v>
      </c>
      <c r="P408" s="153" t="str">
        <f t="shared" si="46"/>
        <v>51</v>
      </c>
    </row>
    <row r="409" spans="1:16" ht="15" customHeight="1" x14ac:dyDescent="0.3">
      <c r="A409" s="155" t="str">
        <f t="shared" si="45"/>
        <v>1152</v>
      </c>
      <c r="B409" s="163">
        <f t="shared" si="43"/>
        <v>11</v>
      </c>
      <c r="C409" s="156" t="str">
        <f t="shared" si="44"/>
        <v>Prestataires &amp; fournisseurs</v>
      </c>
      <c r="D409" s="156" t="s">
        <v>546</v>
      </c>
      <c r="E409" s="168">
        <v>5</v>
      </c>
      <c r="F409" s="156" t="s">
        <v>324</v>
      </c>
      <c r="G409" s="406" t="s">
        <v>331</v>
      </c>
      <c r="H409" s="185" t="s">
        <v>164</v>
      </c>
      <c r="I409" s="162">
        <v>2</v>
      </c>
      <c r="J409" s="153" t="s">
        <v>483</v>
      </c>
      <c r="K409" s="153" t="s">
        <v>22</v>
      </c>
      <c r="L409" s="247" t="s">
        <v>821</v>
      </c>
      <c r="M409" s="153"/>
      <c r="N409" s="153"/>
      <c r="O409" s="199">
        <f>IFERROR(VLOOKUP($P409,Suppl!$B$2:$N$57,MATCH(BDD!$B409,Suppl!$C$1:$N$1,0)+1,FALSE),"")</f>
        <v>0</v>
      </c>
      <c r="P409" s="153" t="str">
        <f t="shared" si="46"/>
        <v>52</v>
      </c>
    </row>
    <row r="410" spans="1:16" ht="15" customHeight="1" x14ac:dyDescent="0.3">
      <c r="A410" s="155" t="str">
        <f t="shared" si="45"/>
        <v>1153</v>
      </c>
      <c r="B410" s="163">
        <f t="shared" si="43"/>
        <v>11</v>
      </c>
      <c r="C410" s="156" t="str">
        <f t="shared" si="44"/>
        <v>Prestataires &amp; fournisseurs</v>
      </c>
      <c r="D410" s="156" t="s">
        <v>546</v>
      </c>
      <c r="E410" s="168">
        <v>5</v>
      </c>
      <c r="F410" s="156" t="s">
        <v>324</v>
      </c>
      <c r="G410" s="406" t="s">
        <v>331</v>
      </c>
      <c r="H410" s="185" t="s">
        <v>164</v>
      </c>
      <c r="I410" s="162">
        <v>3</v>
      </c>
      <c r="J410" s="153" t="s">
        <v>484</v>
      </c>
      <c r="K410" s="153" t="s">
        <v>23</v>
      </c>
      <c r="L410" s="247" t="s">
        <v>822</v>
      </c>
      <c r="M410" s="153"/>
      <c r="N410" s="153"/>
      <c r="O410" s="199">
        <f>IFERROR(VLOOKUP($P410,Suppl!$B$2:$N$57,MATCH(BDD!$B410,Suppl!$C$1:$N$1,0)+1,FALSE),"")</f>
        <v>0</v>
      </c>
      <c r="P410" s="153" t="str">
        <f t="shared" si="46"/>
        <v>53</v>
      </c>
    </row>
    <row r="411" spans="1:16" ht="15" customHeight="1" x14ac:dyDescent="0.3">
      <c r="A411" s="155" t="str">
        <f t="shared" si="45"/>
        <v>1154</v>
      </c>
      <c r="B411" s="163">
        <f t="shared" si="43"/>
        <v>11</v>
      </c>
      <c r="C411" s="156" t="str">
        <f t="shared" si="44"/>
        <v>Prestataires &amp; fournisseurs</v>
      </c>
      <c r="D411" s="156" t="s">
        <v>546</v>
      </c>
      <c r="E411" s="168">
        <v>5</v>
      </c>
      <c r="F411" s="156" t="s">
        <v>324</v>
      </c>
      <c r="G411" s="406" t="s">
        <v>331</v>
      </c>
      <c r="H411" s="185" t="s">
        <v>164</v>
      </c>
      <c r="I411" s="162">
        <v>4</v>
      </c>
      <c r="J411" s="153" t="s">
        <v>485</v>
      </c>
      <c r="K411" s="153" t="s">
        <v>24</v>
      </c>
      <c r="L411" s="247" t="s">
        <v>823</v>
      </c>
      <c r="M411" s="153"/>
      <c r="N411" s="153"/>
      <c r="O411" s="199">
        <f>IFERROR(VLOOKUP($P411,Suppl!$B$2:$N$57,MATCH(BDD!$B411,Suppl!$C$1:$N$1,0)+1,FALSE),"")</f>
        <v>0</v>
      </c>
      <c r="P411" s="153" t="str">
        <f t="shared" si="46"/>
        <v>54</v>
      </c>
    </row>
    <row r="412" spans="1:16" ht="15" customHeight="1" x14ac:dyDescent="0.3">
      <c r="A412" s="155" t="str">
        <f t="shared" si="45"/>
        <v>1155</v>
      </c>
      <c r="B412" s="163">
        <f t="shared" si="43"/>
        <v>11</v>
      </c>
      <c r="C412" s="156" t="str">
        <f t="shared" si="44"/>
        <v>Prestataires &amp; fournisseurs</v>
      </c>
      <c r="D412" s="156" t="s">
        <v>546</v>
      </c>
      <c r="E412" s="168">
        <v>5</v>
      </c>
      <c r="F412" s="156" t="s">
        <v>324</v>
      </c>
      <c r="G412" s="406" t="s">
        <v>331</v>
      </c>
      <c r="H412" s="185" t="s">
        <v>164</v>
      </c>
      <c r="I412" s="162">
        <v>5</v>
      </c>
      <c r="J412" s="153" t="s">
        <v>486</v>
      </c>
      <c r="K412" s="153" t="s">
        <v>25</v>
      </c>
      <c r="L412" s="247" t="s">
        <v>1116</v>
      </c>
      <c r="M412" s="153"/>
      <c r="N412" s="153"/>
      <c r="O412" s="199">
        <f>IFERROR(VLOOKUP($P412,Suppl!$B$2:$N$57,MATCH(BDD!$B412,Suppl!$C$1:$N$1,0)+1,FALSE),"")</f>
        <v>0</v>
      </c>
      <c r="P412" s="153" t="str">
        <f t="shared" si="46"/>
        <v>55</v>
      </c>
    </row>
    <row r="413" spans="1:16" ht="15" customHeight="1" x14ac:dyDescent="0.3">
      <c r="A413" s="155" t="str">
        <f t="shared" si="45"/>
        <v>1156</v>
      </c>
      <c r="B413" s="163">
        <f t="shared" si="43"/>
        <v>11</v>
      </c>
      <c r="C413" s="156" t="str">
        <f t="shared" si="44"/>
        <v>Prestataires &amp; fournisseurs</v>
      </c>
      <c r="D413" s="156" t="s">
        <v>546</v>
      </c>
      <c r="E413" s="168">
        <v>5</v>
      </c>
      <c r="F413" s="156" t="s">
        <v>324</v>
      </c>
      <c r="G413" s="406" t="s">
        <v>331</v>
      </c>
      <c r="H413" s="185" t="s">
        <v>164</v>
      </c>
      <c r="I413" s="162">
        <v>6</v>
      </c>
      <c r="J413" s="153" t="s">
        <v>487</v>
      </c>
      <c r="K413" s="153" t="s">
        <v>24</v>
      </c>
      <c r="L413" s="247" t="s">
        <v>824</v>
      </c>
      <c r="M413" s="153"/>
      <c r="N413" s="153"/>
      <c r="O413" s="199">
        <f>IFERROR(VLOOKUP($P413,Suppl!$B$2:$N$57,MATCH(BDD!$B413,Suppl!$C$1:$N$1,0)+1,FALSE),"")</f>
        <v>0</v>
      </c>
      <c r="P413" s="153" t="str">
        <f t="shared" si="46"/>
        <v>56</v>
      </c>
    </row>
    <row r="414" spans="1:16" ht="15" customHeight="1" x14ac:dyDescent="0.3">
      <c r="A414" s="155" t="str">
        <f t="shared" si="45"/>
        <v>1157</v>
      </c>
      <c r="B414" s="164">
        <f t="shared" si="43"/>
        <v>11</v>
      </c>
      <c r="C414" s="157" t="str">
        <f t="shared" si="44"/>
        <v>Prestataires &amp; fournisseurs</v>
      </c>
      <c r="D414" s="157" t="s">
        <v>546</v>
      </c>
      <c r="E414" s="169">
        <v>5</v>
      </c>
      <c r="F414" s="157" t="s">
        <v>324</v>
      </c>
      <c r="G414" s="407" t="s">
        <v>331</v>
      </c>
      <c r="H414" s="185" t="s">
        <v>164</v>
      </c>
      <c r="I414" s="171">
        <v>7</v>
      </c>
      <c r="J414" s="154" t="s">
        <v>488</v>
      </c>
      <c r="K414" s="154" t="s">
        <v>23</v>
      </c>
      <c r="L414" s="323" t="s">
        <v>825</v>
      </c>
      <c r="M414" s="154"/>
      <c r="N414" s="154"/>
      <c r="O414" s="200">
        <f>IFERROR(VLOOKUP($P414,Suppl!$B$2:$N$57,MATCH(BDD!$B414,Suppl!$C$1:$N$1,0)+1,FALSE),"")</f>
        <v>0</v>
      </c>
      <c r="P414" s="154" t="str">
        <f t="shared" si="46"/>
        <v>57</v>
      </c>
    </row>
    <row r="415" spans="1:16" ht="15" customHeight="1" x14ac:dyDescent="0.3">
      <c r="A415" s="155" t="str">
        <f t="shared" si="45"/>
        <v>1161</v>
      </c>
      <c r="B415" s="163">
        <f t="shared" si="43"/>
        <v>11</v>
      </c>
      <c r="C415" s="156" t="str">
        <f t="shared" si="44"/>
        <v>Prestataires &amp; fournisseurs</v>
      </c>
      <c r="D415" s="156" t="s">
        <v>546</v>
      </c>
      <c r="E415" s="167">
        <v>6</v>
      </c>
      <c r="F415" s="180" t="s">
        <v>325</v>
      </c>
      <c r="G415" s="409" t="s">
        <v>332</v>
      </c>
      <c r="I415" s="162">
        <v>1</v>
      </c>
      <c r="J415" s="153" t="s">
        <v>489</v>
      </c>
      <c r="K415" s="153" t="s">
        <v>23</v>
      </c>
      <c r="L415" s="247" t="s">
        <v>826</v>
      </c>
      <c r="M415" s="153"/>
      <c r="O415" s="199">
        <f>IFERROR(VLOOKUP($P415,Suppl!$B$2:$N$57,MATCH(BDD!$B415,Suppl!$C$1:$N$1,0)+1,FALSE),"")</f>
        <v>0</v>
      </c>
      <c r="P415" s="153" t="str">
        <f t="shared" si="46"/>
        <v>61</v>
      </c>
    </row>
    <row r="416" spans="1:16" ht="15" customHeight="1" x14ac:dyDescent="0.3">
      <c r="A416" s="155" t="str">
        <f t="shared" si="45"/>
        <v>1162</v>
      </c>
      <c r="B416" s="163">
        <f t="shared" si="43"/>
        <v>11</v>
      </c>
      <c r="C416" s="156" t="str">
        <f t="shared" si="44"/>
        <v>Prestataires &amp; fournisseurs</v>
      </c>
      <c r="D416" s="156" t="s">
        <v>546</v>
      </c>
      <c r="E416" s="168">
        <v>6</v>
      </c>
      <c r="F416" s="156" t="s">
        <v>325</v>
      </c>
      <c r="G416" s="406" t="s">
        <v>332</v>
      </c>
      <c r="H416" s="185" t="s">
        <v>164</v>
      </c>
      <c r="I416" s="162">
        <v>2</v>
      </c>
      <c r="J416" s="153" t="s">
        <v>490</v>
      </c>
      <c r="K416" s="153" t="s">
        <v>22</v>
      </c>
      <c r="L416" s="247" t="s">
        <v>827</v>
      </c>
      <c r="M416" s="153"/>
      <c r="O416" s="199">
        <f>IFERROR(VLOOKUP($P416,Suppl!$B$2:$N$57,MATCH(BDD!$B416,Suppl!$C$1:$N$1,0)+1,FALSE),"")</f>
        <v>0</v>
      </c>
      <c r="P416" s="153" t="str">
        <f t="shared" si="46"/>
        <v>62</v>
      </c>
    </row>
    <row r="417" spans="1:18" ht="15" customHeight="1" x14ac:dyDescent="0.3">
      <c r="A417" s="155" t="str">
        <f t="shared" si="45"/>
        <v>1163</v>
      </c>
      <c r="B417" s="163">
        <f t="shared" si="43"/>
        <v>11</v>
      </c>
      <c r="C417" s="156" t="str">
        <f t="shared" si="44"/>
        <v>Prestataires &amp; fournisseurs</v>
      </c>
      <c r="D417" s="156" t="s">
        <v>546</v>
      </c>
      <c r="E417" s="168">
        <v>6</v>
      </c>
      <c r="F417" s="156" t="s">
        <v>325</v>
      </c>
      <c r="G417" s="406" t="s">
        <v>332</v>
      </c>
      <c r="H417" s="185" t="s">
        <v>164</v>
      </c>
      <c r="I417" s="162">
        <v>3</v>
      </c>
      <c r="J417" s="153" t="s">
        <v>890</v>
      </c>
      <c r="K417" s="153" t="s">
        <v>24</v>
      </c>
      <c r="L417" s="247" t="s">
        <v>828</v>
      </c>
      <c r="M417" s="153"/>
      <c r="O417" s="199">
        <f>IFERROR(VLOOKUP($P417,Suppl!$B$2:$N$57,MATCH(BDD!$B417,Suppl!$C$1:$N$1,0)+1,FALSE),"")</f>
        <v>0</v>
      </c>
      <c r="P417" s="153" t="str">
        <f t="shared" si="46"/>
        <v>63</v>
      </c>
    </row>
    <row r="418" spans="1:18" ht="15" customHeight="1" x14ac:dyDescent="0.3">
      <c r="A418" s="155" t="str">
        <f t="shared" si="45"/>
        <v>1164</v>
      </c>
      <c r="B418" s="163">
        <f t="shared" si="43"/>
        <v>11</v>
      </c>
      <c r="C418" s="156" t="str">
        <f t="shared" si="44"/>
        <v>Prestataires &amp; fournisseurs</v>
      </c>
      <c r="D418" s="156" t="s">
        <v>546</v>
      </c>
      <c r="E418" s="168">
        <v>6</v>
      </c>
      <c r="F418" s="156" t="s">
        <v>325</v>
      </c>
      <c r="G418" s="406" t="s">
        <v>332</v>
      </c>
      <c r="H418" s="185" t="s">
        <v>164</v>
      </c>
      <c r="I418" s="162">
        <v>4</v>
      </c>
      <c r="J418" s="153" t="s">
        <v>491</v>
      </c>
      <c r="K418" s="153" t="s">
        <v>24</v>
      </c>
      <c r="L418" s="247" t="s">
        <v>829</v>
      </c>
      <c r="M418" s="153"/>
      <c r="O418" s="199">
        <f>IFERROR(VLOOKUP($P418,Suppl!$B$2:$N$57,MATCH(BDD!$B418,Suppl!$C$1:$N$1,0)+1,FALSE),"")</f>
        <v>0</v>
      </c>
      <c r="P418" s="153" t="str">
        <f t="shared" si="46"/>
        <v>64</v>
      </c>
    </row>
    <row r="419" spans="1:18" ht="15" customHeight="1" x14ac:dyDescent="0.3">
      <c r="A419" s="155" t="str">
        <f t="shared" si="45"/>
        <v>1165</v>
      </c>
      <c r="B419" s="163">
        <f t="shared" si="43"/>
        <v>11</v>
      </c>
      <c r="C419" s="156" t="str">
        <f t="shared" si="44"/>
        <v>Prestataires &amp; fournisseurs</v>
      </c>
      <c r="D419" s="156" t="s">
        <v>546</v>
      </c>
      <c r="E419" s="168">
        <v>6</v>
      </c>
      <c r="F419" s="156" t="s">
        <v>325</v>
      </c>
      <c r="G419" s="406" t="s">
        <v>332</v>
      </c>
      <c r="H419" s="185" t="s">
        <v>164</v>
      </c>
      <c r="I419" s="162">
        <v>5</v>
      </c>
      <c r="J419" s="153"/>
      <c r="K419" s="153" t="s">
        <v>164</v>
      </c>
      <c r="L419" s="247"/>
      <c r="M419" s="153"/>
      <c r="O419" s="199">
        <f>IFERROR(VLOOKUP($P419,Suppl!$B$2:$N$57,MATCH(BDD!$B419,Suppl!$C$1:$N$1,0)+1,FALSE),"")</f>
        <v>0</v>
      </c>
      <c r="P419" s="153" t="str">
        <f t="shared" si="46"/>
        <v>65</v>
      </c>
    </row>
    <row r="420" spans="1:18" ht="15" customHeight="1" x14ac:dyDescent="0.3">
      <c r="A420" s="155" t="str">
        <f t="shared" si="45"/>
        <v>1166</v>
      </c>
      <c r="B420" s="163">
        <f t="shared" si="43"/>
        <v>11</v>
      </c>
      <c r="C420" s="156" t="str">
        <f t="shared" si="44"/>
        <v>Prestataires &amp; fournisseurs</v>
      </c>
      <c r="D420" s="156" t="s">
        <v>546</v>
      </c>
      <c r="E420" s="168">
        <v>6</v>
      </c>
      <c r="F420" s="156" t="s">
        <v>325</v>
      </c>
      <c r="G420" s="406" t="s">
        <v>332</v>
      </c>
      <c r="H420" s="185" t="s">
        <v>164</v>
      </c>
      <c r="I420" s="162">
        <v>6</v>
      </c>
      <c r="J420" s="153"/>
      <c r="K420" s="153" t="s">
        <v>164</v>
      </c>
      <c r="L420" s="247"/>
      <c r="M420" s="153"/>
      <c r="O420" s="199">
        <f>IFERROR(VLOOKUP($P420,Suppl!$B$2:$N$57,MATCH(BDD!$B420,Suppl!$C$1:$N$1,0)+1,FALSE),"")</f>
        <v>0</v>
      </c>
      <c r="P420" s="153" t="str">
        <f t="shared" si="46"/>
        <v>66</v>
      </c>
    </row>
    <row r="421" spans="1:18" ht="15" customHeight="1" x14ac:dyDescent="0.3">
      <c r="A421" s="155" t="str">
        <f t="shared" si="45"/>
        <v>1167</v>
      </c>
      <c r="B421" s="164">
        <f t="shared" si="43"/>
        <v>11</v>
      </c>
      <c r="C421" s="157" t="str">
        <f t="shared" si="44"/>
        <v>Prestataires &amp; fournisseurs</v>
      </c>
      <c r="D421" s="157" t="s">
        <v>546</v>
      </c>
      <c r="E421" s="169">
        <v>6</v>
      </c>
      <c r="F421" s="157" t="s">
        <v>325</v>
      </c>
      <c r="G421" s="407" t="s">
        <v>332</v>
      </c>
      <c r="H421" s="185" t="s">
        <v>164</v>
      </c>
      <c r="I421" s="171">
        <v>7</v>
      </c>
      <c r="J421" s="154"/>
      <c r="K421" s="154" t="s">
        <v>164</v>
      </c>
      <c r="L421" s="323"/>
      <c r="M421" s="154"/>
      <c r="N421" s="154"/>
      <c r="O421" s="200">
        <f>IFERROR(VLOOKUP($P421,Suppl!$B$2:$N$57,MATCH(BDD!$B421,Suppl!$C$1:$N$1,0)+1,FALSE),"")</f>
        <v>0</v>
      </c>
      <c r="P421" s="154" t="str">
        <f t="shared" si="46"/>
        <v>67</v>
      </c>
    </row>
    <row r="422" spans="1:18" ht="15" customHeight="1" x14ac:dyDescent="0.3">
      <c r="A422" s="155" t="str">
        <f t="shared" si="45"/>
        <v>1171</v>
      </c>
      <c r="B422" s="163">
        <f t="shared" si="43"/>
        <v>11</v>
      </c>
      <c r="C422" s="156" t="str">
        <f t="shared" si="44"/>
        <v>Prestataires &amp; fournisseurs</v>
      </c>
      <c r="D422" s="156" t="s">
        <v>546</v>
      </c>
      <c r="E422" s="167">
        <v>7</v>
      </c>
      <c r="F422" s="180" t="s">
        <v>326</v>
      </c>
      <c r="G422" s="409" t="s">
        <v>333</v>
      </c>
      <c r="H422" s="185" t="s">
        <v>1083</v>
      </c>
      <c r="I422" s="162">
        <v>1</v>
      </c>
      <c r="J422" s="153" t="s">
        <v>1101</v>
      </c>
      <c r="K422" s="153" t="s">
        <v>22</v>
      </c>
      <c r="L422" s="247" t="s">
        <v>830</v>
      </c>
      <c r="M422" s="153"/>
      <c r="N422" s="153"/>
      <c r="O422" s="199">
        <f>IFERROR(VLOOKUP($P422,Suppl!$B$2:$N$57,MATCH(BDD!$B422,Suppl!$C$1:$N$1,0)+1,FALSE),"")</f>
        <v>0</v>
      </c>
      <c r="P422" s="153" t="str">
        <f t="shared" si="46"/>
        <v>71</v>
      </c>
    </row>
    <row r="423" spans="1:18" ht="15" customHeight="1" x14ac:dyDescent="0.3">
      <c r="A423" s="155" t="str">
        <f t="shared" si="45"/>
        <v>1172</v>
      </c>
      <c r="B423" s="163">
        <f t="shared" si="43"/>
        <v>11</v>
      </c>
      <c r="C423" s="156" t="str">
        <f t="shared" si="44"/>
        <v>Prestataires &amp; fournisseurs</v>
      </c>
      <c r="D423" s="156" t="s">
        <v>546</v>
      </c>
      <c r="E423" s="168">
        <v>7</v>
      </c>
      <c r="F423" s="156" t="s">
        <v>326</v>
      </c>
      <c r="G423" s="406" t="s">
        <v>333</v>
      </c>
      <c r="H423" s="185" t="s">
        <v>164</v>
      </c>
      <c r="I423" s="162">
        <v>2</v>
      </c>
      <c r="J423" s="153" t="s">
        <v>492</v>
      </c>
      <c r="K423" s="153" t="s">
        <v>24</v>
      </c>
      <c r="L423" s="247" t="s">
        <v>831</v>
      </c>
      <c r="M423" s="153"/>
      <c r="O423" s="199">
        <f>IFERROR(VLOOKUP($P423,Suppl!$B$2:$N$57,MATCH(BDD!$B423,Suppl!$C$1:$N$1,0)+1,FALSE),"")</f>
        <v>0</v>
      </c>
      <c r="P423" s="153" t="str">
        <f t="shared" si="46"/>
        <v>72</v>
      </c>
    </row>
    <row r="424" spans="1:18" ht="15" customHeight="1" x14ac:dyDescent="0.3">
      <c r="A424" s="155" t="str">
        <f t="shared" si="45"/>
        <v>1173</v>
      </c>
      <c r="B424" s="163">
        <f t="shared" si="43"/>
        <v>11</v>
      </c>
      <c r="C424" s="156" t="str">
        <f t="shared" si="44"/>
        <v>Prestataires &amp; fournisseurs</v>
      </c>
      <c r="D424" s="156" t="s">
        <v>546</v>
      </c>
      <c r="E424" s="168">
        <v>7</v>
      </c>
      <c r="F424" s="156" t="s">
        <v>326</v>
      </c>
      <c r="G424" s="406" t="s">
        <v>333</v>
      </c>
      <c r="H424" s="185" t="s">
        <v>164</v>
      </c>
      <c r="I424" s="162">
        <v>3</v>
      </c>
      <c r="J424" s="153" t="s">
        <v>493</v>
      </c>
      <c r="K424" s="153" t="s">
        <v>22</v>
      </c>
      <c r="L424" s="247" t="s">
        <v>1117</v>
      </c>
      <c r="M424" s="153"/>
      <c r="O424" s="199">
        <f>IFERROR(VLOOKUP($P424,Suppl!$B$2:$N$57,MATCH(BDD!$B424,Suppl!$C$1:$N$1,0)+1,FALSE),"")</f>
        <v>0</v>
      </c>
      <c r="P424" s="153" t="str">
        <f t="shared" si="46"/>
        <v>73</v>
      </c>
    </row>
    <row r="425" spans="1:18" ht="15" customHeight="1" x14ac:dyDescent="0.3">
      <c r="A425" s="155" t="str">
        <f t="shared" si="45"/>
        <v>1174</v>
      </c>
      <c r="B425" s="163">
        <f t="shared" si="43"/>
        <v>11</v>
      </c>
      <c r="C425" s="156" t="str">
        <f t="shared" si="44"/>
        <v>Prestataires &amp; fournisseurs</v>
      </c>
      <c r="D425" s="156" t="s">
        <v>546</v>
      </c>
      <c r="E425" s="168">
        <v>7</v>
      </c>
      <c r="F425" s="156" t="s">
        <v>326</v>
      </c>
      <c r="G425" s="406" t="s">
        <v>333</v>
      </c>
      <c r="H425" s="185" t="s">
        <v>164</v>
      </c>
      <c r="I425" s="162">
        <v>4</v>
      </c>
      <c r="J425" s="153" t="s">
        <v>494</v>
      </c>
      <c r="K425" s="153" t="s">
        <v>22</v>
      </c>
      <c r="L425" s="247" t="s">
        <v>1118</v>
      </c>
      <c r="M425" s="153"/>
      <c r="O425" s="199">
        <f>IFERROR(VLOOKUP($P425,Suppl!$B$2:$N$57,MATCH(BDD!$B425,Suppl!$C$1:$N$1,0)+1,FALSE),"")</f>
        <v>0</v>
      </c>
      <c r="P425" s="153" t="str">
        <f t="shared" si="46"/>
        <v>74</v>
      </c>
    </row>
    <row r="426" spans="1:18" ht="15" customHeight="1" x14ac:dyDescent="0.3">
      <c r="A426" s="155" t="str">
        <f t="shared" si="45"/>
        <v>1175</v>
      </c>
      <c r="B426" s="163">
        <f t="shared" si="43"/>
        <v>11</v>
      </c>
      <c r="C426" s="156" t="str">
        <f t="shared" si="44"/>
        <v>Prestataires &amp; fournisseurs</v>
      </c>
      <c r="D426" s="156" t="s">
        <v>546</v>
      </c>
      <c r="E426" s="168">
        <v>7</v>
      </c>
      <c r="F426" s="156" t="s">
        <v>326</v>
      </c>
      <c r="G426" s="406" t="s">
        <v>333</v>
      </c>
      <c r="H426" s="185" t="s">
        <v>164</v>
      </c>
      <c r="I426" s="162">
        <v>5</v>
      </c>
      <c r="J426" s="153" t="s">
        <v>495</v>
      </c>
      <c r="K426" s="153" t="s">
        <v>23</v>
      </c>
      <c r="L426" s="247" t="s">
        <v>832</v>
      </c>
      <c r="M426" s="153"/>
      <c r="O426" s="199">
        <f>IFERROR(VLOOKUP($P426,Suppl!$B$2:$N$57,MATCH(BDD!$B426,Suppl!$C$1:$N$1,0)+1,FALSE),"")</f>
        <v>0</v>
      </c>
      <c r="P426" s="153" t="str">
        <f t="shared" si="46"/>
        <v>75</v>
      </c>
    </row>
    <row r="427" spans="1:18" ht="15" customHeight="1" x14ac:dyDescent="0.3">
      <c r="A427" s="155" t="str">
        <f t="shared" si="45"/>
        <v>1176</v>
      </c>
      <c r="B427" s="163">
        <f t="shared" si="43"/>
        <v>11</v>
      </c>
      <c r="C427" s="156" t="str">
        <f t="shared" si="44"/>
        <v>Prestataires &amp; fournisseurs</v>
      </c>
      <c r="D427" s="156" t="s">
        <v>546</v>
      </c>
      <c r="E427" s="168">
        <v>7</v>
      </c>
      <c r="F427" s="156" t="s">
        <v>326</v>
      </c>
      <c r="G427" s="406" t="s">
        <v>333</v>
      </c>
      <c r="H427" s="185" t="s">
        <v>164</v>
      </c>
      <c r="I427" s="162">
        <v>6</v>
      </c>
      <c r="J427" s="153"/>
      <c r="K427" s="153" t="s">
        <v>164</v>
      </c>
      <c r="L427" s="247"/>
      <c r="M427" s="153"/>
      <c r="O427" s="199">
        <f>IFERROR(VLOOKUP($P427,Suppl!$B$2:$N$57,MATCH(BDD!$B427,Suppl!$C$1:$N$1,0)+1,FALSE),"")</f>
        <v>0</v>
      </c>
      <c r="P427" s="153" t="str">
        <f t="shared" si="46"/>
        <v>76</v>
      </c>
    </row>
    <row r="428" spans="1:18" ht="15" customHeight="1" thickBot="1" x14ac:dyDescent="0.35">
      <c r="A428" s="155" t="str">
        <f t="shared" si="45"/>
        <v>1177</v>
      </c>
      <c r="B428" s="165">
        <f t="shared" si="43"/>
        <v>11</v>
      </c>
      <c r="C428" s="160" t="str">
        <f t="shared" si="44"/>
        <v>Prestataires &amp; fournisseurs</v>
      </c>
      <c r="D428" s="160" t="s">
        <v>546</v>
      </c>
      <c r="E428" s="170">
        <v>7</v>
      </c>
      <c r="F428" s="160" t="s">
        <v>326</v>
      </c>
      <c r="G428" s="410" t="s">
        <v>333</v>
      </c>
      <c r="H428" s="185" t="s">
        <v>164</v>
      </c>
      <c r="I428" s="172">
        <v>7</v>
      </c>
      <c r="J428" s="158"/>
      <c r="K428" s="158"/>
      <c r="L428" s="254"/>
      <c r="M428" s="179"/>
      <c r="N428" s="179"/>
      <c r="O428" s="201">
        <f>IFERROR(VLOOKUP($P428,Suppl!$B$2:$N$57,MATCH(BDD!$B428,Suppl!$C$1:$N$1,0)+1,FALSE),"")</f>
        <v>0</v>
      </c>
      <c r="P428" s="158" t="str">
        <f t="shared" si="46"/>
        <v>77</v>
      </c>
    </row>
    <row r="429" spans="1:18" ht="15" customHeight="1" x14ac:dyDescent="0.3">
      <c r="A429" s="155" t="str">
        <f t="shared" si="45"/>
        <v>911</v>
      </c>
      <c r="B429" s="181">
        <v>9</v>
      </c>
      <c r="C429" s="153" t="s">
        <v>570</v>
      </c>
      <c r="D429" s="153" t="s">
        <v>571</v>
      </c>
      <c r="E429" s="167">
        <v>1</v>
      </c>
      <c r="F429" s="181" t="s">
        <v>577</v>
      </c>
      <c r="G429" s="401" t="s">
        <v>578</v>
      </c>
      <c r="H429" s="217" t="s">
        <v>249</v>
      </c>
      <c r="I429" s="162">
        <v>1</v>
      </c>
      <c r="J429" t="s">
        <v>590</v>
      </c>
      <c r="K429" s="153" t="s">
        <v>22</v>
      </c>
      <c r="M429" s="186" t="s">
        <v>572</v>
      </c>
      <c r="N429" s="187" t="s">
        <v>574</v>
      </c>
      <c r="O429" s="199">
        <f>IFERROR(VLOOKUP($P429,Suppl!$B$2:$N$57,MATCH(BDD!$B429,Suppl!$C$1:$N$1,0)+1,FALSE),"")</f>
        <v>0</v>
      </c>
      <c r="P429" s="153" t="str">
        <f t="shared" si="46"/>
        <v>11</v>
      </c>
      <c r="Q429" s="125"/>
      <c r="R429" s="159"/>
    </row>
    <row r="430" spans="1:18" ht="15" customHeight="1" x14ac:dyDescent="0.3">
      <c r="A430" s="155" t="str">
        <f t="shared" si="45"/>
        <v>912</v>
      </c>
      <c r="B430" s="182">
        <f t="shared" ref="B430:C445" si="47">B429</f>
        <v>9</v>
      </c>
      <c r="C430" s="156" t="str">
        <f t="shared" si="47"/>
        <v>Services</v>
      </c>
      <c r="D430" s="156" t="s">
        <v>571</v>
      </c>
      <c r="E430" s="168">
        <v>1</v>
      </c>
      <c r="F430" s="182" t="s">
        <v>577</v>
      </c>
      <c r="G430" s="402" t="s">
        <v>578</v>
      </c>
      <c r="H430" s="217" t="s">
        <v>164</v>
      </c>
      <c r="I430" s="162">
        <v>2</v>
      </c>
      <c r="J430" s="153" t="s">
        <v>591</v>
      </c>
      <c r="K430" s="153" t="s">
        <v>23</v>
      </c>
      <c r="L430" s="255" t="s">
        <v>833</v>
      </c>
      <c r="M430" s="174" t="s">
        <v>573</v>
      </c>
      <c r="N430" s="177" t="s">
        <v>575</v>
      </c>
      <c r="O430" s="199">
        <f>IFERROR(VLOOKUP($P430,Suppl!$B$2:$N$57,MATCH(BDD!$B430,Suppl!$C$1:$N$1,0)+1,FALSE),"")</f>
        <v>0</v>
      </c>
      <c r="P430" s="153" t="str">
        <f t="shared" si="46"/>
        <v>12</v>
      </c>
      <c r="R430" s="159"/>
    </row>
    <row r="431" spans="1:18" ht="15" customHeight="1" x14ac:dyDescent="0.3">
      <c r="A431" s="155" t="str">
        <f t="shared" si="45"/>
        <v>913</v>
      </c>
      <c r="B431" s="182">
        <f t="shared" si="47"/>
        <v>9</v>
      </c>
      <c r="C431" s="156" t="str">
        <f t="shared" si="47"/>
        <v>Services</v>
      </c>
      <c r="D431" s="156" t="s">
        <v>571</v>
      </c>
      <c r="E431" s="168">
        <v>1</v>
      </c>
      <c r="F431" s="182" t="s">
        <v>577</v>
      </c>
      <c r="G431" s="402" t="s">
        <v>578</v>
      </c>
      <c r="H431" s="217" t="s">
        <v>164</v>
      </c>
      <c r="I431" s="162">
        <v>3</v>
      </c>
      <c r="J431" s="153" t="s">
        <v>592</v>
      </c>
      <c r="K431" s="153" t="s">
        <v>24</v>
      </c>
      <c r="L431" s="247" t="s">
        <v>834</v>
      </c>
      <c r="M431" s="174"/>
      <c r="N431" s="177" t="s">
        <v>576</v>
      </c>
      <c r="O431" s="199">
        <f>IFERROR(VLOOKUP($P431,Suppl!$B$2:$N$57,MATCH(BDD!$B431,Suppl!$C$1:$N$1,0)+1,FALSE),"")</f>
        <v>0</v>
      </c>
      <c r="P431" s="153" t="str">
        <f t="shared" si="46"/>
        <v>13</v>
      </c>
    </row>
    <row r="432" spans="1:18" ht="15" customHeight="1" x14ac:dyDescent="0.3">
      <c r="A432" s="155" t="str">
        <f t="shared" si="45"/>
        <v>914</v>
      </c>
      <c r="B432" s="182">
        <f t="shared" si="47"/>
        <v>9</v>
      </c>
      <c r="C432" s="156" t="str">
        <f t="shared" si="47"/>
        <v>Services</v>
      </c>
      <c r="D432" s="156" t="s">
        <v>571</v>
      </c>
      <c r="E432" s="168">
        <v>1</v>
      </c>
      <c r="F432" s="182" t="s">
        <v>577</v>
      </c>
      <c r="G432" s="402" t="s">
        <v>578</v>
      </c>
      <c r="H432" s="217" t="s">
        <v>164</v>
      </c>
      <c r="I432" s="162">
        <v>4</v>
      </c>
      <c r="J432" s="153" t="s">
        <v>593</v>
      </c>
      <c r="K432" s="153" t="s">
        <v>25</v>
      </c>
      <c r="L432" s="255" t="s">
        <v>835</v>
      </c>
      <c r="M432" s="174"/>
      <c r="N432" s="177"/>
      <c r="O432" s="199">
        <f>IFERROR(VLOOKUP($P432,Suppl!$B$2:$N$57,MATCH(BDD!$B432,Suppl!$C$1:$N$1,0)+1,FALSE),"")</f>
        <v>0</v>
      </c>
      <c r="P432" s="153" t="str">
        <f t="shared" si="46"/>
        <v>14</v>
      </c>
    </row>
    <row r="433" spans="1:18" ht="15" customHeight="1" x14ac:dyDescent="0.3">
      <c r="A433" s="155" t="str">
        <f t="shared" si="45"/>
        <v>915</v>
      </c>
      <c r="B433" s="182">
        <f t="shared" si="47"/>
        <v>9</v>
      </c>
      <c r="C433" s="156" t="str">
        <f t="shared" si="47"/>
        <v>Services</v>
      </c>
      <c r="D433" s="156" t="s">
        <v>571</v>
      </c>
      <c r="E433" s="168">
        <v>1</v>
      </c>
      <c r="F433" s="182" t="s">
        <v>577</v>
      </c>
      <c r="G433" s="402" t="s">
        <v>578</v>
      </c>
      <c r="H433" s="217" t="s">
        <v>164</v>
      </c>
      <c r="I433" s="162">
        <v>5</v>
      </c>
      <c r="J433" s="153" t="s">
        <v>594</v>
      </c>
      <c r="K433" s="153" t="s">
        <v>25</v>
      </c>
      <c r="L433" s="247" t="s">
        <v>836</v>
      </c>
      <c r="M433" s="174"/>
      <c r="N433" s="177"/>
      <c r="O433" s="199">
        <f>IFERROR(VLOOKUP($P433,Suppl!$B$2:$N$57,MATCH(BDD!$B433,Suppl!$C$1:$N$1,0)+1,FALSE),"")</f>
        <v>0</v>
      </c>
      <c r="P433" s="153" t="str">
        <f t="shared" si="46"/>
        <v>15</v>
      </c>
    </row>
    <row r="434" spans="1:18" ht="15" customHeight="1" x14ac:dyDescent="0.3">
      <c r="A434" s="155" t="str">
        <f t="shared" si="45"/>
        <v>916</v>
      </c>
      <c r="B434" s="182">
        <f t="shared" si="47"/>
        <v>9</v>
      </c>
      <c r="C434" s="156" t="str">
        <f t="shared" si="47"/>
        <v>Services</v>
      </c>
      <c r="D434" s="156" t="s">
        <v>571</v>
      </c>
      <c r="E434" s="168">
        <v>1</v>
      </c>
      <c r="F434" s="182" t="s">
        <v>577</v>
      </c>
      <c r="G434" s="402" t="s">
        <v>578</v>
      </c>
      <c r="H434" s="217" t="s">
        <v>164</v>
      </c>
      <c r="I434" s="162">
        <v>6</v>
      </c>
      <c r="J434" s="153" t="s">
        <v>595</v>
      </c>
      <c r="K434" s="153" t="s">
        <v>25</v>
      </c>
      <c r="L434" s="247"/>
      <c r="M434" s="174"/>
      <c r="N434" s="177"/>
      <c r="O434" s="199">
        <f>IFERROR(VLOOKUP($P434,Suppl!$B$2:$N$57,MATCH(BDD!$B434,Suppl!$C$1:$N$1,0)+1,FALSE),"")</f>
        <v>0</v>
      </c>
      <c r="P434" s="153" t="str">
        <f t="shared" si="46"/>
        <v>16</v>
      </c>
    </row>
    <row r="435" spans="1:18" ht="15" customHeight="1" x14ac:dyDescent="0.3">
      <c r="A435" s="155" t="str">
        <f t="shared" si="45"/>
        <v>917</v>
      </c>
      <c r="B435" s="183">
        <f t="shared" si="47"/>
        <v>9</v>
      </c>
      <c r="C435" s="157" t="str">
        <f t="shared" si="47"/>
        <v>Services</v>
      </c>
      <c r="D435" s="157" t="s">
        <v>571</v>
      </c>
      <c r="E435" s="169">
        <v>1</v>
      </c>
      <c r="F435" s="183" t="s">
        <v>577</v>
      </c>
      <c r="G435" s="403" t="s">
        <v>578</v>
      </c>
      <c r="H435" s="217" t="s">
        <v>164</v>
      </c>
      <c r="I435" s="171">
        <v>7</v>
      </c>
      <c r="J435" s="154"/>
      <c r="K435" s="154"/>
      <c r="L435" s="323"/>
      <c r="M435" s="175"/>
      <c r="N435" s="178"/>
      <c r="O435" s="200">
        <f>IFERROR(VLOOKUP($P435,Suppl!$B$2:$N$57,MATCH(BDD!$B435,Suppl!$C$1:$N$1,0)+1,FALSE),"")</f>
        <v>0</v>
      </c>
      <c r="P435" s="154" t="str">
        <f t="shared" si="46"/>
        <v>17</v>
      </c>
    </row>
    <row r="436" spans="1:18" ht="15" customHeight="1" x14ac:dyDescent="0.3">
      <c r="A436" s="155" t="str">
        <f t="shared" ref="A436:A471" si="48">B436&amp;E436&amp;I436</f>
        <v>921</v>
      </c>
      <c r="B436" s="182">
        <f t="shared" si="47"/>
        <v>9</v>
      </c>
      <c r="C436" s="156" t="str">
        <f t="shared" si="47"/>
        <v>Services</v>
      </c>
      <c r="D436" s="156" t="s">
        <v>571</v>
      </c>
      <c r="E436" s="167">
        <v>2</v>
      </c>
      <c r="F436" s="218" t="s">
        <v>579</v>
      </c>
      <c r="G436" s="404" t="s">
        <v>586</v>
      </c>
      <c r="H436" s="217" t="s">
        <v>249</v>
      </c>
      <c r="I436" s="162">
        <v>1</v>
      </c>
      <c r="J436" s="153" t="s">
        <v>587</v>
      </c>
      <c r="K436" s="153" t="s">
        <v>22</v>
      </c>
      <c r="L436" s="247" t="s">
        <v>791</v>
      </c>
      <c r="M436" s="153"/>
      <c r="N436" s="153"/>
      <c r="O436" s="199">
        <f>IFERROR(VLOOKUP($P436,Suppl!$B$2:$N$57,MATCH(BDD!$B436,Suppl!$C$1:$N$1,0)+1,FALSE),"")</f>
        <v>0</v>
      </c>
      <c r="P436" s="153" t="str">
        <f t="shared" ref="P436:P469" si="49">E436&amp;I436</f>
        <v>21</v>
      </c>
      <c r="Q436" s="159"/>
      <c r="R436" s="159"/>
    </row>
    <row r="437" spans="1:18" ht="15" customHeight="1" x14ac:dyDescent="0.3">
      <c r="A437" s="155" t="str">
        <f t="shared" si="48"/>
        <v>922</v>
      </c>
      <c r="B437" s="182">
        <f t="shared" si="47"/>
        <v>9</v>
      </c>
      <c r="C437" s="156" t="str">
        <f t="shared" si="47"/>
        <v>Services</v>
      </c>
      <c r="D437" s="156" t="s">
        <v>571</v>
      </c>
      <c r="E437" s="168">
        <v>2</v>
      </c>
      <c r="F437" s="182" t="s">
        <v>579</v>
      </c>
      <c r="G437" s="402" t="s">
        <v>586</v>
      </c>
      <c r="H437" s="217" t="s">
        <v>164</v>
      </c>
      <c r="I437" s="162">
        <v>2</v>
      </c>
      <c r="J437" s="153" t="s">
        <v>588</v>
      </c>
      <c r="K437" s="153" t="s">
        <v>24</v>
      </c>
      <c r="L437" s="247" t="s">
        <v>837</v>
      </c>
      <c r="M437" s="153"/>
      <c r="N437" s="153"/>
      <c r="O437" s="199">
        <f>IFERROR(VLOOKUP($P437,Suppl!$B$2:$N$57,MATCH(BDD!$B437,Suppl!$C$1:$N$1,0)+1,FALSE),"")</f>
        <v>0</v>
      </c>
      <c r="P437" s="153" t="str">
        <f t="shared" si="49"/>
        <v>22</v>
      </c>
    </row>
    <row r="438" spans="1:18" ht="15" customHeight="1" x14ac:dyDescent="0.3">
      <c r="A438" s="155" t="str">
        <f t="shared" si="48"/>
        <v>923</v>
      </c>
      <c r="B438" s="182">
        <f t="shared" si="47"/>
        <v>9</v>
      </c>
      <c r="C438" s="156" t="str">
        <f t="shared" si="47"/>
        <v>Services</v>
      </c>
      <c r="D438" s="156" t="s">
        <v>571</v>
      </c>
      <c r="E438" s="168">
        <v>2</v>
      </c>
      <c r="F438" s="182" t="s">
        <v>579</v>
      </c>
      <c r="G438" s="402" t="s">
        <v>586</v>
      </c>
      <c r="H438" s="217" t="s">
        <v>164</v>
      </c>
      <c r="I438" s="162">
        <v>3</v>
      </c>
      <c r="J438" s="153" t="s">
        <v>589</v>
      </c>
      <c r="K438" s="153" t="s">
        <v>26</v>
      </c>
      <c r="L438" s="247" t="s">
        <v>838</v>
      </c>
      <c r="M438" s="153"/>
      <c r="N438" s="153"/>
      <c r="O438" s="199">
        <f>IFERROR(VLOOKUP($P438,Suppl!$B$2:$N$57,MATCH(BDD!$B438,Suppl!$C$1:$N$1,0)+1,FALSE),"")</f>
        <v>0</v>
      </c>
      <c r="P438" s="153" t="str">
        <f t="shared" si="49"/>
        <v>23</v>
      </c>
    </row>
    <row r="439" spans="1:18" ht="15" customHeight="1" x14ac:dyDescent="0.3">
      <c r="A439" s="155" t="str">
        <f t="shared" si="48"/>
        <v>924</v>
      </c>
      <c r="B439" s="182">
        <f t="shared" si="47"/>
        <v>9</v>
      </c>
      <c r="C439" s="156" t="str">
        <f t="shared" si="47"/>
        <v>Services</v>
      </c>
      <c r="D439" s="156" t="s">
        <v>571</v>
      </c>
      <c r="E439" s="168">
        <v>2</v>
      </c>
      <c r="F439" s="182" t="s">
        <v>579</v>
      </c>
      <c r="G439" s="402" t="s">
        <v>586</v>
      </c>
      <c r="H439" s="217" t="s">
        <v>164</v>
      </c>
      <c r="I439" s="162">
        <v>4</v>
      </c>
      <c r="J439" s="153"/>
      <c r="K439" s="153"/>
      <c r="L439" s="247"/>
      <c r="M439" s="153"/>
      <c r="N439" s="153"/>
      <c r="O439" s="199">
        <f>IFERROR(VLOOKUP($P439,Suppl!$B$2:$N$57,MATCH(BDD!$B439,Suppl!$C$1:$N$1,0)+1,FALSE),"")</f>
        <v>0</v>
      </c>
      <c r="P439" s="153" t="str">
        <f t="shared" si="49"/>
        <v>24</v>
      </c>
    </row>
    <row r="440" spans="1:18" ht="15" customHeight="1" x14ac:dyDescent="0.3">
      <c r="A440" s="155" t="str">
        <f t="shared" si="48"/>
        <v>925</v>
      </c>
      <c r="B440" s="182">
        <f t="shared" si="47"/>
        <v>9</v>
      </c>
      <c r="C440" s="156" t="str">
        <f t="shared" si="47"/>
        <v>Services</v>
      </c>
      <c r="D440" s="156" t="s">
        <v>571</v>
      </c>
      <c r="E440" s="168">
        <v>2</v>
      </c>
      <c r="F440" s="182" t="s">
        <v>579</v>
      </c>
      <c r="G440" s="402" t="s">
        <v>586</v>
      </c>
      <c r="H440" s="217" t="s">
        <v>164</v>
      </c>
      <c r="I440" s="162">
        <v>5</v>
      </c>
      <c r="J440" s="153"/>
      <c r="K440" s="153"/>
      <c r="L440" s="247"/>
      <c r="M440" s="153"/>
      <c r="N440" s="153"/>
      <c r="O440" s="199">
        <f>IFERROR(VLOOKUP($P440,Suppl!$B$2:$N$57,MATCH(BDD!$B440,Suppl!$C$1:$N$1,0)+1,FALSE),"")</f>
        <v>0</v>
      </c>
      <c r="P440" s="153" t="str">
        <f t="shared" si="49"/>
        <v>25</v>
      </c>
    </row>
    <row r="441" spans="1:18" ht="15" customHeight="1" x14ac:dyDescent="0.3">
      <c r="A441" s="155" t="str">
        <f t="shared" si="48"/>
        <v>926</v>
      </c>
      <c r="B441" s="182">
        <f t="shared" si="47"/>
        <v>9</v>
      </c>
      <c r="C441" s="156" t="str">
        <f t="shared" si="47"/>
        <v>Services</v>
      </c>
      <c r="D441" s="156" t="s">
        <v>571</v>
      </c>
      <c r="E441" s="168">
        <v>2</v>
      </c>
      <c r="F441" s="182" t="s">
        <v>579</v>
      </c>
      <c r="G441" s="402" t="s">
        <v>586</v>
      </c>
      <c r="H441" s="217" t="s">
        <v>164</v>
      </c>
      <c r="I441" s="162">
        <v>6</v>
      </c>
      <c r="J441" s="153"/>
      <c r="K441" s="153"/>
      <c r="L441" s="247"/>
      <c r="M441" s="153"/>
      <c r="N441" s="153"/>
      <c r="O441" s="199">
        <f>IFERROR(VLOOKUP($P441,Suppl!$B$2:$N$57,MATCH(BDD!$B441,Suppl!$C$1:$N$1,0)+1,FALSE),"")</f>
        <v>0</v>
      </c>
      <c r="P441" s="153" t="str">
        <f t="shared" si="49"/>
        <v>26</v>
      </c>
    </row>
    <row r="442" spans="1:18" ht="15" customHeight="1" x14ac:dyDescent="0.3">
      <c r="A442" s="155" t="str">
        <f t="shared" si="48"/>
        <v>927</v>
      </c>
      <c r="B442" s="183">
        <f t="shared" si="47"/>
        <v>9</v>
      </c>
      <c r="C442" s="157" t="str">
        <f t="shared" si="47"/>
        <v>Services</v>
      </c>
      <c r="D442" s="157" t="s">
        <v>571</v>
      </c>
      <c r="E442" s="169">
        <v>2</v>
      </c>
      <c r="F442" s="183" t="s">
        <v>579</v>
      </c>
      <c r="G442" s="403" t="s">
        <v>586</v>
      </c>
      <c r="H442" s="217" t="s">
        <v>164</v>
      </c>
      <c r="I442" s="171">
        <v>7</v>
      </c>
      <c r="J442" s="154"/>
      <c r="K442" s="154"/>
      <c r="L442" s="323"/>
      <c r="M442" s="154"/>
      <c r="N442" s="154"/>
      <c r="O442" s="200">
        <f>IFERROR(VLOOKUP($P442,Suppl!$B$2:$N$57,MATCH(BDD!$B442,Suppl!$C$1:$N$1,0)+1,FALSE),"")</f>
        <v>0</v>
      </c>
      <c r="P442" s="154" t="str">
        <f t="shared" si="49"/>
        <v>27</v>
      </c>
    </row>
    <row r="443" spans="1:18" ht="15" customHeight="1" x14ac:dyDescent="0.3">
      <c r="A443" s="155" t="str">
        <f t="shared" si="48"/>
        <v>931</v>
      </c>
      <c r="B443" s="182">
        <f t="shared" si="47"/>
        <v>9</v>
      </c>
      <c r="C443" s="156" t="str">
        <f t="shared" si="47"/>
        <v>Services</v>
      </c>
      <c r="D443" s="156" t="s">
        <v>571</v>
      </c>
      <c r="E443" s="167">
        <v>3</v>
      </c>
      <c r="F443" s="218" t="s">
        <v>580</v>
      </c>
      <c r="G443" s="404" t="s">
        <v>585</v>
      </c>
      <c r="H443" s="217" t="s">
        <v>1082</v>
      </c>
      <c r="I443" s="162">
        <v>1</v>
      </c>
      <c r="J443" s="155" t="s">
        <v>596</v>
      </c>
      <c r="K443" s="153" t="s">
        <v>22</v>
      </c>
      <c r="L443" s="247"/>
      <c r="M443" s="153"/>
      <c r="N443" s="153"/>
      <c r="O443" s="199">
        <f>IFERROR(VLOOKUP($P443,Suppl!$B$2:$N$57,MATCH(BDD!$B443,Suppl!$C$1:$N$1,0)+1,FALSE),"")</f>
        <v>0</v>
      </c>
      <c r="P443" s="153" t="str">
        <f t="shared" si="49"/>
        <v>31</v>
      </c>
    </row>
    <row r="444" spans="1:18" ht="15" customHeight="1" x14ac:dyDescent="0.3">
      <c r="A444" s="155" t="str">
        <f t="shared" si="48"/>
        <v>932</v>
      </c>
      <c r="B444" s="182">
        <f t="shared" si="47"/>
        <v>9</v>
      </c>
      <c r="C444" s="156" t="str">
        <f t="shared" si="47"/>
        <v>Services</v>
      </c>
      <c r="D444" s="156" t="s">
        <v>571</v>
      </c>
      <c r="E444" s="168">
        <v>3</v>
      </c>
      <c r="F444" s="182" t="s">
        <v>580</v>
      </c>
      <c r="G444" s="402" t="s">
        <v>585</v>
      </c>
      <c r="H444" s="217" t="s">
        <v>164</v>
      </c>
      <c r="I444" s="162">
        <v>2</v>
      </c>
      <c r="J444" s="155" t="s">
        <v>600</v>
      </c>
      <c r="K444" s="153" t="s">
        <v>23</v>
      </c>
      <c r="L444" s="255" t="s">
        <v>1119</v>
      </c>
      <c r="M444" s="153"/>
      <c r="N444" s="153"/>
      <c r="O444" s="199">
        <f>IFERROR(VLOOKUP($P444,Suppl!$B$2:$N$57,MATCH(BDD!$B444,Suppl!$C$1:$N$1,0)+1,FALSE),"")</f>
        <v>0</v>
      </c>
      <c r="P444" s="153" t="str">
        <f t="shared" si="49"/>
        <v>32</v>
      </c>
    </row>
    <row r="445" spans="1:18" ht="15" customHeight="1" x14ac:dyDescent="0.3">
      <c r="A445" s="155" t="str">
        <f t="shared" si="48"/>
        <v>933</v>
      </c>
      <c r="B445" s="182">
        <f t="shared" si="47"/>
        <v>9</v>
      </c>
      <c r="C445" s="156" t="str">
        <f t="shared" si="47"/>
        <v>Services</v>
      </c>
      <c r="D445" s="156" t="s">
        <v>571</v>
      </c>
      <c r="E445" s="168">
        <v>3</v>
      </c>
      <c r="F445" s="182" t="s">
        <v>580</v>
      </c>
      <c r="G445" s="402" t="s">
        <v>585</v>
      </c>
      <c r="H445" s="217" t="s">
        <v>164</v>
      </c>
      <c r="I445" s="162">
        <v>3</v>
      </c>
      <c r="J445" s="153" t="s">
        <v>597</v>
      </c>
      <c r="K445" s="153" t="s">
        <v>24</v>
      </c>
      <c r="L445" s="247"/>
      <c r="M445" s="153"/>
      <c r="N445" s="153"/>
      <c r="O445" s="199">
        <f>IFERROR(VLOOKUP($P445,Suppl!$B$2:$N$57,MATCH(BDD!$B445,Suppl!$C$1:$N$1,0)+1,FALSE),"")</f>
        <v>0</v>
      </c>
      <c r="P445" s="153" t="str">
        <f t="shared" si="49"/>
        <v>33</v>
      </c>
    </row>
    <row r="446" spans="1:18" ht="15" customHeight="1" x14ac:dyDescent="0.3">
      <c r="A446" s="155" t="str">
        <f t="shared" si="48"/>
        <v>934</v>
      </c>
      <c r="B446" s="182">
        <f t="shared" ref="B446:C461" si="50">B445</f>
        <v>9</v>
      </c>
      <c r="C446" s="156" t="str">
        <f t="shared" si="50"/>
        <v>Services</v>
      </c>
      <c r="D446" s="156" t="s">
        <v>571</v>
      </c>
      <c r="E446" s="168">
        <v>3</v>
      </c>
      <c r="F446" s="182" t="s">
        <v>580</v>
      </c>
      <c r="G446" s="402" t="s">
        <v>585</v>
      </c>
      <c r="H446" s="217" t="s">
        <v>164</v>
      </c>
      <c r="I446" s="162">
        <v>4</v>
      </c>
      <c r="J446" s="153" t="s">
        <v>891</v>
      </c>
      <c r="K446" s="153" t="s">
        <v>25</v>
      </c>
      <c r="L446" s="247" t="s">
        <v>839</v>
      </c>
      <c r="M446" s="153"/>
      <c r="N446" s="153"/>
      <c r="O446" s="199">
        <f>IFERROR(VLOOKUP($P446,Suppl!$B$2:$N$57,MATCH(BDD!$B446,Suppl!$C$1:$N$1,0)+1,FALSE),"")</f>
        <v>0</v>
      </c>
      <c r="P446" s="153" t="str">
        <f t="shared" si="49"/>
        <v>34</v>
      </c>
    </row>
    <row r="447" spans="1:18" ht="15" customHeight="1" x14ac:dyDescent="0.3">
      <c r="A447" s="155" t="str">
        <f t="shared" si="48"/>
        <v>935</v>
      </c>
      <c r="B447" s="182">
        <f t="shared" si="50"/>
        <v>9</v>
      </c>
      <c r="C447" s="156" t="str">
        <f t="shared" si="50"/>
        <v>Services</v>
      </c>
      <c r="D447" s="156" t="s">
        <v>571</v>
      </c>
      <c r="E447" s="168">
        <v>3</v>
      </c>
      <c r="F447" s="182" t="s">
        <v>580</v>
      </c>
      <c r="G447" s="402" t="s">
        <v>585</v>
      </c>
      <c r="H447" s="217" t="s">
        <v>164</v>
      </c>
      <c r="I447" s="162">
        <v>5</v>
      </c>
      <c r="J447" s="153" t="s">
        <v>598</v>
      </c>
      <c r="K447" s="153" t="s">
        <v>25</v>
      </c>
      <c r="L447" s="247" t="s">
        <v>840</v>
      </c>
      <c r="M447" s="153"/>
      <c r="N447" s="153"/>
      <c r="O447" s="199">
        <f>IFERROR(VLOOKUP($P447,Suppl!$B$2:$N$57,MATCH(BDD!$B447,Suppl!$C$1:$N$1,0)+1,FALSE),"")</f>
        <v>0</v>
      </c>
      <c r="P447" s="153" t="str">
        <f t="shared" si="49"/>
        <v>35</v>
      </c>
    </row>
    <row r="448" spans="1:18" ht="15" customHeight="1" x14ac:dyDescent="0.3">
      <c r="A448" s="155" t="str">
        <f t="shared" si="48"/>
        <v>936</v>
      </c>
      <c r="B448" s="182">
        <f t="shared" si="50"/>
        <v>9</v>
      </c>
      <c r="C448" s="156" t="str">
        <f t="shared" si="50"/>
        <v>Services</v>
      </c>
      <c r="D448" s="156" t="s">
        <v>571</v>
      </c>
      <c r="E448" s="168">
        <v>3</v>
      </c>
      <c r="F448" s="182" t="s">
        <v>580</v>
      </c>
      <c r="G448" s="402" t="s">
        <v>585</v>
      </c>
      <c r="H448" s="217" t="s">
        <v>164</v>
      </c>
      <c r="I448" s="162">
        <v>6</v>
      </c>
      <c r="J448" s="153" t="s">
        <v>599</v>
      </c>
      <c r="K448" s="153" t="s">
        <v>26</v>
      </c>
      <c r="L448" s="247"/>
      <c r="M448" s="153"/>
      <c r="N448" s="153"/>
      <c r="O448" s="199">
        <f>IFERROR(VLOOKUP($P448,Suppl!$B$2:$N$57,MATCH(BDD!$B448,Suppl!$C$1:$N$1,0)+1,FALSE),"")</f>
        <v>0</v>
      </c>
      <c r="P448" s="153" t="str">
        <f t="shared" si="49"/>
        <v>36</v>
      </c>
    </row>
    <row r="449" spans="1:18" ht="15" customHeight="1" x14ac:dyDescent="0.3">
      <c r="A449" s="155" t="str">
        <f t="shared" si="48"/>
        <v>937</v>
      </c>
      <c r="B449" s="183">
        <f t="shared" si="50"/>
        <v>9</v>
      </c>
      <c r="C449" s="157" t="str">
        <f t="shared" si="50"/>
        <v>Services</v>
      </c>
      <c r="D449" s="157" t="s">
        <v>571</v>
      </c>
      <c r="E449" s="169">
        <v>3</v>
      </c>
      <c r="F449" s="183" t="s">
        <v>580</v>
      </c>
      <c r="G449" s="403" t="s">
        <v>585</v>
      </c>
      <c r="H449" s="217" t="s">
        <v>164</v>
      </c>
      <c r="I449" s="171">
        <v>7</v>
      </c>
      <c r="J449" s="154"/>
      <c r="K449" s="154"/>
      <c r="L449" s="323"/>
      <c r="M449" s="154"/>
      <c r="N449" s="154"/>
      <c r="O449" s="200">
        <f>IFERROR(VLOOKUP($P449,Suppl!$B$2:$N$57,MATCH(BDD!$B449,Suppl!$C$1:$N$1,0)+1,FALSE),"")</f>
        <v>0</v>
      </c>
      <c r="P449" s="154" t="str">
        <f t="shared" si="49"/>
        <v>37</v>
      </c>
    </row>
    <row r="450" spans="1:18" ht="15" customHeight="1" x14ac:dyDescent="0.3">
      <c r="A450" s="155" t="str">
        <f t="shared" si="48"/>
        <v>941</v>
      </c>
      <c r="B450" s="182">
        <f t="shared" si="50"/>
        <v>9</v>
      </c>
      <c r="C450" s="156" t="str">
        <f t="shared" si="50"/>
        <v>Services</v>
      </c>
      <c r="D450" s="156" t="s">
        <v>571</v>
      </c>
      <c r="E450" s="167">
        <v>4</v>
      </c>
      <c r="F450" s="218" t="s">
        <v>581</v>
      </c>
      <c r="G450" s="404" t="s">
        <v>584</v>
      </c>
      <c r="H450" s="217" t="s">
        <v>164</v>
      </c>
      <c r="I450" s="162">
        <v>1</v>
      </c>
      <c r="J450" s="155" t="s">
        <v>601</v>
      </c>
      <c r="K450" s="153" t="s">
        <v>22</v>
      </c>
      <c r="L450" s="255" t="s">
        <v>841</v>
      </c>
      <c r="M450" s="153"/>
      <c r="N450" s="153"/>
      <c r="O450" s="199">
        <f>IFERROR(VLOOKUP($P450,Suppl!$B$2:$N$57,MATCH(BDD!$B450,Suppl!$C$1:$N$1,0)+1,FALSE),"")</f>
        <v>0</v>
      </c>
      <c r="P450" s="153" t="str">
        <f t="shared" si="49"/>
        <v>41</v>
      </c>
    </row>
    <row r="451" spans="1:18" ht="15" customHeight="1" x14ac:dyDescent="0.3">
      <c r="A451" s="155" t="str">
        <f t="shared" si="48"/>
        <v>942</v>
      </c>
      <c r="B451" s="182">
        <f t="shared" si="50"/>
        <v>9</v>
      </c>
      <c r="C451" s="156" t="str">
        <f t="shared" si="50"/>
        <v>Services</v>
      </c>
      <c r="D451" s="156" t="s">
        <v>571</v>
      </c>
      <c r="E451" s="168">
        <v>4</v>
      </c>
      <c r="F451" s="182" t="s">
        <v>581</v>
      </c>
      <c r="G451" s="402" t="s">
        <v>584</v>
      </c>
      <c r="H451" s="217" t="s">
        <v>164</v>
      </c>
      <c r="I451" s="162">
        <v>2</v>
      </c>
      <c r="J451" s="153" t="s">
        <v>603</v>
      </c>
      <c r="K451" s="153" t="s">
        <v>23</v>
      </c>
      <c r="L451" s="247" t="s">
        <v>842</v>
      </c>
      <c r="M451" s="153"/>
      <c r="N451" s="153"/>
      <c r="O451" s="199">
        <f>IFERROR(VLOOKUP($P451,Suppl!$B$2:$N$57,MATCH(BDD!$B451,Suppl!$C$1:$N$1,0)+1,FALSE),"")</f>
        <v>0</v>
      </c>
      <c r="P451" s="153" t="str">
        <f t="shared" si="49"/>
        <v>42</v>
      </c>
    </row>
    <row r="452" spans="1:18" ht="15" customHeight="1" x14ac:dyDescent="0.3">
      <c r="A452" s="155" t="str">
        <f t="shared" si="48"/>
        <v>943</v>
      </c>
      <c r="B452" s="182">
        <f t="shared" si="50"/>
        <v>9</v>
      </c>
      <c r="C452" s="156" t="str">
        <f t="shared" si="50"/>
        <v>Services</v>
      </c>
      <c r="D452" s="156" t="s">
        <v>571</v>
      </c>
      <c r="E452" s="168">
        <v>4</v>
      </c>
      <c r="F452" s="182" t="s">
        <v>581</v>
      </c>
      <c r="G452" s="402" t="s">
        <v>584</v>
      </c>
      <c r="H452" s="217" t="s">
        <v>164</v>
      </c>
      <c r="I452" s="162">
        <v>3</v>
      </c>
      <c r="J452" s="153" t="s">
        <v>602</v>
      </c>
      <c r="K452" s="153" t="s">
        <v>23</v>
      </c>
      <c r="L452" s="247" t="s">
        <v>843</v>
      </c>
      <c r="M452" s="153"/>
      <c r="N452" s="153"/>
      <c r="O452" s="199">
        <f>IFERROR(VLOOKUP($P452,Suppl!$B$2:$N$57,MATCH(BDD!$B452,Suppl!$C$1:$N$1,0)+1,FALSE),"")</f>
        <v>0</v>
      </c>
      <c r="P452" s="153" t="str">
        <f t="shared" si="49"/>
        <v>43</v>
      </c>
    </row>
    <row r="453" spans="1:18" ht="15" customHeight="1" x14ac:dyDescent="0.3">
      <c r="A453" s="155" t="str">
        <f t="shared" si="48"/>
        <v>944</v>
      </c>
      <c r="B453" s="182">
        <f t="shared" si="50"/>
        <v>9</v>
      </c>
      <c r="C453" s="156" t="str">
        <f t="shared" si="50"/>
        <v>Services</v>
      </c>
      <c r="D453" s="156" t="s">
        <v>571</v>
      </c>
      <c r="E453" s="168">
        <v>4</v>
      </c>
      <c r="F453" s="182" t="s">
        <v>581</v>
      </c>
      <c r="G453" s="402" t="s">
        <v>584</v>
      </c>
      <c r="H453" s="217" t="s">
        <v>164</v>
      </c>
      <c r="I453" s="162">
        <v>4</v>
      </c>
      <c r="K453" s="153"/>
      <c r="L453" s="247"/>
      <c r="M453" s="153"/>
      <c r="N453" s="153"/>
      <c r="O453" s="199">
        <f>IFERROR(VLOOKUP($P453,Suppl!$B$2:$N$57,MATCH(BDD!$B453,Suppl!$C$1:$N$1,0)+1,FALSE),"")</f>
        <v>0</v>
      </c>
      <c r="P453" s="153" t="str">
        <f t="shared" si="49"/>
        <v>44</v>
      </c>
    </row>
    <row r="454" spans="1:18" ht="15" customHeight="1" x14ac:dyDescent="0.3">
      <c r="A454" s="155" t="str">
        <f t="shared" si="48"/>
        <v>945</v>
      </c>
      <c r="B454" s="182">
        <f t="shared" si="50"/>
        <v>9</v>
      </c>
      <c r="C454" s="156" t="str">
        <f t="shared" si="50"/>
        <v>Services</v>
      </c>
      <c r="D454" s="156" t="s">
        <v>571</v>
      </c>
      <c r="E454" s="168">
        <v>4</v>
      </c>
      <c r="F454" s="182" t="s">
        <v>581</v>
      </c>
      <c r="G454" s="402" t="s">
        <v>584</v>
      </c>
      <c r="H454" s="217" t="s">
        <v>164</v>
      </c>
      <c r="I454" s="162">
        <v>5</v>
      </c>
      <c r="K454" s="153"/>
      <c r="L454" s="247"/>
      <c r="M454" s="153"/>
      <c r="N454" s="153"/>
      <c r="O454" s="199">
        <f>IFERROR(VLOOKUP($P454,Suppl!$B$2:$N$57,MATCH(BDD!$B454,Suppl!$C$1:$N$1,0)+1,FALSE),"")</f>
        <v>0</v>
      </c>
      <c r="P454" s="153" t="str">
        <f t="shared" si="49"/>
        <v>45</v>
      </c>
    </row>
    <row r="455" spans="1:18" ht="15" customHeight="1" x14ac:dyDescent="0.3">
      <c r="A455" s="155" t="str">
        <f t="shared" si="48"/>
        <v>946</v>
      </c>
      <c r="B455" s="182">
        <f t="shared" si="50"/>
        <v>9</v>
      </c>
      <c r="C455" s="156" t="str">
        <f t="shared" si="50"/>
        <v>Services</v>
      </c>
      <c r="D455" s="156" t="s">
        <v>571</v>
      </c>
      <c r="E455" s="168">
        <v>4</v>
      </c>
      <c r="F455" s="182" t="s">
        <v>581</v>
      </c>
      <c r="G455" s="402" t="s">
        <v>584</v>
      </c>
      <c r="H455" s="217" t="s">
        <v>164</v>
      </c>
      <c r="I455" s="162">
        <v>6</v>
      </c>
      <c r="J455" s="153"/>
      <c r="K455" s="153"/>
      <c r="L455" s="247"/>
      <c r="M455" s="153"/>
      <c r="N455" s="153"/>
      <c r="O455" s="199">
        <f>IFERROR(VLOOKUP($P455,Suppl!$B$2:$N$57,MATCH(BDD!$B455,Suppl!$C$1:$N$1,0)+1,FALSE),"")</f>
        <v>0</v>
      </c>
      <c r="P455" s="153" t="str">
        <f t="shared" si="49"/>
        <v>46</v>
      </c>
    </row>
    <row r="456" spans="1:18" ht="15" customHeight="1" x14ac:dyDescent="0.3">
      <c r="A456" s="155" t="str">
        <f t="shared" si="48"/>
        <v>947</v>
      </c>
      <c r="B456" s="183">
        <f t="shared" si="50"/>
        <v>9</v>
      </c>
      <c r="C456" s="157" t="str">
        <f t="shared" si="50"/>
        <v>Services</v>
      </c>
      <c r="D456" s="157" t="s">
        <v>571</v>
      </c>
      <c r="E456" s="169">
        <v>4</v>
      </c>
      <c r="F456" s="183" t="s">
        <v>581</v>
      </c>
      <c r="G456" s="403" t="s">
        <v>584</v>
      </c>
      <c r="H456" s="217" t="s">
        <v>164</v>
      </c>
      <c r="I456" s="171">
        <v>7</v>
      </c>
      <c r="J456" s="154"/>
      <c r="K456" s="154"/>
      <c r="L456" s="323"/>
      <c r="M456" s="154"/>
      <c r="N456" s="154"/>
      <c r="O456" s="200">
        <f>IFERROR(VLOOKUP($P456,Suppl!$B$2:$N$57,MATCH(BDD!$B456,Suppl!$C$1:$N$1,0)+1,FALSE),"")</f>
        <v>0</v>
      </c>
      <c r="P456" s="154" t="str">
        <f t="shared" si="49"/>
        <v>47</v>
      </c>
    </row>
    <row r="457" spans="1:18" ht="15" customHeight="1" x14ac:dyDescent="0.3">
      <c r="A457" s="155" t="str">
        <f t="shared" si="48"/>
        <v>951</v>
      </c>
      <c r="B457" s="182">
        <f t="shared" si="50"/>
        <v>9</v>
      </c>
      <c r="C457" s="156" t="str">
        <f t="shared" si="50"/>
        <v>Services</v>
      </c>
      <c r="D457" s="156" t="s">
        <v>571</v>
      </c>
      <c r="E457" s="167">
        <v>5</v>
      </c>
      <c r="F457" s="218" t="s">
        <v>582</v>
      </c>
      <c r="G457" s="404" t="s">
        <v>583</v>
      </c>
      <c r="H457" s="217" t="s">
        <v>164</v>
      </c>
      <c r="I457" s="162">
        <v>1</v>
      </c>
      <c r="J457" s="248" t="s">
        <v>604</v>
      </c>
      <c r="K457" s="153" t="s">
        <v>22</v>
      </c>
      <c r="L457" s="327" t="s">
        <v>844</v>
      </c>
      <c r="M457" s="153"/>
      <c r="N457" s="153"/>
      <c r="O457" s="199">
        <f>IFERROR(VLOOKUP($P457,Suppl!$B$2:$N$57,MATCH(BDD!$B457,Suppl!$C$1:$N$1,0)+1,FALSE),"")</f>
        <v>0</v>
      </c>
      <c r="P457" s="153" t="str">
        <f t="shared" si="49"/>
        <v>51</v>
      </c>
    </row>
    <row r="458" spans="1:18" ht="15" customHeight="1" x14ac:dyDescent="0.3">
      <c r="A458" s="155" t="str">
        <f t="shared" si="48"/>
        <v>952</v>
      </c>
      <c r="B458" s="182">
        <f t="shared" si="50"/>
        <v>9</v>
      </c>
      <c r="C458" s="156" t="str">
        <f t="shared" si="50"/>
        <v>Services</v>
      </c>
      <c r="D458" s="156" t="s">
        <v>571</v>
      </c>
      <c r="E458" s="168">
        <v>5</v>
      </c>
      <c r="F458" s="182" t="s">
        <v>582</v>
      </c>
      <c r="G458" s="402" t="s">
        <v>583</v>
      </c>
      <c r="H458" s="217" t="s">
        <v>164</v>
      </c>
      <c r="I458" s="162">
        <v>2</v>
      </c>
      <c r="J458" s="245" t="s">
        <v>892</v>
      </c>
      <c r="K458" s="153" t="s">
        <v>24</v>
      </c>
      <c r="L458" s="247" t="s">
        <v>845</v>
      </c>
      <c r="M458" s="153"/>
      <c r="N458" s="153"/>
      <c r="O458" s="199">
        <f>IFERROR(VLOOKUP($P458,Suppl!$B$2:$N$57,MATCH(BDD!$B458,Suppl!$C$1:$N$1,0)+1,FALSE),"")</f>
        <v>0</v>
      </c>
      <c r="P458" s="153" t="str">
        <f t="shared" si="49"/>
        <v>52</v>
      </c>
    </row>
    <row r="459" spans="1:18" ht="15" customHeight="1" x14ac:dyDescent="0.3">
      <c r="A459" s="155" t="str">
        <f t="shared" si="48"/>
        <v>953</v>
      </c>
      <c r="B459" s="182">
        <f t="shared" si="50"/>
        <v>9</v>
      </c>
      <c r="C459" s="156" t="str">
        <f t="shared" si="50"/>
        <v>Services</v>
      </c>
      <c r="D459" s="156" t="s">
        <v>571</v>
      </c>
      <c r="E459" s="168">
        <v>5</v>
      </c>
      <c r="F459" s="182" t="s">
        <v>582</v>
      </c>
      <c r="G459" s="402" t="s">
        <v>583</v>
      </c>
      <c r="H459" s="217" t="s">
        <v>164</v>
      </c>
      <c r="I459" s="162">
        <v>3</v>
      </c>
      <c r="J459" s="155" t="s">
        <v>605</v>
      </c>
      <c r="K459" s="153" t="s">
        <v>25</v>
      </c>
      <c r="L459" s="247"/>
      <c r="M459" s="153"/>
      <c r="N459" s="153"/>
      <c r="O459" s="199">
        <f>IFERROR(VLOOKUP($P459,Suppl!$B$2:$N$57,MATCH(BDD!$B459,Suppl!$C$1:$N$1,0)+1,FALSE),"")</f>
        <v>0</v>
      </c>
      <c r="P459" s="153" t="str">
        <f t="shared" si="49"/>
        <v>53</v>
      </c>
    </row>
    <row r="460" spans="1:18" ht="15" customHeight="1" x14ac:dyDescent="0.3">
      <c r="A460" s="155" t="str">
        <f t="shared" si="48"/>
        <v>954</v>
      </c>
      <c r="B460" s="182">
        <f t="shared" si="50"/>
        <v>9</v>
      </c>
      <c r="C460" s="156" t="str">
        <f t="shared" si="50"/>
        <v>Services</v>
      </c>
      <c r="D460" s="156" t="s">
        <v>571</v>
      </c>
      <c r="E460" s="168">
        <v>5</v>
      </c>
      <c r="F460" s="182" t="s">
        <v>582</v>
      </c>
      <c r="G460" s="402" t="s">
        <v>583</v>
      </c>
      <c r="H460" s="217" t="s">
        <v>164</v>
      </c>
      <c r="I460" s="162">
        <v>4</v>
      </c>
      <c r="J460" s="153" t="s">
        <v>606</v>
      </c>
      <c r="K460" s="153" t="s">
        <v>23</v>
      </c>
      <c r="L460" s="247"/>
      <c r="M460" s="153"/>
      <c r="N460" s="153"/>
      <c r="O460" s="199">
        <f>IFERROR(VLOOKUP($P460,Suppl!$B$2:$N$57,MATCH(BDD!$B460,Suppl!$C$1:$N$1,0)+1,FALSE),"")</f>
        <v>0</v>
      </c>
      <c r="P460" s="153" t="str">
        <f t="shared" si="49"/>
        <v>54</v>
      </c>
    </row>
    <row r="461" spans="1:18" ht="15" customHeight="1" x14ac:dyDescent="0.3">
      <c r="A461" s="155" t="str">
        <f t="shared" si="48"/>
        <v>955</v>
      </c>
      <c r="B461" s="182">
        <f t="shared" si="50"/>
        <v>9</v>
      </c>
      <c r="C461" s="156" t="str">
        <f t="shared" si="50"/>
        <v>Services</v>
      </c>
      <c r="D461" s="156" t="s">
        <v>571</v>
      </c>
      <c r="E461" s="168">
        <v>5</v>
      </c>
      <c r="F461" s="182" t="s">
        <v>582</v>
      </c>
      <c r="G461" s="402" t="s">
        <v>583</v>
      </c>
      <c r="H461" s="217" t="s">
        <v>164</v>
      </c>
      <c r="I461" s="162">
        <v>5</v>
      </c>
      <c r="J461" s="153" t="s">
        <v>607</v>
      </c>
      <c r="K461" s="153" t="s">
        <v>24</v>
      </c>
      <c r="L461" s="247" t="s">
        <v>846</v>
      </c>
      <c r="M461" s="153"/>
      <c r="N461" s="153"/>
      <c r="O461" s="199">
        <f>IFERROR(VLOOKUP($P461,Suppl!$B$2:$N$57,MATCH(BDD!$B461,Suppl!$C$1:$N$1,0)+1,FALSE),"")</f>
        <v>0</v>
      </c>
      <c r="P461" s="153" t="str">
        <f t="shared" si="49"/>
        <v>55</v>
      </c>
    </row>
    <row r="462" spans="1:18" ht="15" customHeight="1" x14ac:dyDescent="0.3">
      <c r="A462" s="155" t="str">
        <f t="shared" si="48"/>
        <v>956</v>
      </c>
      <c r="B462" s="182">
        <f t="shared" ref="B462:C463" si="51">B461</f>
        <v>9</v>
      </c>
      <c r="C462" s="156" t="str">
        <f t="shared" si="51"/>
        <v>Services</v>
      </c>
      <c r="D462" s="156" t="s">
        <v>571</v>
      </c>
      <c r="E462" s="168">
        <v>5</v>
      </c>
      <c r="F462" s="182" t="s">
        <v>582</v>
      </c>
      <c r="G462" s="402" t="s">
        <v>583</v>
      </c>
      <c r="H462" s="217" t="s">
        <v>164</v>
      </c>
      <c r="I462" s="162">
        <v>6</v>
      </c>
      <c r="J462" s="153" t="s">
        <v>608</v>
      </c>
      <c r="K462" s="153" t="s">
        <v>25</v>
      </c>
      <c r="L462" s="247" t="s">
        <v>847</v>
      </c>
      <c r="M462" s="153"/>
      <c r="N462" s="153"/>
      <c r="O462" s="199">
        <f>IFERROR(VLOOKUP($P462,Suppl!$B$2:$N$57,MATCH(BDD!$B462,Suppl!$C$1:$N$1,0)+1,FALSE),"")</f>
        <v>0</v>
      </c>
      <c r="P462" s="153" t="str">
        <f t="shared" si="49"/>
        <v>56</v>
      </c>
    </row>
    <row r="463" spans="1:18" ht="15" customHeight="1" x14ac:dyDescent="0.3">
      <c r="A463" s="155" t="str">
        <f t="shared" si="48"/>
        <v>957</v>
      </c>
      <c r="B463" s="183">
        <f t="shared" si="51"/>
        <v>9</v>
      </c>
      <c r="C463" s="157" t="str">
        <f t="shared" si="51"/>
        <v>Services</v>
      </c>
      <c r="D463" s="157" t="s">
        <v>571</v>
      </c>
      <c r="E463" s="169">
        <v>5</v>
      </c>
      <c r="F463" s="183" t="s">
        <v>582</v>
      </c>
      <c r="G463" s="403" t="s">
        <v>583</v>
      </c>
      <c r="H463" s="217" t="s">
        <v>164</v>
      </c>
      <c r="I463" s="171">
        <v>7</v>
      </c>
      <c r="J463" s="154" t="s">
        <v>609</v>
      </c>
      <c r="K463" s="154" t="s">
        <v>26</v>
      </c>
      <c r="L463" s="323" t="s">
        <v>848</v>
      </c>
      <c r="M463" s="154"/>
      <c r="N463" s="154"/>
      <c r="O463" s="200">
        <f>IFERROR(VLOOKUP($P463,Suppl!$B$2:$N$57,MATCH(BDD!$B463,Suppl!$C$1:$N$1,0)+1,FALSE),"")</f>
        <v>0</v>
      </c>
      <c r="P463" s="154" t="str">
        <f t="shared" si="49"/>
        <v>57</v>
      </c>
    </row>
    <row r="464" spans="1:18" ht="15" customHeight="1" x14ac:dyDescent="0.3">
      <c r="A464" s="155" t="str">
        <f t="shared" si="48"/>
        <v>1211</v>
      </c>
      <c r="B464" s="162">
        <v>12</v>
      </c>
      <c r="C464" s="153" t="s">
        <v>1085</v>
      </c>
      <c r="D464" s="153" t="s">
        <v>626</v>
      </c>
      <c r="E464" s="167">
        <v>1</v>
      </c>
      <c r="F464" s="153" t="s">
        <v>635</v>
      </c>
      <c r="G464" s="408" t="s">
        <v>893</v>
      </c>
      <c r="H464" s="185" t="s">
        <v>894</v>
      </c>
      <c r="I464" s="162">
        <v>1</v>
      </c>
      <c r="J464" s="153" t="s">
        <v>984</v>
      </c>
      <c r="K464" s="153" t="s">
        <v>22</v>
      </c>
      <c r="L464" s="247"/>
      <c r="M464" s="186" t="s">
        <v>628</v>
      </c>
      <c r="N464" s="187" t="s">
        <v>627</v>
      </c>
      <c r="O464" s="199">
        <f>IFERROR(VLOOKUP($P464,Suppl!$B$2:$N$57,MATCH(BDD!$B464,Suppl!$C$1:$N$1,0)+1,FALSE),"")</f>
        <v>0</v>
      </c>
      <c r="P464" s="153" t="str">
        <f t="shared" si="49"/>
        <v>11</v>
      </c>
      <c r="Q464" s="159"/>
      <c r="R464" s="159"/>
    </row>
    <row r="465" spans="1:18" ht="15" customHeight="1" x14ac:dyDescent="0.3">
      <c r="A465" s="155" t="str">
        <f t="shared" si="48"/>
        <v>1212</v>
      </c>
      <c r="B465" s="163">
        <f t="shared" ref="B465:C465" si="52">B464</f>
        <v>12</v>
      </c>
      <c r="C465" s="156" t="str">
        <f t="shared" si="52"/>
        <v>Budget &amp; performance</v>
      </c>
      <c r="D465" s="156" t="s">
        <v>626</v>
      </c>
      <c r="E465" s="168">
        <v>1</v>
      </c>
      <c r="F465" s="156" t="s">
        <v>635</v>
      </c>
      <c r="G465" s="406" t="s">
        <v>893</v>
      </c>
      <c r="H465" s="185" t="s">
        <v>164</v>
      </c>
      <c r="I465" s="162">
        <v>2</v>
      </c>
      <c r="J465" s="155" t="s">
        <v>895</v>
      </c>
      <c r="K465" s="153" t="s">
        <v>23</v>
      </c>
      <c r="L465" s="247"/>
      <c r="M465" s="174" t="s">
        <v>987</v>
      </c>
      <c r="N465" s="177" t="s">
        <v>632</v>
      </c>
      <c r="O465" s="199">
        <f>IFERROR(VLOOKUP($P465,Suppl!$B$2:$N$57,MATCH(BDD!$B465,Suppl!$C$1:$N$1,0)+1,FALSE),"")</f>
        <v>0</v>
      </c>
      <c r="P465" s="153" t="str">
        <f t="shared" si="49"/>
        <v>12</v>
      </c>
      <c r="R465" s="159"/>
    </row>
    <row r="466" spans="1:18" ht="15" customHeight="1" x14ac:dyDescent="0.3">
      <c r="A466" s="155" t="str">
        <f t="shared" si="48"/>
        <v>1213</v>
      </c>
      <c r="B466" s="163">
        <f t="shared" ref="B466:C466" si="53">B465</f>
        <v>12</v>
      </c>
      <c r="C466" s="156" t="str">
        <f t="shared" si="53"/>
        <v>Budget &amp; performance</v>
      </c>
      <c r="D466" s="156" t="s">
        <v>626</v>
      </c>
      <c r="E466" s="168">
        <v>1</v>
      </c>
      <c r="F466" s="156" t="s">
        <v>635</v>
      </c>
      <c r="G466" s="406" t="s">
        <v>893</v>
      </c>
      <c r="H466" s="185" t="s">
        <v>164</v>
      </c>
      <c r="I466" s="162">
        <v>3</v>
      </c>
      <c r="J466" s="153" t="s">
        <v>896</v>
      </c>
      <c r="K466" s="153" t="s">
        <v>24</v>
      </c>
      <c r="L466" s="247"/>
      <c r="M466" s="174" t="s">
        <v>629</v>
      </c>
      <c r="N466" s="177" t="s">
        <v>633</v>
      </c>
      <c r="O466" s="199">
        <f>IFERROR(VLOOKUP($P466,Suppl!$B$2:$N$57,MATCH(BDD!$B466,Suppl!$C$1:$N$1,0)+1,FALSE),"")</f>
        <v>0</v>
      </c>
      <c r="P466" s="153" t="str">
        <f t="shared" si="49"/>
        <v>13</v>
      </c>
    </row>
    <row r="467" spans="1:18" ht="15" customHeight="1" x14ac:dyDescent="0.3">
      <c r="A467" s="155" t="str">
        <f t="shared" si="48"/>
        <v>1214</v>
      </c>
      <c r="B467" s="163">
        <f t="shared" ref="B467:C467" si="54">B466</f>
        <v>12</v>
      </c>
      <c r="C467" s="156" t="str">
        <f t="shared" si="54"/>
        <v>Budget &amp; performance</v>
      </c>
      <c r="D467" s="156" t="s">
        <v>626</v>
      </c>
      <c r="E467" s="168">
        <v>1</v>
      </c>
      <c r="F467" s="156" t="s">
        <v>635</v>
      </c>
      <c r="G467" s="406" t="s">
        <v>893</v>
      </c>
      <c r="H467" s="185" t="s">
        <v>164</v>
      </c>
      <c r="I467" s="162">
        <v>4</v>
      </c>
      <c r="J467" s="153" t="s">
        <v>897</v>
      </c>
      <c r="K467" s="153" t="s">
        <v>24</v>
      </c>
      <c r="L467" s="247"/>
      <c r="M467" s="174" t="s">
        <v>630</v>
      </c>
      <c r="N467" s="177" t="s">
        <v>634</v>
      </c>
      <c r="O467" s="199">
        <f>IFERROR(VLOOKUP($P467,Suppl!$B$2:$N$57,MATCH(BDD!$B467,Suppl!$C$1:$N$1,0)+1,FALSE),"")</f>
        <v>0</v>
      </c>
      <c r="P467" s="153" t="str">
        <f t="shared" si="49"/>
        <v>14</v>
      </c>
    </row>
    <row r="468" spans="1:18" ht="15" customHeight="1" x14ac:dyDescent="0.3">
      <c r="A468" s="155" t="str">
        <f t="shared" si="48"/>
        <v>1215</v>
      </c>
      <c r="B468" s="163">
        <f t="shared" ref="B468:C468" si="55">B467</f>
        <v>12</v>
      </c>
      <c r="C468" s="156" t="str">
        <f t="shared" si="55"/>
        <v>Budget &amp; performance</v>
      </c>
      <c r="D468" s="156" t="s">
        <v>626</v>
      </c>
      <c r="E468" s="168">
        <v>1</v>
      </c>
      <c r="F468" s="156" t="s">
        <v>635</v>
      </c>
      <c r="G468" s="406" t="s">
        <v>893</v>
      </c>
      <c r="H468" s="185" t="s">
        <v>164</v>
      </c>
      <c r="I468" s="162">
        <v>5</v>
      </c>
      <c r="J468" s="153" t="s">
        <v>898</v>
      </c>
      <c r="K468" s="153" t="s">
        <v>25</v>
      </c>
      <c r="L468" s="247"/>
      <c r="M468" s="174" t="s">
        <v>631</v>
      </c>
      <c r="N468" s="177"/>
      <c r="O468" s="199">
        <f>IFERROR(VLOOKUP($P468,Suppl!$B$2:$N$57,MATCH(BDD!$B468,Suppl!$C$1:$N$1,0)+1,FALSE),"")</f>
        <v>0</v>
      </c>
      <c r="P468" s="153" t="str">
        <f t="shared" si="49"/>
        <v>15</v>
      </c>
    </row>
    <row r="469" spans="1:18" ht="15" customHeight="1" x14ac:dyDescent="0.3">
      <c r="A469" s="155" t="str">
        <f t="shared" si="48"/>
        <v>1216</v>
      </c>
      <c r="B469" s="163">
        <f t="shared" ref="B469:C471" si="56">B468</f>
        <v>12</v>
      </c>
      <c r="C469" s="156" t="str">
        <f t="shared" si="56"/>
        <v>Budget &amp; performance</v>
      </c>
      <c r="D469" s="156" t="s">
        <v>626</v>
      </c>
      <c r="E469" s="168">
        <v>1</v>
      </c>
      <c r="F469" s="156" t="s">
        <v>635</v>
      </c>
      <c r="G469" s="406" t="s">
        <v>893</v>
      </c>
      <c r="H469" s="185" t="s">
        <v>164</v>
      </c>
      <c r="I469" s="162">
        <v>6</v>
      </c>
      <c r="J469" s="153" t="s">
        <v>899</v>
      </c>
      <c r="K469" s="153" t="s">
        <v>26</v>
      </c>
      <c r="L469" s="247"/>
      <c r="M469" s="174"/>
      <c r="N469" s="177"/>
      <c r="O469" s="199">
        <f>IFERROR(VLOOKUP($P469,Suppl!$B$2:$N$57,MATCH(BDD!$B469,Suppl!$C$1:$N$1,0)+1,FALSE),"")</f>
        <v>0</v>
      </c>
      <c r="P469" s="153" t="str">
        <f t="shared" si="49"/>
        <v>16</v>
      </c>
    </row>
    <row r="470" spans="1:18" ht="15" customHeight="1" x14ac:dyDescent="0.3">
      <c r="A470" s="155" t="str">
        <f t="shared" si="48"/>
        <v>1217</v>
      </c>
      <c r="B470" s="163">
        <f t="shared" si="56"/>
        <v>12</v>
      </c>
      <c r="C470" s="156" t="str">
        <f t="shared" si="56"/>
        <v>Budget &amp; performance</v>
      </c>
      <c r="D470" s="156" t="s">
        <v>626</v>
      </c>
      <c r="E470" s="168">
        <v>1</v>
      </c>
      <c r="F470" s="156" t="s">
        <v>635</v>
      </c>
      <c r="G470" s="406" t="s">
        <v>893</v>
      </c>
      <c r="H470" s="185" t="s">
        <v>164</v>
      </c>
      <c r="I470" s="162">
        <v>7</v>
      </c>
      <c r="J470" s="153" t="s">
        <v>900</v>
      </c>
      <c r="K470" s="153" t="s">
        <v>22</v>
      </c>
      <c r="L470" s="247"/>
      <c r="M470" s="174"/>
      <c r="N470" s="177"/>
      <c r="O470" s="199">
        <f>IFERROR(VLOOKUP($P470,Suppl!$B$2:$N$57,MATCH(BDD!$B470,Suppl!$C$1:$N$1,0)+1,FALSE),"")</f>
        <v>0</v>
      </c>
      <c r="P470" s="153" t="str">
        <f t="shared" ref="P470" si="57">E470&amp;I470</f>
        <v>17</v>
      </c>
    </row>
    <row r="471" spans="1:18" ht="15" customHeight="1" x14ac:dyDescent="0.3">
      <c r="A471" s="257" t="str">
        <f t="shared" si="48"/>
        <v>1218</v>
      </c>
      <c r="B471" s="164">
        <f t="shared" si="56"/>
        <v>12</v>
      </c>
      <c r="C471" s="157" t="str">
        <f t="shared" si="56"/>
        <v>Budget &amp; performance</v>
      </c>
      <c r="D471" s="157" t="s">
        <v>626</v>
      </c>
      <c r="E471" s="169">
        <v>1</v>
      </c>
      <c r="F471" s="157" t="s">
        <v>635</v>
      </c>
      <c r="G471" s="407" t="s">
        <v>893</v>
      </c>
      <c r="H471" s="258" t="s">
        <v>164</v>
      </c>
      <c r="I471" s="171">
        <v>8</v>
      </c>
      <c r="J471" s="154" t="s">
        <v>901</v>
      </c>
      <c r="K471" s="154" t="s">
        <v>23</v>
      </c>
      <c r="L471" s="323"/>
      <c r="M471" s="175"/>
      <c r="N471" s="178"/>
      <c r="O471" s="350">
        <f>IFERROR(VLOOKUP($P471,Suppl!$B$2:$N$57,MATCH(BDD!$B471,Suppl!$C$1:$N$1,0)+1,FALSE),"")</f>
        <v>0</v>
      </c>
      <c r="P471" s="350" t="s">
        <v>1000</v>
      </c>
      <c r="Q471" s="352" t="s">
        <v>1006</v>
      </c>
    </row>
    <row r="472" spans="1:18" ht="15" customHeight="1" x14ac:dyDescent="0.3">
      <c r="A472" s="155" t="str">
        <f t="shared" ref="A472:A529" si="58">B472&amp;E472&amp;I472</f>
        <v>1221</v>
      </c>
      <c r="B472" s="163">
        <f t="shared" ref="B472:C473" si="59">B471</f>
        <v>12</v>
      </c>
      <c r="C472" s="156" t="str">
        <f t="shared" si="59"/>
        <v>Budget &amp; performance</v>
      </c>
      <c r="D472" s="156" t="s">
        <v>626</v>
      </c>
      <c r="E472" s="167">
        <v>2</v>
      </c>
      <c r="F472" s="180" t="s">
        <v>110</v>
      </c>
      <c r="G472" s="409" t="s">
        <v>902</v>
      </c>
      <c r="H472" s="185" t="s">
        <v>1084</v>
      </c>
      <c r="I472" s="162">
        <v>1</v>
      </c>
      <c r="J472" s="153" t="s">
        <v>903</v>
      </c>
      <c r="K472" s="153" t="s">
        <v>22</v>
      </c>
      <c r="L472" s="247" t="s">
        <v>983</v>
      </c>
      <c r="M472" s="153"/>
      <c r="N472" s="153"/>
      <c r="O472" s="351">
        <f>IFERROR(VLOOKUP($P472,Suppl!$B$2:$N$57,MATCH(BDD!$B472,Suppl!$C$1:$N$1,0)+1,FALSE),"")</f>
        <v>0</v>
      </c>
      <c r="P472" s="351" t="s">
        <v>1001</v>
      </c>
      <c r="Q472" s="159"/>
      <c r="R472" s="159"/>
    </row>
    <row r="473" spans="1:18" ht="15" customHeight="1" x14ac:dyDescent="0.3">
      <c r="A473" s="155" t="str">
        <f t="shared" si="58"/>
        <v>1222</v>
      </c>
      <c r="B473" s="163">
        <f t="shared" si="59"/>
        <v>12</v>
      </c>
      <c r="C473" s="156" t="str">
        <f t="shared" si="59"/>
        <v>Budget &amp; performance</v>
      </c>
      <c r="D473" s="156" t="s">
        <v>626</v>
      </c>
      <c r="E473" s="168">
        <v>2</v>
      </c>
      <c r="F473" s="156" t="s">
        <v>110</v>
      </c>
      <c r="G473" s="406" t="s">
        <v>902</v>
      </c>
      <c r="H473" s="185" t="s">
        <v>164</v>
      </c>
      <c r="I473" s="162">
        <v>2</v>
      </c>
      <c r="J473" s="153" t="s">
        <v>904</v>
      </c>
      <c r="K473" s="153" t="s">
        <v>23</v>
      </c>
      <c r="L473" s="247" t="s">
        <v>982</v>
      </c>
      <c r="M473" s="153"/>
      <c r="N473" s="153"/>
      <c r="O473" s="199">
        <f>IFERROR(VLOOKUP($P473,Suppl!$B$2:$N$57,MATCH(BDD!$B473,Suppl!$C$1:$N$1,0)+1,FALSE),"")</f>
        <v>0</v>
      </c>
      <c r="P473" s="153" t="s">
        <v>1002</v>
      </c>
    </row>
    <row r="474" spans="1:18" ht="15" customHeight="1" x14ac:dyDescent="0.3">
      <c r="A474" s="155" t="str">
        <f t="shared" si="58"/>
        <v>1223</v>
      </c>
      <c r="B474" s="163">
        <f t="shared" ref="B474:C474" si="60">B473</f>
        <v>12</v>
      </c>
      <c r="C474" s="156" t="str">
        <f t="shared" si="60"/>
        <v>Budget &amp; performance</v>
      </c>
      <c r="D474" s="156" t="s">
        <v>626</v>
      </c>
      <c r="E474" s="168">
        <v>2</v>
      </c>
      <c r="F474" s="156" t="s">
        <v>110</v>
      </c>
      <c r="G474" s="406" t="s">
        <v>902</v>
      </c>
      <c r="H474" s="185" t="s">
        <v>164</v>
      </c>
      <c r="I474" s="162">
        <v>3</v>
      </c>
      <c r="J474" s="153" t="s">
        <v>905</v>
      </c>
      <c r="K474" s="153" t="s">
        <v>23</v>
      </c>
      <c r="L474" s="247" t="s">
        <v>906</v>
      </c>
      <c r="M474" s="153"/>
      <c r="N474" s="153"/>
      <c r="O474" s="199">
        <f>IFERROR(VLOOKUP($P474,Suppl!$B$2:$N$57,MATCH(BDD!$B474,Suppl!$C$1:$N$1,0)+1,FALSE),"")</f>
        <v>0</v>
      </c>
      <c r="P474" s="153" t="s">
        <v>1003</v>
      </c>
    </row>
    <row r="475" spans="1:18" ht="15" customHeight="1" x14ac:dyDescent="0.3">
      <c r="A475" s="155" t="str">
        <f t="shared" si="58"/>
        <v>1224</v>
      </c>
      <c r="B475" s="163">
        <f t="shared" ref="B475:C475" si="61">B474</f>
        <v>12</v>
      </c>
      <c r="C475" s="156" t="str">
        <f t="shared" si="61"/>
        <v>Budget &amp; performance</v>
      </c>
      <c r="D475" s="156" t="s">
        <v>626</v>
      </c>
      <c r="E475" s="168">
        <v>2</v>
      </c>
      <c r="F475" s="156" t="s">
        <v>110</v>
      </c>
      <c r="G475" s="406" t="s">
        <v>902</v>
      </c>
      <c r="H475" s="185" t="s">
        <v>164</v>
      </c>
      <c r="I475" s="162">
        <v>4</v>
      </c>
      <c r="J475" s="153" t="s">
        <v>907</v>
      </c>
      <c r="K475" s="153" t="s">
        <v>25</v>
      </c>
      <c r="L475" s="247" t="s">
        <v>908</v>
      </c>
      <c r="M475" s="153"/>
      <c r="N475" s="153"/>
      <c r="O475" s="199">
        <f>IFERROR(VLOOKUP($P475,Suppl!$B$2:$N$57,MATCH(BDD!$B475,Suppl!$C$1:$N$1,0)+1,FALSE),"")</f>
        <v>0</v>
      </c>
      <c r="P475" s="153" t="s">
        <v>1004</v>
      </c>
    </row>
    <row r="476" spans="1:18" ht="15" customHeight="1" x14ac:dyDescent="0.3">
      <c r="A476" s="155" t="str">
        <f t="shared" si="58"/>
        <v>1225</v>
      </c>
      <c r="B476" s="163">
        <f t="shared" ref="B476:C476" si="62">B475</f>
        <v>12</v>
      </c>
      <c r="C476" s="156" t="str">
        <f t="shared" si="62"/>
        <v>Budget &amp; performance</v>
      </c>
      <c r="D476" s="156" t="s">
        <v>626</v>
      </c>
      <c r="E476" s="168">
        <v>2</v>
      </c>
      <c r="F476" s="156" t="s">
        <v>110</v>
      </c>
      <c r="G476" s="406" t="s">
        <v>902</v>
      </c>
      <c r="H476" s="185" t="s">
        <v>164</v>
      </c>
      <c r="I476" s="162">
        <v>5</v>
      </c>
      <c r="J476" s="153" t="s">
        <v>909</v>
      </c>
      <c r="K476" s="153" t="s">
        <v>26</v>
      </c>
      <c r="L476" s="247" t="s">
        <v>1025</v>
      </c>
      <c r="M476" s="153"/>
      <c r="N476" s="153"/>
      <c r="O476" s="199">
        <f>IFERROR(VLOOKUP($P476,Suppl!$B$2:$N$57,MATCH(BDD!$B476,Suppl!$C$1:$N$1,0)+1,FALSE),"")</f>
        <v>0</v>
      </c>
      <c r="P476" s="153" t="s">
        <v>1005</v>
      </c>
    </row>
    <row r="477" spans="1:18" ht="15" customHeight="1" x14ac:dyDescent="0.3">
      <c r="A477" s="155" t="str">
        <f t="shared" si="58"/>
        <v>1226</v>
      </c>
      <c r="B477" s="163">
        <f t="shared" ref="B477:C477" si="63">B476</f>
        <v>12</v>
      </c>
      <c r="C477" s="156" t="str">
        <f t="shared" si="63"/>
        <v>Budget &amp; performance</v>
      </c>
      <c r="D477" s="156" t="s">
        <v>626</v>
      </c>
      <c r="E477" s="168">
        <v>2</v>
      </c>
      <c r="F477" s="156" t="s">
        <v>110</v>
      </c>
      <c r="G477" s="406" t="s">
        <v>902</v>
      </c>
      <c r="H477" s="185" t="s">
        <v>164</v>
      </c>
      <c r="I477" s="162">
        <v>6</v>
      </c>
      <c r="J477" s="153"/>
      <c r="K477" s="153"/>
      <c r="L477" s="247"/>
      <c r="M477" s="153"/>
      <c r="N477" s="153"/>
      <c r="O477" s="199" t="str">
        <f>IFERROR(VLOOKUP($P477,Suppl!$B$2:$N$57,MATCH(BDD!$B477,Suppl!$C$1:$N$1,0)+1,FALSE),"")</f>
        <v/>
      </c>
      <c r="P477" s="153"/>
    </row>
    <row r="478" spans="1:18" ht="15" customHeight="1" x14ac:dyDescent="0.3">
      <c r="A478" s="155" t="str">
        <f t="shared" si="58"/>
        <v>1227</v>
      </c>
      <c r="B478" s="164">
        <f t="shared" ref="B478:C478" si="64">B477</f>
        <v>12</v>
      </c>
      <c r="C478" s="157" t="str">
        <f t="shared" si="64"/>
        <v>Budget &amp; performance</v>
      </c>
      <c r="D478" s="157" t="s">
        <v>626</v>
      </c>
      <c r="E478" s="169">
        <v>2</v>
      </c>
      <c r="F478" s="157" t="s">
        <v>110</v>
      </c>
      <c r="G478" s="407" t="s">
        <v>902</v>
      </c>
      <c r="H478" s="185" t="s">
        <v>164</v>
      </c>
      <c r="I478" s="171">
        <v>7</v>
      </c>
      <c r="J478" s="154"/>
      <c r="K478" s="154"/>
      <c r="L478" s="323"/>
      <c r="M478" s="154"/>
      <c r="N478" s="154"/>
      <c r="O478" s="200" t="str">
        <f>IFERROR(VLOOKUP($P478,Suppl!$B$2:$N$57,MATCH(BDD!$B478,Suppl!$C$1:$N$1,0)+1,FALSE),"")</f>
        <v/>
      </c>
      <c r="P478" s="153"/>
    </row>
    <row r="479" spans="1:18" ht="15" customHeight="1" x14ac:dyDescent="0.3">
      <c r="A479" s="155" t="str">
        <f t="shared" si="58"/>
        <v>1231</v>
      </c>
      <c r="B479" s="163">
        <f t="shared" ref="B479:C480" si="65">B478</f>
        <v>12</v>
      </c>
      <c r="C479" s="156" t="str">
        <f t="shared" si="65"/>
        <v>Budget &amp; performance</v>
      </c>
      <c r="D479" s="156" t="s">
        <v>626</v>
      </c>
      <c r="E479" s="167">
        <v>3</v>
      </c>
      <c r="F479" s="180" t="s">
        <v>636</v>
      </c>
      <c r="G479" s="409" t="s">
        <v>910</v>
      </c>
      <c r="I479" s="162">
        <v>1</v>
      </c>
      <c r="J479" s="153" t="s">
        <v>911</v>
      </c>
      <c r="K479" s="153" t="s">
        <v>22</v>
      </c>
      <c r="L479" s="247"/>
      <c r="M479" s="153"/>
      <c r="N479" s="153"/>
      <c r="O479" s="199">
        <f>IFERROR(VLOOKUP($P479,Suppl!$B$2:$N$57,MATCH(BDD!$B479,Suppl!$C$1:$N$1,0)+1,FALSE),"")</f>
        <v>0</v>
      </c>
      <c r="P479" s="153" t="str">
        <f t="shared" ref="P479:P527" si="66">E479&amp;I479</f>
        <v>31</v>
      </c>
    </row>
    <row r="480" spans="1:18" ht="15" customHeight="1" x14ac:dyDescent="0.3">
      <c r="A480" s="155" t="str">
        <f t="shared" si="58"/>
        <v>1232</v>
      </c>
      <c r="B480" s="163">
        <f t="shared" si="65"/>
        <v>12</v>
      </c>
      <c r="C480" s="156" t="str">
        <f t="shared" si="65"/>
        <v>Budget &amp; performance</v>
      </c>
      <c r="D480" s="156" t="s">
        <v>626</v>
      </c>
      <c r="E480" s="168">
        <v>3</v>
      </c>
      <c r="F480" s="156" t="s">
        <v>636</v>
      </c>
      <c r="G480" s="406" t="s">
        <v>910</v>
      </c>
      <c r="H480" s="185" t="s">
        <v>164</v>
      </c>
      <c r="I480" s="162">
        <v>2</v>
      </c>
      <c r="J480" s="153" t="s">
        <v>912</v>
      </c>
      <c r="K480" s="153" t="s">
        <v>22</v>
      </c>
      <c r="L480" s="247"/>
      <c r="M480" s="153"/>
      <c r="N480" s="153"/>
      <c r="O480" s="199">
        <f>IFERROR(VLOOKUP($P480,Suppl!$B$2:$N$57,MATCH(BDD!$B480,Suppl!$C$1:$N$1,0)+1,FALSE),"")</f>
        <v>0</v>
      </c>
      <c r="P480" s="153" t="str">
        <f t="shared" si="66"/>
        <v>32</v>
      </c>
    </row>
    <row r="481" spans="1:16" ht="15" customHeight="1" x14ac:dyDescent="0.3">
      <c r="A481" s="155" t="str">
        <f t="shared" si="58"/>
        <v>1233</v>
      </c>
      <c r="B481" s="163">
        <f t="shared" ref="B481:C481" si="67">B480</f>
        <v>12</v>
      </c>
      <c r="C481" s="156" t="str">
        <f t="shared" si="67"/>
        <v>Budget &amp; performance</v>
      </c>
      <c r="D481" s="156" t="s">
        <v>626</v>
      </c>
      <c r="E481" s="168">
        <v>3</v>
      </c>
      <c r="F481" s="156" t="s">
        <v>636</v>
      </c>
      <c r="G481" s="406" t="s">
        <v>910</v>
      </c>
      <c r="H481" s="185" t="s">
        <v>164</v>
      </c>
      <c r="I481" s="162">
        <v>3</v>
      </c>
      <c r="J481" s="153" t="s">
        <v>913</v>
      </c>
      <c r="K481" s="153" t="s">
        <v>25</v>
      </c>
      <c r="L481" s="247" t="s">
        <v>914</v>
      </c>
      <c r="M481" s="153"/>
      <c r="N481" s="153"/>
      <c r="O481" s="199">
        <f>IFERROR(VLOOKUP($P481,Suppl!$B$2:$N$57,MATCH(BDD!$B481,Suppl!$C$1:$N$1,0)+1,FALSE),"")</f>
        <v>0</v>
      </c>
      <c r="P481" s="153" t="str">
        <f t="shared" si="66"/>
        <v>33</v>
      </c>
    </row>
    <row r="482" spans="1:16" ht="15" customHeight="1" x14ac:dyDescent="0.3">
      <c r="A482" s="155" t="str">
        <f t="shared" si="58"/>
        <v>1234</v>
      </c>
      <c r="B482" s="163">
        <f t="shared" ref="B482:C482" si="68">B481</f>
        <v>12</v>
      </c>
      <c r="C482" s="156" t="str">
        <f t="shared" si="68"/>
        <v>Budget &amp; performance</v>
      </c>
      <c r="D482" s="156" t="s">
        <v>626</v>
      </c>
      <c r="E482" s="168">
        <v>3</v>
      </c>
      <c r="F482" s="156" t="s">
        <v>636</v>
      </c>
      <c r="G482" s="406" t="s">
        <v>910</v>
      </c>
      <c r="H482" s="185" t="s">
        <v>164</v>
      </c>
      <c r="I482" s="162">
        <v>4</v>
      </c>
      <c r="J482" s="153" t="s">
        <v>915</v>
      </c>
      <c r="K482" s="153" t="s">
        <v>22</v>
      </c>
      <c r="L482" s="247"/>
      <c r="M482" s="153"/>
      <c r="N482" s="153"/>
      <c r="O482" s="199">
        <f>IFERROR(VLOOKUP($P482,Suppl!$B$2:$N$57,MATCH(BDD!$B482,Suppl!$C$1:$N$1,0)+1,FALSE),"")</f>
        <v>0</v>
      </c>
      <c r="P482" s="153" t="str">
        <f t="shared" si="66"/>
        <v>34</v>
      </c>
    </row>
    <row r="483" spans="1:16" ht="15" customHeight="1" x14ac:dyDescent="0.3">
      <c r="A483" s="155" t="str">
        <f t="shared" si="58"/>
        <v>1235</v>
      </c>
      <c r="B483" s="163">
        <f t="shared" ref="B483:C483" si="69">B482</f>
        <v>12</v>
      </c>
      <c r="C483" s="156" t="str">
        <f t="shared" si="69"/>
        <v>Budget &amp; performance</v>
      </c>
      <c r="D483" s="156" t="s">
        <v>626</v>
      </c>
      <c r="E483" s="168">
        <v>3</v>
      </c>
      <c r="F483" s="156" t="s">
        <v>636</v>
      </c>
      <c r="G483" s="406" t="s">
        <v>910</v>
      </c>
      <c r="H483" s="185" t="s">
        <v>164</v>
      </c>
      <c r="I483" s="162">
        <v>5</v>
      </c>
      <c r="J483" s="153" t="s">
        <v>916</v>
      </c>
      <c r="K483" s="153" t="s">
        <v>23</v>
      </c>
      <c r="L483" s="247" t="s">
        <v>1026</v>
      </c>
      <c r="M483" s="153"/>
      <c r="N483" s="153"/>
      <c r="O483" s="199">
        <f>IFERROR(VLOOKUP($P483,Suppl!$B$2:$N$57,MATCH(BDD!$B483,Suppl!$C$1:$N$1,0)+1,FALSE),"")</f>
        <v>0</v>
      </c>
      <c r="P483" s="153" t="str">
        <f t="shared" si="66"/>
        <v>35</v>
      </c>
    </row>
    <row r="484" spans="1:16" ht="15" customHeight="1" x14ac:dyDescent="0.3">
      <c r="A484" s="155" t="str">
        <f t="shared" si="58"/>
        <v>1236</v>
      </c>
      <c r="B484" s="163">
        <f t="shared" ref="B484:C484" si="70">B483</f>
        <v>12</v>
      </c>
      <c r="C484" s="156" t="str">
        <f t="shared" si="70"/>
        <v>Budget &amp; performance</v>
      </c>
      <c r="D484" s="156" t="s">
        <v>626</v>
      </c>
      <c r="E484" s="168">
        <v>3</v>
      </c>
      <c r="F484" s="156" t="s">
        <v>636</v>
      </c>
      <c r="G484" s="406" t="s">
        <v>910</v>
      </c>
      <c r="H484" s="185" t="s">
        <v>164</v>
      </c>
      <c r="I484" s="162">
        <v>6</v>
      </c>
      <c r="J484" s="153" t="s">
        <v>917</v>
      </c>
      <c r="K484" s="153" t="s">
        <v>22</v>
      </c>
      <c r="L484" s="247"/>
      <c r="M484" s="153"/>
      <c r="N484" s="153"/>
      <c r="O484" s="199">
        <f>IFERROR(VLOOKUP($P484,Suppl!$B$2:$N$57,MATCH(BDD!$B484,Suppl!$C$1:$N$1,0)+1,FALSE),"")</f>
        <v>0</v>
      </c>
      <c r="P484" s="153" t="str">
        <f t="shared" si="66"/>
        <v>36</v>
      </c>
    </row>
    <row r="485" spans="1:16" ht="15" customHeight="1" x14ac:dyDescent="0.3">
      <c r="A485" s="155" t="str">
        <f t="shared" si="58"/>
        <v>1237</v>
      </c>
      <c r="B485" s="164">
        <f t="shared" ref="B485:C485" si="71">B484</f>
        <v>12</v>
      </c>
      <c r="C485" s="157" t="str">
        <f t="shared" si="71"/>
        <v>Budget &amp; performance</v>
      </c>
      <c r="D485" s="157" t="s">
        <v>626</v>
      </c>
      <c r="E485" s="169">
        <v>3</v>
      </c>
      <c r="F485" s="157" t="s">
        <v>636</v>
      </c>
      <c r="G485" s="407" t="s">
        <v>910</v>
      </c>
      <c r="H485" s="185" t="s">
        <v>164</v>
      </c>
      <c r="I485" s="171">
        <v>7</v>
      </c>
      <c r="J485" s="154" t="s">
        <v>918</v>
      </c>
      <c r="K485" s="154" t="s">
        <v>23</v>
      </c>
      <c r="L485" s="323" t="s">
        <v>1027</v>
      </c>
      <c r="M485" s="154"/>
      <c r="N485" s="154"/>
      <c r="O485" s="200">
        <f>IFERROR(VLOOKUP($P485,Suppl!$B$2:$N$57,MATCH(BDD!$B485,Suppl!$C$1:$N$1,0)+1,FALSE),"")</f>
        <v>0</v>
      </c>
      <c r="P485" s="154" t="str">
        <f t="shared" si="66"/>
        <v>37</v>
      </c>
    </row>
    <row r="486" spans="1:16" ht="15" customHeight="1" x14ac:dyDescent="0.3">
      <c r="A486" s="155" t="str">
        <f t="shared" si="58"/>
        <v>1241</v>
      </c>
      <c r="B486" s="163">
        <f t="shared" ref="B486:C487" si="72">B485</f>
        <v>12</v>
      </c>
      <c r="C486" s="156" t="str">
        <f t="shared" si="72"/>
        <v>Budget &amp; performance</v>
      </c>
      <c r="D486" s="156" t="s">
        <v>626</v>
      </c>
      <c r="E486" s="167">
        <v>4</v>
      </c>
      <c r="F486" s="180" t="s">
        <v>637</v>
      </c>
      <c r="G486" s="409" t="s">
        <v>919</v>
      </c>
      <c r="H486" s="185" t="s">
        <v>164</v>
      </c>
      <c r="I486" s="162">
        <v>1</v>
      </c>
      <c r="J486" s="153" t="s">
        <v>920</v>
      </c>
      <c r="K486" s="153" t="s">
        <v>23</v>
      </c>
      <c r="L486" s="247" t="s">
        <v>1028</v>
      </c>
      <c r="M486" s="153"/>
      <c r="N486" s="153"/>
      <c r="O486" s="199">
        <f>IFERROR(VLOOKUP($P486,Suppl!$B$2:$N$57,MATCH(BDD!$B486,Suppl!$C$1:$N$1,0)+1,FALSE),"")</f>
        <v>0</v>
      </c>
      <c r="P486" s="153" t="str">
        <f t="shared" si="66"/>
        <v>41</v>
      </c>
    </row>
    <row r="487" spans="1:16" ht="15" customHeight="1" x14ac:dyDescent="0.3">
      <c r="A487" s="155" t="str">
        <f t="shared" si="58"/>
        <v>1242</v>
      </c>
      <c r="B487" s="163">
        <f t="shared" si="72"/>
        <v>12</v>
      </c>
      <c r="C487" s="156" t="str">
        <f t="shared" si="72"/>
        <v>Budget &amp; performance</v>
      </c>
      <c r="D487" s="156" t="s">
        <v>626</v>
      </c>
      <c r="E487" s="168">
        <v>4</v>
      </c>
      <c r="F487" s="156" t="s">
        <v>637</v>
      </c>
      <c r="G487" s="406" t="s">
        <v>919</v>
      </c>
      <c r="H487" s="185" t="s">
        <v>164</v>
      </c>
      <c r="I487" s="162">
        <v>2</v>
      </c>
      <c r="J487" s="153" t="s">
        <v>921</v>
      </c>
      <c r="K487" s="153" t="s">
        <v>24</v>
      </c>
      <c r="L487" s="247" t="s">
        <v>1029</v>
      </c>
      <c r="M487" s="153"/>
      <c r="N487" s="153"/>
      <c r="O487" s="199">
        <f>IFERROR(VLOOKUP($P487,Suppl!$B$2:$N$57,MATCH(BDD!$B487,Suppl!$C$1:$N$1,0)+1,FALSE),"")</f>
        <v>0</v>
      </c>
      <c r="P487" s="153" t="str">
        <f t="shared" si="66"/>
        <v>42</v>
      </c>
    </row>
    <row r="488" spans="1:16" ht="15" customHeight="1" x14ac:dyDescent="0.3">
      <c r="A488" s="155" t="str">
        <f t="shared" si="58"/>
        <v>1243</v>
      </c>
      <c r="B488" s="163">
        <f t="shared" ref="B488:C488" si="73">B487</f>
        <v>12</v>
      </c>
      <c r="C488" s="156" t="str">
        <f t="shared" si="73"/>
        <v>Budget &amp; performance</v>
      </c>
      <c r="D488" s="156" t="s">
        <v>626</v>
      </c>
      <c r="E488" s="168">
        <v>4</v>
      </c>
      <c r="F488" s="156" t="s">
        <v>637</v>
      </c>
      <c r="G488" s="406" t="s">
        <v>919</v>
      </c>
      <c r="H488" s="185" t="s">
        <v>164</v>
      </c>
      <c r="I488" s="162">
        <v>3</v>
      </c>
      <c r="J488" s="153" t="s">
        <v>922</v>
      </c>
      <c r="K488" s="153" t="s">
        <v>25</v>
      </c>
      <c r="L488" s="247" t="s">
        <v>1120</v>
      </c>
      <c r="M488" s="153"/>
      <c r="N488" s="153"/>
      <c r="O488" s="199">
        <f>IFERROR(VLOOKUP($P488,Suppl!$B$2:$N$57,MATCH(BDD!$B488,Suppl!$C$1:$N$1,0)+1,FALSE),"")</f>
        <v>0</v>
      </c>
      <c r="P488" s="153" t="str">
        <f t="shared" si="66"/>
        <v>43</v>
      </c>
    </row>
    <row r="489" spans="1:16" ht="15" customHeight="1" x14ac:dyDescent="0.3">
      <c r="A489" s="155" t="str">
        <f t="shared" si="58"/>
        <v>1244</v>
      </c>
      <c r="B489" s="163">
        <f t="shared" ref="B489:C489" si="74">B488</f>
        <v>12</v>
      </c>
      <c r="C489" s="156" t="str">
        <f t="shared" si="74"/>
        <v>Budget &amp; performance</v>
      </c>
      <c r="D489" s="156" t="s">
        <v>626</v>
      </c>
      <c r="E489" s="168">
        <v>4</v>
      </c>
      <c r="F489" s="156" t="s">
        <v>637</v>
      </c>
      <c r="G489" s="406" t="s">
        <v>919</v>
      </c>
      <c r="H489" s="185" t="s">
        <v>164</v>
      </c>
      <c r="I489" s="162">
        <v>4</v>
      </c>
      <c r="J489" s="153" t="s">
        <v>923</v>
      </c>
      <c r="K489" s="153" t="s">
        <v>25</v>
      </c>
      <c r="L489" s="247" t="s">
        <v>924</v>
      </c>
      <c r="M489" s="153"/>
      <c r="N489" s="153"/>
      <c r="O489" s="199">
        <f>IFERROR(VLOOKUP($P489,Suppl!$B$2:$N$57,MATCH(BDD!$B489,Suppl!$C$1:$N$1,0)+1,FALSE),"")</f>
        <v>0</v>
      </c>
      <c r="P489" s="153" t="str">
        <f t="shared" si="66"/>
        <v>44</v>
      </c>
    </row>
    <row r="490" spans="1:16" ht="15" customHeight="1" x14ac:dyDescent="0.3">
      <c r="A490" s="155" t="str">
        <f t="shared" si="58"/>
        <v>1245</v>
      </c>
      <c r="B490" s="163">
        <f t="shared" ref="B490:C490" si="75">B489</f>
        <v>12</v>
      </c>
      <c r="C490" s="156" t="str">
        <f t="shared" si="75"/>
        <v>Budget &amp; performance</v>
      </c>
      <c r="D490" s="156" t="s">
        <v>626</v>
      </c>
      <c r="E490" s="168">
        <v>4</v>
      </c>
      <c r="F490" s="156" t="s">
        <v>637</v>
      </c>
      <c r="G490" s="406" t="s">
        <v>919</v>
      </c>
      <c r="H490" s="185" t="s">
        <v>164</v>
      </c>
      <c r="I490" s="162">
        <v>5</v>
      </c>
      <c r="J490" s="153" t="s">
        <v>925</v>
      </c>
      <c r="K490" s="153" t="s">
        <v>26</v>
      </c>
      <c r="L490" s="247"/>
      <c r="M490" s="153"/>
      <c r="N490" s="153"/>
      <c r="O490" s="199">
        <f>IFERROR(VLOOKUP($P490,Suppl!$B$2:$N$57,MATCH(BDD!$B490,Suppl!$C$1:$N$1,0)+1,FALSE),"")</f>
        <v>0</v>
      </c>
      <c r="P490" s="153" t="str">
        <f t="shared" si="66"/>
        <v>45</v>
      </c>
    </row>
    <row r="491" spans="1:16" ht="15" customHeight="1" x14ac:dyDescent="0.3">
      <c r="A491" s="155" t="str">
        <f t="shared" si="58"/>
        <v>1246</v>
      </c>
      <c r="B491" s="163">
        <f t="shared" ref="B491:C491" si="76">B490</f>
        <v>12</v>
      </c>
      <c r="C491" s="156" t="str">
        <f t="shared" si="76"/>
        <v>Budget &amp; performance</v>
      </c>
      <c r="D491" s="156" t="s">
        <v>626</v>
      </c>
      <c r="E491" s="168">
        <v>4</v>
      </c>
      <c r="F491" s="156" t="s">
        <v>637</v>
      </c>
      <c r="G491" s="406" t="s">
        <v>919</v>
      </c>
      <c r="H491" s="185" t="s">
        <v>164</v>
      </c>
      <c r="I491" s="162">
        <v>6</v>
      </c>
      <c r="J491" s="153"/>
      <c r="K491" s="153"/>
      <c r="L491" s="247"/>
      <c r="M491" s="153"/>
      <c r="N491" s="153"/>
      <c r="O491" s="199">
        <f>IFERROR(VLOOKUP($P491,Suppl!$B$2:$N$57,MATCH(BDD!$B491,Suppl!$C$1:$N$1,0)+1,FALSE),"")</f>
        <v>0</v>
      </c>
      <c r="P491" s="153" t="str">
        <f t="shared" si="66"/>
        <v>46</v>
      </c>
    </row>
    <row r="492" spans="1:16" ht="15" customHeight="1" x14ac:dyDescent="0.3">
      <c r="A492" s="155" t="str">
        <f t="shared" si="58"/>
        <v>1247</v>
      </c>
      <c r="B492" s="164">
        <f t="shared" ref="B492:C492" si="77">B491</f>
        <v>12</v>
      </c>
      <c r="C492" s="157" t="str">
        <f t="shared" si="77"/>
        <v>Budget &amp; performance</v>
      </c>
      <c r="D492" s="157" t="s">
        <v>626</v>
      </c>
      <c r="E492" s="169">
        <v>4</v>
      </c>
      <c r="F492" s="157" t="s">
        <v>637</v>
      </c>
      <c r="G492" s="407" t="s">
        <v>919</v>
      </c>
      <c r="H492" s="185" t="s">
        <v>164</v>
      </c>
      <c r="I492" s="171">
        <v>7</v>
      </c>
      <c r="J492" s="154"/>
      <c r="K492" s="154"/>
      <c r="L492" s="323"/>
      <c r="M492" s="154"/>
      <c r="N492" s="154"/>
      <c r="O492" s="200">
        <f>IFERROR(VLOOKUP($P492,Suppl!$B$2:$N$57,MATCH(BDD!$B492,Suppl!$C$1:$N$1,0)+1,FALSE),"")</f>
        <v>0</v>
      </c>
      <c r="P492" s="154" t="str">
        <f t="shared" si="66"/>
        <v>47</v>
      </c>
    </row>
    <row r="493" spans="1:16" ht="15" customHeight="1" x14ac:dyDescent="0.3">
      <c r="A493" s="155" t="str">
        <f t="shared" si="58"/>
        <v>1251</v>
      </c>
      <c r="B493" s="163">
        <f t="shared" ref="B493:C494" si="78">B492</f>
        <v>12</v>
      </c>
      <c r="C493" s="156" t="str">
        <f t="shared" si="78"/>
        <v>Budget &amp; performance</v>
      </c>
      <c r="D493" s="156" t="s">
        <v>626</v>
      </c>
      <c r="E493" s="167">
        <v>5</v>
      </c>
      <c r="F493" s="180" t="s">
        <v>1090</v>
      </c>
      <c r="G493" s="409" t="s">
        <v>985</v>
      </c>
      <c r="H493" s="185" t="s">
        <v>164</v>
      </c>
      <c r="I493" s="162">
        <v>1</v>
      </c>
      <c r="J493" s="153" t="s">
        <v>927</v>
      </c>
      <c r="K493" s="153" t="s">
        <v>25</v>
      </c>
      <c r="L493" s="247" t="s">
        <v>928</v>
      </c>
      <c r="M493" s="153"/>
      <c r="N493" s="153"/>
      <c r="O493" s="199">
        <f>IFERROR(VLOOKUP($P493,Suppl!$B$2:$N$57,MATCH(BDD!$B493,Suppl!$C$1:$N$1,0)+1,FALSE),"")</f>
        <v>0</v>
      </c>
      <c r="P493" s="153" t="str">
        <f t="shared" si="66"/>
        <v>51</v>
      </c>
    </row>
    <row r="494" spans="1:16" ht="15" customHeight="1" x14ac:dyDescent="0.3">
      <c r="A494" s="155" t="str">
        <f t="shared" si="58"/>
        <v>1252</v>
      </c>
      <c r="B494" s="163">
        <f t="shared" si="78"/>
        <v>12</v>
      </c>
      <c r="C494" s="156" t="str">
        <f t="shared" si="78"/>
        <v>Budget &amp; performance</v>
      </c>
      <c r="D494" s="156" t="s">
        <v>626</v>
      </c>
      <c r="E494" s="168">
        <v>5</v>
      </c>
      <c r="F494" s="156" t="s">
        <v>638</v>
      </c>
      <c r="G494" s="406" t="s">
        <v>926</v>
      </c>
      <c r="H494" s="185" t="s">
        <v>164</v>
      </c>
      <c r="I494" s="162">
        <v>2</v>
      </c>
      <c r="J494" s="153" t="s">
        <v>929</v>
      </c>
      <c r="K494" s="153" t="s">
        <v>22</v>
      </c>
      <c r="L494" s="247"/>
      <c r="M494" s="153"/>
      <c r="N494" s="153"/>
      <c r="O494" s="199">
        <f>IFERROR(VLOOKUP($P494,Suppl!$B$2:$N$57,MATCH(BDD!$B494,Suppl!$C$1:$N$1,0)+1,FALSE),"")</f>
        <v>0</v>
      </c>
      <c r="P494" s="153" t="str">
        <f t="shared" si="66"/>
        <v>52</v>
      </c>
    </row>
    <row r="495" spans="1:16" ht="15" customHeight="1" x14ac:dyDescent="0.3">
      <c r="A495" s="155" t="str">
        <f t="shared" si="58"/>
        <v>1253</v>
      </c>
      <c r="B495" s="163">
        <f t="shared" ref="B495:C495" si="79">B494</f>
        <v>12</v>
      </c>
      <c r="C495" s="156" t="str">
        <f t="shared" si="79"/>
        <v>Budget &amp; performance</v>
      </c>
      <c r="D495" s="156" t="s">
        <v>626</v>
      </c>
      <c r="E495" s="168">
        <v>5</v>
      </c>
      <c r="F495" s="156" t="s">
        <v>638</v>
      </c>
      <c r="G495" s="406" t="s">
        <v>926</v>
      </c>
      <c r="H495" s="185" t="s">
        <v>164</v>
      </c>
      <c r="I495" s="162">
        <v>3</v>
      </c>
      <c r="J495" s="153" t="s">
        <v>930</v>
      </c>
      <c r="K495" s="153" t="s">
        <v>24</v>
      </c>
      <c r="L495" s="247"/>
      <c r="M495" s="153"/>
      <c r="N495" s="153"/>
      <c r="O495" s="199">
        <f>IFERROR(VLOOKUP($P495,Suppl!$B$2:$N$57,MATCH(BDD!$B495,Suppl!$C$1:$N$1,0)+1,FALSE),"")</f>
        <v>0</v>
      </c>
      <c r="P495" s="153" t="str">
        <f t="shared" si="66"/>
        <v>53</v>
      </c>
    </row>
    <row r="496" spans="1:16" ht="15" customHeight="1" x14ac:dyDescent="0.3">
      <c r="A496" s="155" t="str">
        <f t="shared" si="58"/>
        <v>1254</v>
      </c>
      <c r="B496" s="163">
        <f t="shared" ref="B496:C496" si="80">B495</f>
        <v>12</v>
      </c>
      <c r="C496" s="156" t="str">
        <f t="shared" si="80"/>
        <v>Budget &amp; performance</v>
      </c>
      <c r="D496" s="156" t="s">
        <v>626</v>
      </c>
      <c r="E496" s="168">
        <v>5</v>
      </c>
      <c r="F496" s="156" t="s">
        <v>638</v>
      </c>
      <c r="G496" s="406" t="s">
        <v>926</v>
      </c>
      <c r="H496" s="185" t="s">
        <v>164</v>
      </c>
      <c r="I496" s="162">
        <v>4</v>
      </c>
      <c r="J496" s="153" t="s">
        <v>931</v>
      </c>
      <c r="K496" s="153" t="s">
        <v>24</v>
      </c>
      <c r="L496" s="247" t="s">
        <v>1121</v>
      </c>
      <c r="M496" s="153"/>
      <c r="N496" s="153"/>
      <c r="O496" s="199">
        <f>IFERROR(VLOOKUP($P496,Suppl!$B$2:$N$57,MATCH(BDD!$B496,Suppl!$C$1:$N$1,0)+1,FALSE),"")</f>
        <v>0</v>
      </c>
      <c r="P496" s="153" t="str">
        <f t="shared" si="66"/>
        <v>54</v>
      </c>
    </row>
    <row r="497" spans="1:18" ht="15" customHeight="1" x14ac:dyDescent="0.3">
      <c r="A497" s="155" t="str">
        <f t="shared" si="58"/>
        <v>1255</v>
      </c>
      <c r="B497" s="163">
        <f t="shared" ref="B497:C497" si="81">B496</f>
        <v>12</v>
      </c>
      <c r="C497" s="156" t="str">
        <f t="shared" si="81"/>
        <v>Budget &amp; performance</v>
      </c>
      <c r="D497" s="156" t="s">
        <v>626</v>
      </c>
      <c r="E497" s="168">
        <v>5</v>
      </c>
      <c r="F497" s="156" t="s">
        <v>638</v>
      </c>
      <c r="G497" s="406" t="s">
        <v>926</v>
      </c>
      <c r="H497" s="185" t="s">
        <v>164</v>
      </c>
      <c r="I497" s="162">
        <v>5</v>
      </c>
      <c r="J497" s="153" t="s">
        <v>932</v>
      </c>
      <c r="K497" s="153" t="s">
        <v>24</v>
      </c>
      <c r="L497" s="247"/>
      <c r="M497" s="153"/>
      <c r="N497" s="153"/>
      <c r="O497" s="199">
        <f>IFERROR(VLOOKUP($P497,Suppl!$B$2:$N$57,MATCH(BDD!$B497,Suppl!$C$1:$N$1,0)+1,FALSE),"")</f>
        <v>0</v>
      </c>
      <c r="P497" s="153" t="str">
        <f t="shared" si="66"/>
        <v>55</v>
      </c>
    </row>
    <row r="498" spans="1:18" ht="15" customHeight="1" x14ac:dyDescent="0.3">
      <c r="A498" s="155" t="str">
        <f t="shared" si="58"/>
        <v>1256</v>
      </c>
      <c r="B498" s="163">
        <f t="shared" ref="B498:C498" si="82">B497</f>
        <v>12</v>
      </c>
      <c r="C498" s="156" t="str">
        <f t="shared" si="82"/>
        <v>Budget &amp; performance</v>
      </c>
      <c r="D498" s="156" t="s">
        <v>626</v>
      </c>
      <c r="E498" s="168">
        <v>5</v>
      </c>
      <c r="F498" s="156" t="s">
        <v>638</v>
      </c>
      <c r="G498" s="406" t="s">
        <v>926</v>
      </c>
      <c r="H498" s="185" t="s">
        <v>164</v>
      </c>
      <c r="I498" s="162">
        <v>6</v>
      </c>
      <c r="J498" s="153" t="s">
        <v>986</v>
      </c>
      <c r="K498" s="153" t="s">
        <v>26</v>
      </c>
      <c r="L498" s="247"/>
      <c r="M498" s="153"/>
      <c r="N498" s="153"/>
      <c r="O498" s="199">
        <f>IFERROR(VLOOKUP($P498,Suppl!$B$2:$N$57,MATCH(BDD!$B498,Suppl!$C$1:$N$1,0)+1,FALSE),"")</f>
        <v>0</v>
      </c>
      <c r="P498" s="153" t="str">
        <f t="shared" si="66"/>
        <v>56</v>
      </c>
    </row>
    <row r="499" spans="1:18" ht="15" customHeight="1" x14ac:dyDescent="0.3">
      <c r="A499" s="155" t="str">
        <f t="shared" si="58"/>
        <v>1257</v>
      </c>
      <c r="B499" s="164">
        <f t="shared" ref="B499:C499" si="83">B498</f>
        <v>12</v>
      </c>
      <c r="C499" s="157" t="str">
        <f t="shared" si="83"/>
        <v>Budget &amp; performance</v>
      </c>
      <c r="D499" s="157" t="s">
        <v>626</v>
      </c>
      <c r="E499" s="169">
        <v>5</v>
      </c>
      <c r="F499" s="157" t="s">
        <v>638</v>
      </c>
      <c r="G499" s="407" t="s">
        <v>926</v>
      </c>
      <c r="H499" s="185" t="s">
        <v>164</v>
      </c>
      <c r="I499" s="171">
        <v>7</v>
      </c>
      <c r="J499" s="154"/>
      <c r="K499" s="154"/>
      <c r="L499" s="323"/>
      <c r="M499" s="154"/>
      <c r="N499" s="154"/>
      <c r="O499" s="200">
        <f>IFERROR(VLOOKUP($P499,Suppl!$B$2:$N$57,MATCH(BDD!$B499,Suppl!$C$1:$N$1,0)+1,FALSE),"")</f>
        <v>0</v>
      </c>
      <c r="P499" s="154" t="str">
        <f t="shared" si="66"/>
        <v>57</v>
      </c>
    </row>
    <row r="500" spans="1:18" ht="15" customHeight="1" x14ac:dyDescent="0.3">
      <c r="A500" s="155" t="str">
        <f t="shared" si="58"/>
        <v>1261</v>
      </c>
      <c r="B500" s="163">
        <f>B499</f>
        <v>12</v>
      </c>
      <c r="C500" s="156" t="str">
        <f>C499</f>
        <v>Budget &amp; performance</v>
      </c>
      <c r="D500" s="156" t="s">
        <v>626</v>
      </c>
      <c r="E500" s="167">
        <v>6</v>
      </c>
      <c r="F500" s="180" t="s">
        <v>639</v>
      </c>
      <c r="G500" s="414" t="s">
        <v>933</v>
      </c>
      <c r="I500" s="162">
        <v>1</v>
      </c>
      <c r="J500" s="153" t="s">
        <v>934</v>
      </c>
      <c r="K500" s="153" t="s">
        <v>25</v>
      </c>
      <c r="L500" s="247" t="s">
        <v>935</v>
      </c>
      <c r="M500" s="153"/>
      <c r="O500" s="199">
        <f>IFERROR(VLOOKUP($P500,Suppl!$B$2:$N$57,MATCH(BDD!$B500,Suppl!$C$1:$N$1,0)+1,FALSE),"")</f>
        <v>0</v>
      </c>
      <c r="P500" s="153" t="str">
        <f t="shared" si="66"/>
        <v>61</v>
      </c>
    </row>
    <row r="501" spans="1:18" ht="15" customHeight="1" x14ac:dyDescent="0.3">
      <c r="A501" s="155" t="str">
        <f t="shared" si="58"/>
        <v>1262</v>
      </c>
      <c r="B501" s="163">
        <f t="shared" ref="B501:C501" si="84">B500</f>
        <v>12</v>
      </c>
      <c r="C501" s="156" t="str">
        <f t="shared" si="84"/>
        <v>Budget &amp; performance</v>
      </c>
      <c r="D501" s="156" t="s">
        <v>626</v>
      </c>
      <c r="E501" s="168">
        <v>6</v>
      </c>
      <c r="F501" s="156" t="s">
        <v>639</v>
      </c>
      <c r="G501" s="406" t="s">
        <v>933</v>
      </c>
      <c r="H501" s="185" t="s">
        <v>164</v>
      </c>
      <c r="I501" s="162">
        <v>2</v>
      </c>
      <c r="J501" s="153" t="s">
        <v>936</v>
      </c>
      <c r="K501" s="153" t="s">
        <v>26</v>
      </c>
      <c r="L501" s="247"/>
      <c r="M501" s="153"/>
      <c r="O501" s="199">
        <f>IFERROR(VLOOKUP($P501,Suppl!$B$2:$N$57,MATCH(BDD!$B501,Suppl!$C$1:$N$1,0)+1,FALSE),"")</f>
        <v>0</v>
      </c>
      <c r="P501" s="153" t="str">
        <f t="shared" si="66"/>
        <v>62</v>
      </c>
    </row>
    <row r="502" spans="1:18" ht="15" customHeight="1" x14ac:dyDescent="0.3">
      <c r="A502" s="155" t="str">
        <f t="shared" si="58"/>
        <v>1263</v>
      </c>
      <c r="B502" s="163">
        <f t="shared" ref="B502:C502" si="85">B501</f>
        <v>12</v>
      </c>
      <c r="C502" s="156" t="str">
        <f t="shared" si="85"/>
        <v>Budget &amp; performance</v>
      </c>
      <c r="D502" s="156" t="s">
        <v>626</v>
      </c>
      <c r="E502" s="168">
        <v>6</v>
      </c>
      <c r="F502" s="156" t="s">
        <v>639</v>
      </c>
      <c r="G502" s="406" t="s">
        <v>933</v>
      </c>
      <c r="H502" s="185" t="s">
        <v>164</v>
      </c>
      <c r="I502" s="162">
        <v>3</v>
      </c>
      <c r="J502" s="153" t="s">
        <v>937</v>
      </c>
      <c r="K502" s="153" t="s">
        <v>24</v>
      </c>
      <c r="L502" s="247"/>
      <c r="M502" s="153"/>
      <c r="O502" s="199">
        <f>IFERROR(VLOOKUP($P502,Suppl!$B$2:$N$57,MATCH(BDD!$B502,Suppl!$C$1:$N$1,0)+1,FALSE),"")</f>
        <v>0</v>
      </c>
      <c r="P502" s="153" t="str">
        <f t="shared" si="66"/>
        <v>63</v>
      </c>
    </row>
    <row r="503" spans="1:18" ht="15" customHeight="1" x14ac:dyDescent="0.3">
      <c r="A503" s="155" t="str">
        <f t="shared" si="58"/>
        <v>1264</v>
      </c>
      <c r="B503" s="163">
        <f t="shared" ref="B503:C503" si="86">B502</f>
        <v>12</v>
      </c>
      <c r="C503" s="156" t="str">
        <f t="shared" si="86"/>
        <v>Budget &amp; performance</v>
      </c>
      <c r="D503" s="156" t="s">
        <v>626</v>
      </c>
      <c r="E503" s="168">
        <v>6</v>
      </c>
      <c r="F503" s="156" t="s">
        <v>639</v>
      </c>
      <c r="G503" s="406" t="s">
        <v>933</v>
      </c>
      <c r="H503" s="185" t="s">
        <v>164</v>
      </c>
      <c r="I503" s="162">
        <v>4</v>
      </c>
      <c r="J503" s="153" t="s">
        <v>938</v>
      </c>
      <c r="K503" s="153" t="s">
        <v>24</v>
      </c>
      <c r="L503" s="247"/>
      <c r="M503" s="153"/>
      <c r="O503" s="199">
        <f>IFERROR(VLOOKUP($P503,Suppl!$B$2:$N$57,MATCH(BDD!$B503,Suppl!$C$1:$N$1,0)+1,FALSE),"")</f>
        <v>0</v>
      </c>
      <c r="P503" s="153" t="str">
        <f t="shared" si="66"/>
        <v>64</v>
      </c>
    </row>
    <row r="504" spans="1:18" ht="15" customHeight="1" x14ac:dyDescent="0.3">
      <c r="A504" s="155" t="str">
        <f t="shared" si="58"/>
        <v>1265</v>
      </c>
      <c r="B504" s="163">
        <f t="shared" ref="B504:C504" si="87">B503</f>
        <v>12</v>
      </c>
      <c r="C504" s="156" t="str">
        <f t="shared" si="87"/>
        <v>Budget &amp; performance</v>
      </c>
      <c r="D504" s="156" t="s">
        <v>626</v>
      </c>
      <c r="E504" s="168">
        <v>6</v>
      </c>
      <c r="F504" s="156" t="s">
        <v>639</v>
      </c>
      <c r="G504" s="406" t="s">
        <v>933</v>
      </c>
      <c r="H504" s="185" t="s">
        <v>164</v>
      </c>
      <c r="I504" s="162">
        <v>5</v>
      </c>
      <c r="J504" s="153"/>
      <c r="K504" s="153"/>
      <c r="L504" s="247"/>
      <c r="M504" s="153"/>
      <c r="O504" s="199">
        <f>IFERROR(VLOOKUP($P504,Suppl!$B$2:$N$57,MATCH(BDD!$B504,Suppl!$C$1:$N$1,0)+1,FALSE),"")</f>
        <v>0</v>
      </c>
      <c r="P504" s="153" t="str">
        <f t="shared" si="66"/>
        <v>65</v>
      </c>
    </row>
    <row r="505" spans="1:18" ht="15" customHeight="1" x14ac:dyDescent="0.3">
      <c r="A505" s="155" t="str">
        <f t="shared" si="58"/>
        <v>1266</v>
      </c>
      <c r="B505" s="163">
        <f t="shared" ref="B505:C505" si="88">B504</f>
        <v>12</v>
      </c>
      <c r="C505" s="156" t="str">
        <f t="shared" si="88"/>
        <v>Budget &amp; performance</v>
      </c>
      <c r="D505" s="156" t="s">
        <v>626</v>
      </c>
      <c r="E505" s="168">
        <v>6</v>
      </c>
      <c r="F505" s="156" t="s">
        <v>639</v>
      </c>
      <c r="G505" s="406" t="s">
        <v>933</v>
      </c>
      <c r="H505" s="185" t="s">
        <v>164</v>
      </c>
      <c r="I505" s="162">
        <v>6</v>
      </c>
      <c r="J505" s="153"/>
      <c r="K505" s="153"/>
      <c r="L505" s="247"/>
      <c r="M505" s="153"/>
      <c r="O505" s="199">
        <f>IFERROR(VLOOKUP($P505,Suppl!$B$2:$N$57,MATCH(BDD!$B505,Suppl!$C$1:$N$1,0)+1,FALSE),"")</f>
        <v>0</v>
      </c>
      <c r="P505" s="153" t="str">
        <f t="shared" si="66"/>
        <v>66</v>
      </c>
    </row>
    <row r="506" spans="1:18" ht="15" customHeight="1" x14ac:dyDescent="0.3">
      <c r="A506" s="155" t="str">
        <f t="shared" si="58"/>
        <v>1267</v>
      </c>
      <c r="B506" s="164">
        <f t="shared" ref="B506:C506" si="89">B505</f>
        <v>12</v>
      </c>
      <c r="C506" s="157" t="str">
        <f t="shared" si="89"/>
        <v>Budget &amp; performance</v>
      </c>
      <c r="D506" s="157" t="s">
        <v>626</v>
      </c>
      <c r="E506" s="169">
        <v>6</v>
      </c>
      <c r="F506" s="157" t="s">
        <v>639</v>
      </c>
      <c r="G506" s="407" t="s">
        <v>933</v>
      </c>
      <c r="H506" s="185" t="s">
        <v>164</v>
      </c>
      <c r="I506" s="171">
        <v>7</v>
      </c>
      <c r="J506" s="154"/>
      <c r="K506" s="154"/>
      <c r="L506" s="323"/>
      <c r="N506" s="154"/>
      <c r="O506" s="200">
        <f>IFERROR(VLOOKUP($P506,Suppl!$B$2:$N$57,MATCH(BDD!$B506,Suppl!$C$1:$N$1,0)+1,FALSE),"")</f>
        <v>0</v>
      </c>
      <c r="P506" s="154" t="str">
        <f t="shared" si="66"/>
        <v>67</v>
      </c>
    </row>
    <row r="507" spans="1:18" ht="15" customHeight="1" x14ac:dyDescent="0.3">
      <c r="A507" s="155" t="str">
        <f t="shared" si="58"/>
        <v>1311</v>
      </c>
      <c r="B507" s="181">
        <v>13</v>
      </c>
      <c r="C507" s="153" t="s">
        <v>1086</v>
      </c>
      <c r="D507" s="153" t="s">
        <v>939</v>
      </c>
      <c r="E507" s="167">
        <v>1</v>
      </c>
      <c r="F507" s="181" t="s">
        <v>940</v>
      </c>
      <c r="G507" s="401" t="s">
        <v>941</v>
      </c>
      <c r="H507" s="217"/>
      <c r="I507" s="162">
        <v>1</v>
      </c>
      <c r="J507" s="153" t="s">
        <v>942</v>
      </c>
      <c r="K507" s="153" t="s">
        <v>22</v>
      </c>
      <c r="L507" s="247"/>
      <c r="M507" s="173" t="s">
        <v>990</v>
      </c>
      <c r="N507" s="187" t="s">
        <v>1124</v>
      </c>
      <c r="O507" s="199">
        <f>IFERROR(VLOOKUP($P507,Suppl!$B$2:$O$57,MATCH(BDD!$B507,Suppl!$C$1:$O$1,0)+1,FALSE),"")</f>
        <v>0</v>
      </c>
      <c r="P507" s="153" t="str">
        <f t="shared" si="66"/>
        <v>11</v>
      </c>
      <c r="Q507" s="159"/>
      <c r="R507" s="159"/>
    </row>
    <row r="508" spans="1:18" ht="15" customHeight="1" x14ac:dyDescent="0.3">
      <c r="A508" s="155" t="str">
        <f t="shared" si="58"/>
        <v>1312</v>
      </c>
      <c r="B508" s="182">
        <f t="shared" ref="B508:C508" si="90">B507</f>
        <v>13</v>
      </c>
      <c r="C508" s="156" t="str">
        <f t="shared" si="90"/>
        <v>Marketing &amp; communication</v>
      </c>
      <c r="D508" s="156" t="s">
        <v>939</v>
      </c>
      <c r="E508" s="168">
        <v>1</v>
      </c>
      <c r="F508" s="182" t="s">
        <v>940</v>
      </c>
      <c r="G508" s="402" t="s">
        <v>941</v>
      </c>
      <c r="H508" s="217" t="s">
        <v>164</v>
      </c>
      <c r="I508" s="162">
        <v>2</v>
      </c>
      <c r="J508" s="153" t="s">
        <v>943</v>
      </c>
      <c r="K508" s="153" t="s">
        <v>23</v>
      </c>
      <c r="L508" s="247"/>
      <c r="M508" s="174" t="s">
        <v>991</v>
      </c>
      <c r="N508" s="177" t="s">
        <v>945</v>
      </c>
      <c r="O508" s="199">
        <f>IFERROR(VLOOKUP($P508,Suppl!$B$2:$O$57,MATCH(BDD!$B508,Suppl!$C$1:$O$1,0)+1,FALSE),"")</f>
        <v>0</v>
      </c>
      <c r="P508" s="153" t="str">
        <f t="shared" si="66"/>
        <v>12</v>
      </c>
      <c r="R508" s="159"/>
    </row>
    <row r="509" spans="1:18" ht="15" customHeight="1" x14ac:dyDescent="0.3">
      <c r="A509" s="155" t="str">
        <f t="shared" si="58"/>
        <v>1313</v>
      </c>
      <c r="B509" s="182">
        <f t="shared" ref="B509:C509" si="91">B508</f>
        <v>13</v>
      </c>
      <c r="C509" s="156" t="str">
        <f t="shared" si="91"/>
        <v>Marketing &amp; communication</v>
      </c>
      <c r="D509" s="156" t="s">
        <v>939</v>
      </c>
      <c r="E509" s="168">
        <v>1</v>
      </c>
      <c r="F509" s="182" t="s">
        <v>940</v>
      </c>
      <c r="G509" s="402" t="s">
        <v>941</v>
      </c>
      <c r="H509" s="217" t="s">
        <v>164</v>
      </c>
      <c r="I509" s="162">
        <v>3</v>
      </c>
      <c r="J509" s="153" t="s">
        <v>946</v>
      </c>
      <c r="K509" s="153" t="s">
        <v>24</v>
      </c>
      <c r="L509" s="247"/>
      <c r="M509" s="174" t="s">
        <v>944</v>
      </c>
      <c r="N509" s="177" t="s">
        <v>992</v>
      </c>
      <c r="O509" s="199">
        <f>IFERROR(VLOOKUP($P509,Suppl!$B$2:$O$57,MATCH(BDD!$B509,Suppl!$C$1:$O$1,0)+1,FALSE),"")</f>
        <v>0</v>
      </c>
      <c r="P509" s="153" t="str">
        <f t="shared" si="66"/>
        <v>13</v>
      </c>
    </row>
    <row r="510" spans="1:18" ht="15" customHeight="1" x14ac:dyDescent="0.3">
      <c r="A510" s="155" t="str">
        <f t="shared" si="58"/>
        <v>1314</v>
      </c>
      <c r="B510" s="182">
        <f t="shared" ref="B510:C510" si="92">B509</f>
        <v>13</v>
      </c>
      <c r="C510" s="156" t="str">
        <f t="shared" si="92"/>
        <v>Marketing &amp; communication</v>
      </c>
      <c r="D510" s="156" t="s">
        <v>939</v>
      </c>
      <c r="E510" s="168">
        <v>1</v>
      </c>
      <c r="F510" s="182" t="s">
        <v>940</v>
      </c>
      <c r="G510" s="402" t="s">
        <v>941</v>
      </c>
      <c r="H510" s="217" t="s">
        <v>164</v>
      </c>
      <c r="I510" s="162">
        <v>4</v>
      </c>
      <c r="J510" s="153" t="s">
        <v>947</v>
      </c>
      <c r="K510" s="153" t="s">
        <v>26</v>
      </c>
      <c r="L510" s="247" t="s">
        <v>948</v>
      </c>
      <c r="M510" s="186" t="s">
        <v>988</v>
      </c>
      <c r="N510" s="177"/>
      <c r="O510" s="199">
        <f>IFERROR(VLOOKUP($P510,Suppl!$B$2:$O$57,MATCH(BDD!$B510,Suppl!$C$1:$O$1,0)+1,FALSE),"")</f>
        <v>0</v>
      </c>
      <c r="P510" s="153" t="str">
        <f t="shared" si="66"/>
        <v>14</v>
      </c>
    </row>
    <row r="511" spans="1:18" ht="15" customHeight="1" x14ac:dyDescent="0.3">
      <c r="A511" s="155" t="str">
        <f t="shared" si="58"/>
        <v>1315</v>
      </c>
      <c r="B511" s="182">
        <f t="shared" ref="B511:C511" si="93">B510</f>
        <v>13</v>
      </c>
      <c r="C511" s="156" t="str">
        <f t="shared" si="93"/>
        <v>Marketing &amp; communication</v>
      </c>
      <c r="D511" s="156" t="s">
        <v>939</v>
      </c>
      <c r="E511" s="168">
        <v>1</v>
      </c>
      <c r="F511" s="182" t="s">
        <v>940</v>
      </c>
      <c r="G511" s="402" t="s">
        <v>941</v>
      </c>
      <c r="H511" s="217" t="s">
        <v>164</v>
      </c>
      <c r="I511" s="162">
        <v>5</v>
      </c>
      <c r="J511" s="153" t="s">
        <v>949</v>
      </c>
      <c r="K511" s="153" t="s">
        <v>23</v>
      </c>
      <c r="L511" s="247" t="s">
        <v>950</v>
      </c>
      <c r="M511" s="174" t="s">
        <v>989</v>
      </c>
      <c r="N511" s="177"/>
      <c r="O511" s="199">
        <f>IFERROR(VLOOKUP($P511,Suppl!$B$2:$O$57,MATCH(BDD!$B511,Suppl!$C$1:$O$1,0)+1,FALSE),"")</f>
        <v>0</v>
      </c>
      <c r="P511" s="153" t="str">
        <f t="shared" si="66"/>
        <v>15</v>
      </c>
    </row>
    <row r="512" spans="1:18" ht="15" customHeight="1" x14ac:dyDescent="0.3">
      <c r="A512" s="155" t="str">
        <f t="shared" si="58"/>
        <v>1316</v>
      </c>
      <c r="B512" s="182">
        <f t="shared" ref="B512:C512" si="94">B511</f>
        <v>13</v>
      </c>
      <c r="C512" s="156" t="str">
        <f t="shared" si="94"/>
        <v>Marketing &amp; communication</v>
      </c>
      <c r="D512" s="156" t="s">
        <v>939</v>
      </c>
      <c r="E512" s="168">
        <v>1</v>
      </c>
      <c r="F512" s="182" t="s">
        <v>940</v>
      </c>
      <c r="G512" s="402" t="s">
        <v>941</v>
      </c>
      <c r="H512" s="217" t="s">
        <v>164</v>
      </c>
      <c r="I512" s="162">
        <v>6</v>
      </c>
      <c r="J512" s="153" t="s">
        <v>951</v>
      </c>
      <c r="K512" s="153" t="s">
        <v>25</v>
      </c>
      <c r="L512" s="247"/>
      <c r="M512" s="174"/>
      <c r="N512" s="177"/>
      <c r="O512" s="199">
        <f>IFERROR(VLOOKUP($P512,Suppl!$B$2:$O$57,MATCH(BDD!$B512,Suppl!$C$1:$O$1,0)+1,FALSE),"")</f>
        <v>0</v>
      </c>
      <c r="P512" s="153" t="str">
        <f t="shared" si="66"/>
        <v>16</v>
      </c>
    </row>
    <row r="513" spans="1:18" ht="15" customHeight="1" x14ac:dyDescent="0.3">
      <c r="A513" s="155" t="str">
        <f t="shared" si="58"/>
        <v>1317</v>
      </c>
      <c r="B513" s="183">
        <f t="shared" ref="B513:C513" si="95">B512</f>
        <v>13</v>
      </c>
      <c r="C513" s="157" t="str">
        <f t="shared" si="95"/>
        <v>Marketing &amp; communication</v>
      </c>
      <c r="D513" s="157" t="s">
        <v>939</v>
      </c>
      <c r="E513" s="169">
        <v>1</v>
      </c>
      <c r="F513" s="183" t="s">
        <v>940</v>
      </c>
      <c r="G513" s="403" t="s">
        <v>941</v>
      </c>
      <c r="H513" s="217" t="s">
        <v>164</v>
      </c>
      <c r="I513" s="171">
        <v>7</v>
      </c>
      <c r="J513" s="154"/>
      <c r="K513" s="154"/>
      <c r="L513" s="323"/>
      <c r="M513" s="175"/>
      <c r="N513" s="178"/>
      <c r="O513" s="200">
        <f>IFERROR(VLOOKUP($P513,Suppl!$B$2:$O$57,MATCH(BDD!$B513,Suppl!$C$1:$O$1,0)+1,FALSE),"")</f>
        <v>0</v>
      </c>
      <c r="P513" s="154" t="str">
        <f t="shared" si="66"/>
        <v>17</v>
      </c>
    </row>
    <row r="514" spans="1:18" ht="15" customHeight="1" x14ac:dyDescent="0.3">
      <c r="A514" s="155" t="str">
        <f t="shared" si="58"/>
        <v>1321</v>
      </c>
      <c r="B514" s="182">
        <f t="shared" ref="B514:C515" si="96">B513</f>
        <v>13</v>
      </c>
      <c r="C514" s="156" t="str">
        <f t="shared" si="96"/>
        <v>Marketing &amp; communication</v>
      </c>
      <c r="D514" s="156" t="s">
        <v>939</v>
      </c>
      <c r="E514" s="167">
        <v>2</v>
      </c>
      <c r="F514" s="218" t="s">
        <v>952</v>
      </c>
      <c r="G514" s="404" t="s">
        <v>953</v>
      </c>
      <c r="H514" s="217" t="s">
        <v>954</v>
      </c>
      <c r="I514" s="162">
        <v>1</v>
      </c>
      <c r="J514" s="153" t="s">
        <v>955</v>
      </c>
      <c r="K514" s="153" t="s">
        <v>24</v>
      </c>
      <c r="L514" s="247" t="s">
        <v>1030</v>
      </c>
      <c r="M514" s="153"/>
      <c r="N514" s="153"/>
      <c r="O514" s="199">
        <f>IFERROR(VLOOKUP($P514,Suppl!$B$2:$O$57,MATCH(BDD!$B514,Suppl!$C$1:$O$1,0)+1,FALSE),"")</f>
        <v>0</v>
      </c>
      <c r="P514" s="153" t="str">
        <f t="shared" si="66"/>
        <v>21</v>
      </c>
      <c r="Q514" s="159"/>
      <c r="R514" s="159"/>
    </row>
    <row r="515" spans="1:18" ht="15" customHeight="1" x14ac:dyDescent="0.3">
      <c r="A515" s="155" t="str">
        <f t="shared" si="58"/>
        <v>1322</v>
      </c>
      <c r="B515" s="182">
        <f t="shared" si="96"/>
        <v>13</v>
      </c>
      <c r="C515" s="156" t="str">
        <f t="shared" si="96"/>
        <v>Marketing &amp; communication</v>
      </c>
      <c r="D515" s="156" t="s">
        <v>939</v>
      </c>
      <c r="E515" s="168">
        <v>2</v>
      </c>
      <c r="F515" s="182" t="s">
        <v>952</v>
      </c>
      <c r="G515" s="402" t="s">
        <v>953</v>
      </c>
      <c r="H515" s="217" t="s">
        <v>164</v>
      </c>
      <c r="I515" s="162">
        <v>2</v>
      </c>
      <c r="J515" s="153" t="s">
        <v>956</v>
      </c>
      <c r="K515" s="153" t="s">
        <v>24</v>
      </c>
      <c r="L515" s="247" t="s">
        <v>1031</v>
      </c>
      <c r="M515" s="153"/>
      <c r="N515" s="153"/>
      <c r="O515" s="199">
        <f>IFERROR(VLOOKUP($P515,Suppl!$B$2:$O$57,MATCH(BDD!$B515,Suppl!$C$1:$O$1,0)+1,FALSE),"")</f>
        <v>0</v>
      </c>
      <c r="P515" s="153" t="str">
        <f t="shared" si="66"/>
        <v>22</v>
      </c>
    </row>
    <row r="516" spans="1:18" ht="15" customHeight="1" x14ac:dyDescent="0.3">
      <c r="A516" s="155" t="str">
        <f t="shared" si="58"/>
        <v>1323</v>
      </c>
      <c r="B516" s="182">
        <f t="shared" ref="B516:C516" si="97">B515</f>
        <v>13</v>
      </c>
      <c r="C516" s="156" t="str">
        <f t="shared" si="97"/>
        <v>Marketing &amp; communication</v>
      </c>
      <c r="D516" s="156" t="s">
        <v>939</v>
      </c>
      <c r="E516" s="168">
        <v>2</v>
      </c>
      <c r="F516" s="182" t="s">
        <v>952</v>
      </c>
      <c r="G516" s="402" t="s">
        <v>953</v>
      </c>
      <c r="H516" s="217" t="s">
        <v>164</v>
      </c>
      <c r="I516" s="162">
        <v>3</v>
      </c>
      <c r="J516" s="153" t="s">
        <v>957</v>
      </c>
      <c r="K516" s="153" t="s">
        <v>25</v>
      </c>
      <c r="L516" s="247" t="s">
        <v>1032</v>
      </c>
      <c r="M516" s="153"/>
      <c r="N516" s="153"/>
      <c r="O516" s="199">
        <f>IFERROR(VLOOKUP($P516,Suppl!$B$2:$O$57,MATCH(BDD!$B516,Suppl!$C$1:$O$1,0)+1,FALSE),"")</f>
        <v>0</v>
      </c>
      <c r="P516" s="153" t="str">
        <f t="shared" si="66"/>
        <v>23</v>
      </c>
    </row>
    <row r="517" spans="1:18" ht="15" customHeight="1" x14ac:dyDescent="0.3">
      <c r="A517" s="155" t="str">
        <f t="shared" si="58"/>
        <v>1324</v>
      </c>
      <c r="B517" s="182">
        <f t="shared" ref="B517:C517" si="98">B516</f>
        <v>13</v>
      </c>
      <c r="C517" s="156" t="str">
        <f t="shared" si="98"/>
        <v>Marketing &amp; communication</v>
      </c>
      <c r="D517" s="156" t="s">
        <v>939</v>
      </c>
      <c r="E517" s="168">
        <v>2</v>
      </c>
      <c r="F517" s="182" t="s">
        <v>952</v>
      </c>
      <c r="G517" s="402" t="s">
        <v>953</v>
      </c>
      <c r="H517" s="217" t="s">
        <v>164</v>
      </c>
      <c r="I517" s="162">
        <v>4</v>
      </c>
      <c r="J517" s="153" t="s">
        <v>958</v>
      </c>
      <c r="K517" s="153" t="s">
        <v>26</v>
      </c>
      <c r="L517" s="247" t="s">
        <v>1033</v>
      </c>
      <c r="M517" s="153"/>
      <c r="N517" s="153"/>
      <c r="O517" s="199">
        <f>IFERROR(VLOOKUP($P517,Suppl!$B$2:$O$57,MATCH(BDD!$B517,Suppl!$C$1:$O$1,0)+1,FALSE),"")</f>
        <v>0</v>
      </c>
      <c r="P517" s="153" t="str">
        <f t="shared" si="66"/>
        <v>24</v>
      </c>
    </row>
    <row r="518" spans="1:18" ht="15" customHeight="1" x14ac:dyDescent="0.3">
      <c r="A518" s="155" t="str">
        <f t="shared" si="58"/>
        <v>1325</v>
      </c>
      <c r="B518" s="182">
        <f t="shared" ref="B518:C518" si="99">B517</f>
        <v>13</v>
      </c>
      <c r="C518" s="156" t="str">
        <f t="shared" si="99"/>
        <v>Marketing &amp; communication</v>
      </c>
      <c r="D518" s="156" t="s">
        <v>939</v>
      </c>
      <c r="E518" s="168">
        <v>2</v>
      </c>
      <c r="F518" s="182" t="s">
        <v>952</v>
      </c>
      <c r="G518" s="402" t="s">
        <v>953</v>
      </c>
      <c r="H518" s="217" t="s">
        <v>164</v>
      </c>
      <c r="I518" s="162">
        <v>5</v>
      </c>
      <c r="J518" s="153" t="s">
        <v>959</v>
      </c>
      <c r="K518" s="153" t="s">
        <v>25</v>
      </c>
      <c r="L518" s="247" t="s">
        <v>1034</v>
      </c>
      <c r="M518" s="153"/>
      <c r="N518" s="153"/>
      <c r="O518" s="199">
        <f>IFERROR(VLOOKUP($P518,Suppl!$B$2:$O$57,MATCH(BDD!$B518,Suppl!$C$1:$O$1,0)+1,FALSE),"")</f>
        <v>0</v>
      </c>
      <c r="P518" s="153" t="str">
        <f t="shared" si="66"/>
        <v>25</v>
      </c>
    </row>
    <row r="519" spans="1:18" ht="15" customHeight="1" x14ac:dyDescent="0.3">
      <c r="A519" s="155" t="str">
        <f t="shared" si="58"/>
        <v>1326</v>
      </c>
      <c r="B519" s="182">
        <f t="shared" ref="B519:C519" si="100">B518</f>
        <v>13</v>
      </c>
      <c r="C519" s="156" t="str">
        <f t="shared" si="100"/>
        <v>Marketing &amp; communication</v>
      </c>
      <c r="D519" s="156" t="s">
        <v>939</v>
      </c>
      <c r="E519" s="168">
        <v>2</v>
      </c>
      <c r="F519" s="182" t="s">
        <v>952</v>
      </c>
      <c r="G519" s="402" t="s">
        <v>953</v>
      </c>
      <c r="H519" s="217" t="s">
        <v>164</v>
      </c>
      <c r="I519" s="162">
        <v>6</v>
      </c>
      <c r="J519" s="153"/>
      <c r="K519" s="153"/>
      <c r="L519" s="247"/>
      <c r="M519" s="153"/>
      <c r="N519" s="153"/>
      <c r="O519" s="199">
        <f>IFERROR(VLOOKUP($P519,Suppl!$B$2:$O$57,MATCH(BDD!$B519,Suppl!$C$1:$O$1,0)+1,FALSE),"")</f>
        <v>0</v>
      </c>
      <c r="P519" s="153" t="str">
        <f t="shared" si="66"/>
        <v>26</v>
      </c>
    </row>
    <row r="520" spans="1:18" ht="15" customHeight="1" x14ac:dyDescent="0.3">
      <c r="A520" s="155" t="str">
        <f t="shared" si="58"/>
        <v>1327</v>
      </c>
      <c r="B520" s="183">
        <f t="shared" ref="B520:C520" si="101">B519</f>
        <v>13</v>
      </c>
      <c r="C520" s="157" t="str">
        <f t="shared" si="101"/>
        <v>Marketing &amp; communication</v>
      </c>
      <c r="D520" s="157" t="s">
        <v>939</v>
      </c>
      <c r="E520" s="169">
        <v>2</v>
      </c>
      <c r="F520" s="183" t="s">
        <v>952</v>
      </c>
      <c r="G520" s="403" t="s">
        <v>953</v>
      </c>
      <c r="H520" s="217" t="s">
        <v>164</v>
      </c>
      <c r="I520" s="171">
        <v>7</v>
      </c>
      <c r="J520" s="154"/>
      <c r="K520" s="154"/>
      <c r="L520" s="323"/>
      <c r="M520" s="154"/>
      <c r="N520" s="154"/>
      <c r="O520" s="200">
        <f>IFERROR(VLOOKUP($P520,Suppl!$B$2:$O$57,MATCH(BDD!$B520,Suppl!$C$1:$O$1,0)+1,FALSE),"")</f>
        <v>0</v>
      </c>
      <c r="P520" s="154" t="str">
        <f t="shared" si="66"/>
        <v>27</v>
      </c>
    </row>
    <row r="521" spans="1:18" ht="15" customHeight="1" x14ac:dyDescent="0.3">
      <c r="A521" s="155" t="str">
        <f t="shared" si="58"/>
        <v>1331</v>
      </c>
      <c r="B521" s="182">
        <f t="shared" ref="B521:C522" si="102">B520</f>
        <v>13</v>
      </c>
      <c r="C521" s="156" t="str">
        <f t="shared" si="102"/>
        <v>Marketing &amp; communication</v>
      </c>
      <c r="D521" s="156" t="s">
        <v>939</v>
      </c>
      <c r="E521" s="167">
        <v>3</v>
      </c>
      <c r="F521" s="218" t="s">
        <v>960</v>
      </c>
      <c r="G521" s="404" t="s">
        <v>961</v>
      </c>
      <c r="H521" s="217" t="s">
        <v>962</v>
      </c>
      <c r="I521" s="162">
        <v>1</v>
      </c>
      <c r="J521" s="153" t="s">
        <v>963</v>
      </c>
      <c r="K521" s="153" t="s">
        <v>22</v>
      </c>
      <c r="L521" s="247" t="s">
        <v>1035</v>
      </c>
      <c r="M521" s="153"/>
      <c r="N521" s="153"/>
      <c r="O521" s="199">
        <f>IFERROR(VLOOKUP($P521,Suppl!$B$2:$O$57,MATCH(BDD!$B521,Suppl!$C$1:$O$1,0)+1,FALSE),"")</f>
        <v>0</v>
      </c>
      <c r="P521" s="153" t="str">
        <f t="shared" si="66"/>
        <v>31</v>
      </c>
    </row>
    <row r="522" spans="1:18" ht="15" customHeight="1" x14ac:dyDescent="0.3">
      <c r="A522" s="155" t="str">
        <f t="shared" si="58"/>
        <v>1332</v>
      </c>
      <c r="B522" s="182">
        <f t="shared" si="102"/>
        <v>13</v>
      </c>
      <c r="C522" s="156" t="str">
        <f t="shared" si="102"/>
        <v>Marketing &amp; communication</v>
      </c>
      <c r="D522" s="156" t="s">
        <v>939</v>
      </c>
      <c r="E522" s="168">
        <v>3</v>
      </c>
      <c r="F522" s="182" t="s">
        <v>960</v>
      </c>
      <c r="G522" s="402" t="s">
        <v>961</v>
      </c>
      <c r="H522" s="217" t="s">
        <v>164</v>
      </c>
      <c r="I522" s="162">
        <v>2</v>
      </c>
      <c r="J522" s="153" t="s">
        <v>964</v>
      </c>
      <c r="K522" s="153" t="s">
        <v>22</v>
      </c>
      <c r="L522" s="247" t="s">
        <v>965</v>
      </c>
      <c r="M522" s="153"/>
      <c r="N522" s="153"/>
      <c r="O522" s="199">
        <f>IFERROR(VLOOKUP($P522,Suppl!$B$2:$O$57,MATCH(BDD!$B522,Suppl!$C$1:$O$1,0)+1,FALSE),"")</f>
        <v>0</v>
      </c>
      <c r="P522" s="153" t="str">
        <f t="shared" si="66"/>
        <v>32</v>
      </c>
    </row>
    <row r="523" spans="1:18" ht="15" customHeight="1" x14ac:dyDescent="0.3">
      <c r="A523" s="155" t="str">
        <f t="shared" si="58"/>
        <v>1333</v>
      </c>
      <c r="B523" s="182">
        <f t="shared" ref="B523:C523" si="103">B522</f>
        <v>13</v>
      </c>
      <c r="C523" s="156" t="str">
        <f t="shared" si="103"/>
        <v>Marketing &amp; communication</v>
      </c>
      <c r="D523" s="156" t="s">
        <v>939</v>
      </c>
      <c r="E523" s="168">
        <v>3</v>
      </c>
      <c r="F523" s="182" t="s">
        <v>960</v>
      </c>
      <c r="G523" s="402" t="s">
        <v>961</v>
      </c>
      <c r="H523" s="217" t="s">
        <v>164</v>
      </c>
      <c r="I523" s="162">
        <v>3</v>
      </c>
      <c r="J523" s="153" t="s">
        <v>966</v>
      </c>
      <c r="K523" s="153" t="s">
        <v>24</v>
      </c>
      <c r="L523" s="247" t="s">
        <v>1036</v>
      </c>
      <c r="M523" s="153"/>
      <c r="N523" s="153"/>
      <c r="O523" s="199">
        <f>IFERROR(VLOOKUP($P523,Suppl!$B$2:$O$57,MATCH(BDD!$B523,Suppl!$C$1:$O$1,0)+1,FALSE),"")</f>
        <v>0</v>
      </c>
      <c r="P523" s="153" t="str">
        <f t="shared" si="66"/>
        <v>33</v>
      </c>
    </row>
    <row r="524" spans="1:18" ht="15" customHeight="1" x14ac:dyDescent="0.3">
      <c r="A524" s="155" t="str">
        <f t="shared" si="58"/>
        <v>1334</v>
      </c>
      <c r="B524" s="182">
        <f t="shared" ref="B524:C524" si="104">B523</f>
        <v>13</v>
      </c>
      <c r="C524" s="156" t="str">
        <f t="shared" si="104"/>
        <v>Marketing &amp; communication</v>
      </c>
      <c r="D524" s="156" t="s">
        <v>939</v>
      </c>
      <c r="E524" s="168">
        <v>3</v>
      </c>
      <c r="F524" s="182" t="s">
        <v>960</v>
      </c>
      <c r="G524" s="402" t="s">
        <v>961</v>
      </c>
      <c r="H524" s="217" t="s">
        <v>164</v>
      </c>
      <c r="I524" s="162">
        <v>4</v>
      </c>
      <c r="J524" s="153" t="s">
        <v>967</v>
      </c>
      <c r="K524" s="153" t="s">
        <v>25</v>
      </c>
      <c r="L524" s="247" t="s">
        <v>1037</v>
      </c>
      <c r="M524" s="153"/>
      <c r="N524" s="153"/>
      <c r="O524" s="199">
        <f>IFERROR(VLOOKUP($P524,Suppl!$B$2:$O$57,MATCH(BDD!$B524,Suppl!$C$1:$O$1,0)+1,FALSE),"")</f>
        <v>0</v>
      </c>
      <c r="P524" s="153" t="str">
        <f t="shared" si="66"/>
        <v>34</v>
      </c>
    </row>
    <row r="525" spans="1:18" ht="15" customHeight="1" x14ac:dyDescent="0.3">
      <c r="A525" s="155" t="str">
        <f t="shared" si="58"/>
        <v>1335</v>
      </c>
      <c r="B525" s="182">
        <f t="shared" ref="B525:C525" si="105">B524</f>
        <v>13</v>
      </c>
      <c r="C525" s="156" t="str">
        <f t="shared" si="105"/>
        <v>Marketing &amp; communication</v>
      </c>
      <c r="D525" s="156" t="s">
        <v>939</v>
      </c>
      <c r="E525" s="168">
        <v>3</v>
      </c>
      <c r="F525" s="182" t="s">
        <v>960</v>
      </c>
      <c r="G525" s="402" t="s">
        <v>961</v>
      </c>
      <c r="H525" s="217" t="s">
        <v>164</v>
      </c>
      <c r="I525" s="162">
        <v>5</v>
      </c>
      <c r="J525" s="153" t="s">
        <v>968</v>
      </c>
      <c r="K525" s="153" t="s">
        <v>23</v>
      </c>
      <c r="L525" s="247" t="s">
        <v>1038</v>
      </c>
      <c r="M525" s="153"/>
      <c r="N525" s="153"/>
      <c r="O525" s="199">
        <f>IFERROR(VLOOKUP($P525,Suppl!$B$2:$O$57,MATCH(BDD!$B525,Suppl!$C$1:$O$1,0)+1,FALSE),"")</f>
        <v>0</v>
      </c>
      <c r="P525" s="153" t="str">
        <f t="shared" si="66"/>
        <v>35</v>
      </c>
    </row>
    <row r="526" spans="1:18" ht="15" customHeight="1" x14ac:dyDescent="0.3">
      <c r="A526" s="155" t="str">
        <f t="shared" si="58"/>
        <v>1336</v>
      </c>
      <c r="B526" s="182">
        <f t="shared" ref="B526:C526" si="106">B525</f>
        <v>13</v>
      </c>
      <c r="C526" s="156" t="str">
        <f t="shared" si="106"/>
        <v>Marketing &amp; communication</v>
      </c>
      <c r="D526" s="156" t="s">
        <v>939</v>
      </c>
      <c r="E526" s="168">
        <v>3</v>
      </c>
      <c r="F526" s="182" t="s">
        <v>960</v>
      </c>
      <c r="G526" s="402" t="s">
        <v>961</v>
      </c>
      <c r="H526" s="217" t="s">
        <v>164</v>
      </c>
      <c r="I526" s="162">
        <v>6</v>
      </c>
      <c r="J526" s="153" t="s">
        <v>969</v>
      </c>
      <c r="K526" s="153" t="s">
        <v>25</v>
      </c>
      <c r="L526" s="247" t="s">
        <v>1039</v>
      </c>
      <c r="M526" s="153"/>
      <c r="N526" s="153"/>
      <c r="O526" s="199">
        <f>IFERROR(VLOOKUP($P526,Suppl!$B$2:$O$57,MATCH(BDD!$B526,Suppl!$C$1:$O$1,0)+1,FALSE),"")</f>
        <v>0</v>
      </c>
      <c r="P526" s="153" t="str">
        <f t="shared" si="66"/>
        <v>36</v>
      </c>
    </row>
    <row r="527" spans="1:18" ht="15" customHeight="1" x14ac:dyDescent="0.3">
      <c r="A527" s="155" t="str">
        <f t="shared" si="58"/>
        <v>1337</v>
      </c>
      <c r="B527" s="182">
        <f t="shared" ref="B527:C528" si="107">B526</f>
        <v>13</v>
      </c>
      <c r="C527" s="156" t="str">
        <f t="shared" si="107"/>
        <v>Marketing &amp; communication</v>
      </c>
      <c r="D527" s="156" t="s">
        <v>939</v>
      </c>
      <c r="E527" s="168">
        <v>3</v>
      </c>
      <c r="F527" s="182" t="s">
        <v>960</v>
      </c>
      <c r="G527" s="402" t="s">
        <v>961</v>
      </c>
      <c r="H527" s="217" t="s">
        <v>164</v>
      </c>
      <c r="I527" s="162">
        <v>7</v>
      </c>
      <c r="J527" s="153" t="s">
        <v>970</v>
      </c>
      <c r="K527" s="153" t="s">
        <v>23</v>
      </c>
      <c r="L527" s="247"/>
      <c r="M527" s="153"/>
      <c r="N527" s="153"/>
      <c r="O527" s="199">
        <f>IFERROR(VLOOKUP($P527,Suppl!$B$2:$O$57,MATCH(BDD!$B527,Suppl!$C$1:$O$1,0)+1,FALSE),"")</f>
        <v>0</v>
      </c>
      <c r="P527" s="153" t="str">
        <f t="shared" si="66"/>
        <v>37</v>
      </c>
    </row>
    <row r="528" spans="1:18" ht="15" customHeight="1" x14ac:dyDescent="0.3">
      <c r="A528" s="155" t="str">
        <f t="shared" ref="A528" si="108">B528&amp;E528&amp;I528</f>
        <v>1338</v>
      </c>
      <c r="B528" s="183">
        <f t="shared" si="107"/>
        <v>13</v>
      </c>
      <c r="C528" s="157" t="str">
        <f t="shared" si="107"/>
        <v>Marketing &amp; communication</v>
      </c>
      <c r="D528" s="157" t="s">
        <v>939</v>
      </c>
      <c r="E528" s="169">
        <v>3</v>
      </c>
      <c r="F528" s="183" t="s">
        <v>960</v>
      </c>
      <c r="G528" s="403" t="s">
        <v>961</v>
      </c>
      <c r="H528" s="217" t="s">
        <v>164</v>
      </c>
      <c r="I528" s="171">
        <v>8</v>
      </c>
      <c r="J528" s="154" t="s">
        <v>971</v>
      </c>
      <c r="K528" s="154" t="s">
        <v>25</v>
      </c>
      <c r="L528" s="323"/>
      <c r="M528" s="154"/>
      <c r="N528" s="154"/>
      <c r="O528" s="350">
        <f>IFERROR(VLOOKUP($P528,Suppl!$B$2:$O$57,MATCH(BDD!$B528,Suppl!$C$1:$O$1,0)+1,FALSE),"")</f>
        <v>0</v>
      </c>
      <c r="P528" s="350" t="s">
        <v>1007</v>
      </c>
      <c r="Q528" s="352" t="s">
        <v>1006</v>
      </c>
    </row>
    <row r="529" spans="1:16" ht="15" customHeight="1" x14ac:dyDescent="0.3">
      <c r="A529" s="155" t="str">
        <f t="shared" si="58"/>
        <v>1341</v>
      </c>
      <c r="B529" s="182">
        <f>B527</f>
        <v>13</v>
      </c>
      <c r="C529" s="156" t="str">
        <f>C527</f>
        <v>Marketing &amp; communication</v>
      </c>
      <c r="D529" s="156" t="s">
        <v>939</v>
      </c>
      <c r="E529" s="167">
        <v>4</v>
      </c>
      <c r="F529" s="218" t="s">
        <v>972</v>
      </c>
      <c r="G529" s="404" t="s">
        <v>973</v>
      </c>
      <c r="H529" s="217" t="s">
        <v>407</v>
      </c>
      <c r="I529" s="162">
        <v>1</v>
      </c>
      <c r="J529" s="153" t="s">
        <v>974</v>
      </c>
      <c r="K529" s="153" t="s">
        <v>22</v>
      </c>
      <c r="L529" s="247" t="s">
        <v>1040</v>
      </c>
      <c r="M529" s="153"/>
      <c r="N529" s="153"/>
      <c r="O529" s="351">
        <f>IFERROR(VLOOKUP($P529,Suppl!$B$2:$O$57,MATCH(BDD!$B529,Suppl!$C$1:$O$1,0)+1,FALSE),"")</f>
        <v>0</v>
      </c>
      <c r="P529" s="351" t="s">
        <v>1008</v>
      </c>
    </row>
    <row r="530" spans="1:16" ht="15" customHeight="1" x14ac:dyDescent="0.3">
      <c r="A530" s="155" t="str">
        <f t="shared" ref="A530:A535" si="109">B530&amp;E530&amp;I530</f>
        <v>1342</v>
      </c>
      <c r="B530" s="182">
        <f t="shared" ref="B530:C530" si="110">B529</f>
        <v>13</v>
      </c>
      <c r="C530" s="156" t="str">
        <f t="shared" si="110"/>
        <v>Marketing &amp; communication</v>
      </c>
      <c r="D530" s="156" t="s">
        <v>939</v>
      </c>
      <c r="E530" s="168">
        <v>4</v>
      </c>
      <c r="F530" s="182" t="s">
        <v>972</v>
      </c>
      <c r="G530" s="402" t="s">
        <v>973</v>
      </c>
      <c r="H530" s="217" t="s">
        <v>164</v>
      </c>
      <c r="I530" s="162">
        <v>2</v>
      </c>
      <c r="J530" s="153" t="s">
        <v>975</v>
      </c>
      <c r="K530" s="153" t="s">
        <v>24</v>
      </c>
      <c r="L530" s="247" t="s">
        <v>1041</v>
      </c>
      <c r="M530" s="153"/>
      <c r="N530" s="153"/>
      <c r="O530" s="199">
        <f>IFERROR(VLOOKUP($P530,Suppl!$B$2:$O$57,MATCH(BDD!$B530,Suppl!$C$1:$O$1,0)+1,FALSE),"")</f>
        <v>0</v>
      </c>
      <c r="P530" s="153" t="s">
        <v>1009</v>
      </c>
    </row>
    <row r="531" spans="1:16" ht="15" customHeight="1" x14ac:dyDescent="0.3">
      <c r="A531" s="155" t="str">
        <f t="shared" si="109"/>
        <v>1343</v>
      </c>
      <c r="B531" s="182">
        <f t="shared" ref="B531:C531" si="111">B530</f>
        <v>13</v>
      </c>
      <c r="C531" s="156" t="str">
        <f t="shared" si="111"/>
        <v>Marketing &amp; communication</v>
      </c>
      <c r="D531" s="156" t="s">
        <v>939</v>
      </c>
      <c r="E531" s="168">
        <v>4</v>
      </c>
      <c r="F531" s="182" t="s">
        <v>972</v>
      </c>
      <c r="G531" s="402" t="s">
        <v>973</v>
      </c>
      <c r="H531" s="217" t="s">
        <v>164</v>
      </c>
      <c r="I531" s="162">
        <v>3</v>
      </c>
      <c r="J531" s="153" t="s">
        <v>976</v>
      </c>
      <c r="K531" s="153" t="s">
        <v>24</v>
      </c>
      <c r="L531" s="247" t="s">
        <v>977</v>
      </c>
      <c r="M531" s="153"/>
      <c r="N531" s="153"/>
      <c r="O531" s="199">
        <f>IFERROR(VLOOKUP($P531,Suppl!$B$2:$O$57,MATCH(BDD!$B531,Suppl!$C$1:$O$1,0)+1,FALSE),"")</f>
        <v>0</v>
      </c>
      <c r="P531" s="153" t="s">
        <v>1010</v>
      </c>
    </row>
    <row r="532" spans="1:16" ht="15" customHeight="1" x14ac:dyDescent="0.3">
      <c r="A532" s="155" t="str">
        <f t="shared" si="109"/>
        <v>1344</v>
      </c>
      <c r="B532" s="182">
        <f t="shared" ref="B532:C532" si="112">B531</f>
        <v>13</v>
      </c>
      <c r="C532" s="156" t="str">
        <f t="shared" si="112"/>
        <v>Marketing &amp; communication</v>
      </c>
      <c r="D532" s="156" t="s">
        <v>939</v>
      </c>
      <c r="E532" s="168">
        <v>4</v>
      </c>
      <c r="F532" s="182" t="s">
        <v>972</v>
      </c>
      <c r="G532" s="402" t="s">
        <v>973</v>
      </c>
      <c r="H532" s="217" t="s">
        <v>164</v>
      </c>
      <c r="I532" s="162">
        <v>4</v>
      </c>
      <c r="J532" s="153" t="s">
        <v>978</v>
      </c>
      <c r="K532" s="153" t="s">
        <v>25</v>
      </c>
      <c r="L532" s="247"/>
      <c r="M532" s="153"/>
      <c r="N532" s="153"/>
      <c r="O532" s="199">
        <f>IFERROR(VLOOKUP($P532,Suppl!$B$2:$O$57,MATCH(BDD!$B532,Suppl!$C$1:$O$1,0)+1,FALSE),"")</f>
        <v>0</v>
      </c>
      <c r="P532" s="153" t="s">
        <v>1011</v>
      </c>
    </row>
    <row r="533" spans="1:16" ht="15" customHeight="1" x14ac:dyDescent="0.3">
      <c r="A533" s="155" t="str">
        <f t="shared" si="109"/>
        <v>1345</v>
      </c>
      <c r="B533" s="182">
        <f t="shared" ref="B533:C533" si="113">B532</f>
        <v>13</v>
      </c>
      <c r="C533" s="156" t="str">
        <f t="shared" si="113"/>
        <v>Marketing &amp; communication</v>
      </c>
      <c r="D533" s="156" t="s">
        <v>939</v>
      </c>
      <c r="E533" s="168">
        <v>4</v>
      </c>
      <c r="F533" s="182" t="s">
        <v>972</v>
      </c>
      <c r="G533" s="402" t="s">
        <v>973</v>
      </c>
      <c r="H533" s="217" t="s">
        <v>164</v>
      </c>
      <c r="I533" s="162">
        <v>5</v>
      </c>
      <c r="J533" s="153" t="s">
        <v>979</v>
      </c>
      <c r="K533" s="153" t="s">
        <v>26</v>
      </c>
      <c r="L533" s="247" t="s">
        <v>981</v>
      </c>
      <c r="M533" s="153"/>
      <c r="N533" s="153"/>
      <c r="O533" s="199">
        <f>IFERROR(VLOOKUP($P533,Suppl!$B$2:$O$57,MATCH(BDD!$B533,Suppl!$C$1:$O$1,0)+1,FALSE),"")</f>
        <v>0</v>
      </c>
      <c r="P533" s="153" t="s">
        <v>1012</v>
      </c>
    </row>
    <row r="534" spans="1:16" ht="15" customHeight="1" x14ac:dyDescent="0.3">
      <c r="A534" s="155" t="str">
        <f t="shared" si="109"/>
        <v>1346</v>
      </c>
      <c r="B534" s="182">
        <f t="shared" ref="B534:C534" si="114">B533</f>
        <v>13</v>
      </c>
      <c r="C534" s="156" t="str">
        <f t="shared" si="114"/>
        <v>Marketing &amp; communication</v>
      </c>
      <c r="D534" s="156" t="s">
        <v>939</v>
      </c>
      <c r="E534" s="168">
        <v>4</v>
      </c>
      <c r="F534" s="182" t="s">
        <v>972</v>
      </c>
      <c r="G534" s="402" t="s">
        <v>973</v>
      </c>
      <c r="H534" s="217" t="s">
        <v>164</v>
      </c>
      <c r="I534" s="162">
        <v>6</v>
      </c>
      <c r="J534" s="153"/>
      <c r="K534" s="153"/>
      <c r="L534" s="247"/>
      <c r="M534" s="153"/>
      <c r="N534" s="153"/>
      <c r="O534" s="199"/>
      <c r="P534" s="153"/>
    </row>
    <row r="535" spans="1:16" ht="15" customHeight="1" x14ac:dyDescent="0.3">
      <c r="A535" s="155" t="str">
        <f t="shared" si="109"/>
        <v>1347</v>
      </c>
      <c r="B535" s="183">
        <f t="shared" ref="B535:C535" si="115">B534</f>
        <v>13</v>
      </c>
      <c r="C535" s="157" t="str">
        <f t="shared" si="115"/>
        <v>Marketing &amp; communication</v>
      </c>
      <c r="D535" s="157" t="s">
        <v>939</v>
      </c>
      <c r="E535" s="169">
        <v>4</v>
      </c>
      <c r="F535" s="183" t="s">
        <v>972</v>
      </c>
      <c r="G535" s="403" t="s">
        <v>973</v>
      </c>
      <c r="H535" s="217" t="s">
        <v>164</v>
      </c>
      <c r="I535" s="171">
        <v>7</v>
      </c>
      <c r="J535" s="154"/>
      <c r="K535" s="154"/>
      <c r="L535" s="323"/>
      <c r="M535" s="154"/>
      <c r="N535" s="154"/>
      <c r="O535" s="200"/>
      <c r="P535" s="154"/>
    </row>
  </sheetData>
  <phoneticPr fontId="57" type="noConversion"/>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C18F2-D0B0-4C66-8A4C-67A13743E2AD}">
  <sheetPr codeName="Feuil2"/>
  <dimension ref="A1:U91"/>
  <sheetViews>
    <sheetView showGridLines="0" workbookViewId="0">
      <selection activeCell="G7" sqref="G7"/>
    </sheetView>
  </sheetViews>
  <sheetFormatPr baseColWidth="10" defaultRowHeight="14.4" x14ac:dyDescent="0.3"/>
  <cols>
    <col min="3" max="3" width="9.21875" bestFit="1" customWidth="1"/>
    <col min="16" max="16" width="13.21875" bestFit="1" customWidth="1"/>
    <col min="17" max="17" width="18.5546875" bestFit="1" customWidth="1"/>
    <col min="18" max="18" width="13.33203125" bestFit="1" customWidth="1"/>
    <col min="19" max="19" width="11.88671875" bestFit="1" customWidth="1"/>
  </cols>
  <sheetData>
    <row r="1" spans="1:21" ht="15" thickBot="1" x14ac:dyDescent="0.35">
      <c r="A1" s="1" t="s">
        <v>62</v>
      </c>
      <c r="B1" t="s">
        <v>507</v>
      </c>
      <c r="C1" s="2">
        <v>1</v>
      </c>
      <c r="D1" s="3">
        <v>2</v>
      </c>
      <c r="E1" s="2">
        <v>3</v>
      </c>
      <c r="F1" s="3">
        <v>4</v>
      </c>
      <c r="G1" s="2">
        <v>5</v>
      </c>
      <c r="H1" s="3">
        <v>6</v>
      </c>
      <c r="I1" s="2">
        <v>7</v>
      </c>
      <c r="J1" s="3">
        <v>8</v>
      </c>
      <c r="K1" s="2">
        <v>9</v>
      </c>
      <c r="L1" s="3">
        <v>10</v>
      </c>
      <c r="M1" s="2">
        <v>11</v>
      </c>
      <c r="N1" s="3">
        <v>12</v>
      </c>
      <c r="O1" s="3">
        <v>13</v>
      </c>
      <c r="P1" s="329" t="s">
        <v>850</v>
      </c>
      <c r="Q1" s="330" t="s">
        <v>852</v>
      </c>
      <c r="R1" s="330" t="s">
        <v>851</v>
      </c>
      <c r="S1" s="330">
        <v>0</v>
      </c>
    </row>
    <row r="2" spans="1:21" x14ac:dyDescent="0.3">
      <c r="A2" s="4">
        <v>1</v>
      </c>
      <c r="B2" s="5" t="str">
        <f>A2&amp;1</f>
        <v>11</v>
      </c>
      <c r="C2" s="5">
        <v>0</v>
      </c>
      <c r="D2" s="5">
        <v>0</v>
      </c>
      <c r="E2" s="5">
        <v>0</v>
      </c>
      <c r="F2" s="5">
        <v>0</v>
      </c>
      <c r="G2" s="5">
        <v>0</v>
      </c>
      <c r="H2" s="5">
        <v>0</v>
      </c>
      <c r="I2" s="6">
        <v>0</v>
      </c>
      <c r="J2" s="5">
        <v>0</v>
      </c>
      <c r="K2" s="5">
        <v>0</v>
      </c>
      <c r="L2" s="5">
        <v>0</v>
      </c>
      <c r="M2" s="5">
        <v>0</v>
      </c>
      <c r="N2" s="5">
        <v>0</v>
      </c>
      <c r="O2" s="5">
        <v>0</v>
      </c>
      <c r="Q2" s="331">
        <v>0</v>
      </c>
      <c r="R2" s="331">
        <v>0</v>
      </c>
      <c r="S2" s="331">
        <v>0</v>
      </c>
      <c r="U2">
        <v>1</v>
      </c>
    </row>
    <row r="3" spans="1:21" x14ac:dyDescent="0.3">
      <c r="A3">
        <v>1</v>
      </c>
      <c r="B3" s="7" t="str">
        <f>A3&amp;2</f>
        <v>12</v>
      </c>
      <c r="C3" s="7">
        <v>0</v>
      </c>
      <c r="D3" s="7">
        <v>0</v>
      </c>
      <c r="E3" s="7">
        <v>0</v>
      </c>
      <c r="F3" s="7">
        <v>0</v>
      </c>
      <c r="G3" s="7">
        <v>0</v>
      </c>
      <c r="H3" s="7">
        <v>0</v>
      </c>
      <c r="I3" s="8">
        <v>0</v>
      </c>
      <c r="J3" s="7">
        <v>0</v>
      </c>
      <c r="K3" s="7">
        <v>0</v>
      </c>
      <c r="L3" s="7">
        <v>0</v>
      </c>
      <c r="M3" s="7">
        <v>0</v>
      </c>
      <c r="N3" s="7">
        <v>0</v>
      </c>
      <c r="O3" s="7">
        <v>0</v>
      </c>
      <c r="Q3" s="331">
        <v>0</v>
      </c>
      <c r="R3" s="331">
        <v>0</v>
      </c>
      <c r="S3" s="331">
        <v>0</v>
      </c>
      <c r="U3">
        <v>1</v>
      </c>
    </row>
    <row r="4" spans="1:21" x14ac:dyDescent="0.3">
      <c r="A4">
        <v>1</v>
      </c>
      <c r="B4" s="7" t="str">
        <f>A4&amp;3</f>
        <v>13</v>
      </c>
      <c r="C4" s="7">
        <v>0</v>
      </c>
      <c r="D4" s="7">
        <v>0</v>
      </c>
      <c r="E4" s="7">
        <v>0</v>
      </c>
      <c r="F4" s="7">
        <v>0</v>
      </c>
      <c r="G4" s="7">
        <v>0</v>
      </c>
      <c r="H4" s="7">
        <v>0</v>
      </c>
      <c r="I4" s="8">
        <v>0</v>
      </c>
      <c r="J4" s="7">
        <v>0</v>
      </c>
      <c r="K4" s="7">
        <v>0</v>
      </c>
      <c r="L4" s="7">
        <v>0</v>
      </c>
      <c r="M4" s="7">
        <v>0</v>
      </c>
      <c r="N4" s="7">
        <v>0</v>
      </c>
      <c r="O4" s="7">
        <v>0</v>
      </c>
      <c r="Q4" s="331">
        <v>6</v>
      </c>
      <c r="R4" s="331">
        <v>0</v>
      </c>
      <c r="S4" s="331">
        <v>0</v>
      </c>
      <c r="U4">
        <v>1</v>
      </c>
    </row>
    <row r="5" spans="1:21" x14ac:dyDescent="0.3">
      <c r="A5">
        <v>1</v>
      </c>
      <c r="B5" s="7" t="str">
        <f>A5&amp;4</f>
        <v>14</v>
      </c>
      <c r="C5" s="7">
        <v>0</v>
      </c>
      <c r="D5" s="7">
        <v>0</v>
      </c>
      <c r="E5" s="7">
        <v>0</v>
      </c>
      <c r="F5" s="7">
        <v>0</v>
      </c>
      <c r="G5" s="7">
        <v>0</v>
      </c>
      <c r="H5" s="7">
        <v>0</v>
      </c>
      <c r="I5" s="8">
        <v>0</v>
      </c>
      <c r="J5" s="7">
        <v>0</v>
      </c>
      <c r="K5" s="7">
        <v>0</v>
      </c>
      <c r="L5" s="7">
        <v>0</v>
      </c>
      <c r="M5" s="7">
        <v>0</v>
      </c>
      <c r="N5" s="7">
        <v>0</v>
      </c>
      <c r="O5" s="7">
        <v>0</v>
      </c>
      <c r="Q5" s="331">
        <v>2</v>
      </c>
      <c r="R5" s="331">
        <v>0</v>
      </c>
      <c r="S5" s="331"/>
      <c r="U5">
        <v>1</v>
      </c>
    </row>
    <row r="6" spans="1:21" x14ac:dyDescent="0.3">
      <c r="A6">
        <v>1</v>
      </c>
      <c r="B6" s="7" t="str">
        <f>A6&amp;5</f>
        <v>15</v>
      </c>
      <c r="C6" s="7">
        <v>0</v>
      </c>
      <c r="D6" s="7">
        <v>0</v>
      </c>
      <c r="E6" s="7">
        <v>0</v>
      </c>
      <c r="F6" s="7">
        <v>0</v>
      </c>
      <c r="G6" s="7">
        <v>0</v>
      </c>
      <c r="H6" s="7">
        <v>0</v>
      </c>
      <c r="I6" s="8">
        <v>0</v>
      </c>
      <c r="J6" s="7">
        <v>0</v>
      </c>
      <c r="K6" s="7">
        <v>0</v>
      </c>
      <c r="L6" s="7">
        <v>0</v>
      </c>
      <c r="M6" s="7">
        <v>0</v>
      </c>
      <c r="N6" s="7">
        <v>0</v>
      </c>
      <c r="O6" s="7">
        <v>0</v>
      </c>
      <c r="Q6" s="332">
        <v>2</v>
      </c>
      <c r="R6" s="332">
        <v>0</v>
      </c>
      <c r="S6" s="332"/>
      <c r="U6">
        <v>1</v>
      </c>
    </row>
    <row r="7" spans="1:21" x14ac:dyDescent="0.3">
      <c r="A7">
        <v>1</v>
      </c>
      <c r="B7" s="7" t="str">
        <f>A7&amp;6</f>
        <v>16</v>
      </c>
      <c r="C7" s="7">
        <v>0</v>
      </c>
      <c r="D7" s="7">
        <v>0</v>
      </c>
      <c r="E7" s="7">
        <v>0</v>
      </c>
      <c r="F7" s="7">
        <v>0</v>
      </c>
      <c r="G7" s="7">
        <v>0</v>
      </c>
      <c r="H7" s="7">
        <v>0</v>
      </c>
      <c r="I7">
        <v>0</v>
      </c>
      <c r="J7" s="7">
        <v>0</v>
      </c>
      <c r="K7" s="7">
        <v>0</v>
      </c>
      <c r="L7" s="7">
        <v>0</v>
      </c>
      <c r="M7" s="7">
        <v>0</v>
      </c>
      <c r="N7" s="7">
        <v>0</v>
      </c>
      <c r="O7" s="7">
        <v>0</v>
      </c>
      <c r="Q7" s="328"/>
      <c r="R7" s="328"/>
      <c r="S7" s="328">
        <v>0</v>
      </c>
      <c r="U7">
        <v>1</v>
      </c>
    </row>
    <row r="8" spans="1:21" ht="15" thickBot="1" x14ac:dyDescent="0.35">
      <c r="A8">
        <v>1</v>
      </c>
      <c r="B8" s="9" t="str">
        <f>A8&amp;7</f>
        <v>17</v>
      </c>
      <c r="C8" s="10">
        <v>0</v>
      </c>
      <c r="D8" s="11">
        <v>0</v>
      </c>
      <c r="E8" s="11">
        <v>0</v>
      </c>
      <c r="F8" s="11">
        <v>0</v>
      </c>
      <c r="G8" s="11">
        <v>0</v>
      </c>
      <c r="H8" s="11">
        <v>0</v>
      </c>
      <c r="I8" s="10">
        <v>0</v>
      </c>
      <c r="J8" s="11">
        <v>0</v>
      </c>
      <c r="K8" s="11">
        <v>0</v>
      </c>
      <c r="L8" s="11">
        <v>0</v>
      </c>
      <c r="M8" s="11">
        <v>0</v>
      </c>
      <c r="N8" s="13">
        <v>0</v>
      </c>
      <c r="O8" s="12">
        <v>0</v>
      </c>
      <c r="U8">
        <v>1</v>
      </c>
    </row>
    <row r="9" spans="1:21" ht="15" thickBot="1" x14ac:dyDescent="0.35">
      <c r="A9" s="4">
        <v>2</v>
      </c>
      <c r="B9" s="7" t="str">
        <f>A9&amp;1</f>
        <v>21</v>
      </c>
      <c r="C9">
        <v>0</v>
      </c>
      <c r="D9" s="7">
        <v>0</v>
      </c>
      <c r="E9" s="7">
        <v>0</v>
      </c>
      <c r="F9" s="7">
        <v>0</v>
      </c>
      <c r="G9" s="7">
        <v>0</v>
      </c>
      <c r="H9" s="7">
        <v>0</v>
      </c>
      <c r="I9" s="7">
        <v>0</v>
      </c>
      <c r="J9" s="7">
        <v>0</v>
      </c>
      <c r="K9" s="7">
        <v>0</v>
      </c>
      <c r="L9" s="7">
        <v>0</v>
      </c>
      <c r="M9" s="7">
        <v>0</v>
      </c>
      <c r="N9" s="354">
        <v>0</v>
      </c>
      <c r="O9" s="13">
        <v>0</v>
      </c>
      <c r="P9" s="353">
        <v>8</v>
      </c>
      <c r="U9">
        <v>1</v>
      </c>
    </row>
    <row r="10" spans="1:21" x14ac:dyDescent="0.3">
      <c r="A10" s="14">
        <v>2</v>
      </c>
      <c r="B10" s="7" t="str">
        <f>A10&amp;2</f>
        <v>22</v>
      </c>
      <c r="C10">
        <v>0</v>
      </c>
      <c r="D10" s="7">
        <v>0</v>
      </c>
      <c r="E10" s="7">
        <v>0</v>
      </c>
      <c r="F10" s="7">
        <v>0</v>
      </c>
      <c r="G10" s="7">
        <v>0</v>
      </c>
      <c r="H10" s="7">
        <v>0</v>
      </c>
      <c r="I10" s="7">
        <v>0</v>
      </c>
      <c r="J10" s="7">
        <v>0</v>
      </c>
      <c r="K10" s="7">
        <v>0</v>
      </c>
      <c r="L10" s="7">
        <v>0</v>
      </c>
      <c r="M10" s="7">
        <v>0</v>
      </c>
      <c r="N10" s="5">
        <v>0</v>
      </c>
      <c r="O10" s="13">
        <v>0</v>
      </c>
      <c r="P10" s="348">
        <v>1</v>
      </c>
      <c r="U10">
        <v>1</v>
      </c>
    </row>
    <row r="11" spans="1:21" x14ac:dyDescent="0.3">
      <c r="A11" s="14">
        <v>2</v>
      </c>
      <c r="B11" s="7" t="str">
        <f>A11&amp;3</f>
        <v>23</v>
      </c>
      <c r="C11">
        <v>0</v>
      </c>
      <c r="D11" s="7">
        <v>0</v>
      </c>
      <c r="E11" s="7">
        <v>0</v>
      </c>
      <c r="F11" s="7">
        <v>0</v>
      </c>
      <c r="G11" s="7">
        <v>0</v>
      </c>
      <c r="H11" s="7">
        <v>0</v>
      </c>
      <c r="I11" s="7">
        <v>0</v>
      </c>
      <c r="J11" s="7">
        <v>0</v>
      </c>
      <c r="K11" s="7">
        <v>0</v>
      </c>
      <c r="L11" s="7">
        <v>0</v>
      </c>
      <c r="M11" s="7">
        <v>0</v>
      </c>
      <c r="N11" s="7">
        <v>0</v>
      </c>
      <c r="O11" s="13">
        <v>0</v>
      </c>
      <c r="P11" s="349">
        <v>2</v>
      </c>
      <c r="U11">
        <v>1</v>
      </c>
    </row>
    <row r="12" spans="1:21" x14ac:dyDescent="0.3">
      <c r="A12" s="14">
        <v>2</v>
      </c>
      <c r="B12" s="7" t="str">
        <f>A12&amp;4</f>
        <v>24</v>
      </c>
      <c r="C12">
        <v>0</v>
      </c>
      <c r="D12" s="7">
        <v>0</v>
      </c>
      <c r="E12" s="7">
        <v>0</v>
      </c>
      <c r="F12" s="7">
        <v>0</v>
      </c>
      <c r="G12" s="7">
        <v>0</v>
      </c>
      <c r="H12" s="7">
        <v>0</v>
      </c>
      <c r="I12" s="7">
        <v>0</v>
      </c>
      <c r="J12" s="7">
        <v>0</v>
      </c>
      <c r="K12" s="7">
        <v>0</v>
      </c>
      <c r="L12" s="7">
        <v>0</v>
      </c>
      <c r="M12" s="7">
        <v>0</v>
      </c>
      <c r="N12" s="7">
        <v>0</v>
      </c>
      <c r="O12" s="13">
        <v>0</v>
      </c>
      <c r="P12" s="349">
        <v>3</v>
      </c>
      <c r="U12">
        <v>1</v>
      </c>
    </row>
    <row r="13" spans="1:21" x14ac:dyDescent="0.3">
      <c r="A13" s="14">
        <v>2</v>
      </c>
      <c r="B13" s="7" t="str">
        <f>A13&amp;5</f>
        <v>25</v>
      </c>
      <c r="C13">
        <v>0</v>
      </c>
      <c r="D13" s="7">
        <v>0</v>
      </c>
      <c r="E13" s="7">
        <v>0</v>
      </c>
      <c r="F13" s="7">
        <v>0</v>
      </c>
      <c r="G13" s="7">
        <v>0</v>
      </c>
      <c r="H13" s="7">
        <v>0</v>
      </c>
      <c r="I13" s="7">
        <v>0</v>
      </c>
      <c r="J13" s="7">
        <v>0</v>
      </c>
      <c r="K13" s="7">
        <v>0</v>
      </c>
      <c r="L13" s="7">
        <v>0</v>
      </c>
      <c r="M13" s="7">
        <v>0</v>
      </c>
      <c r="N13" s="7">
        <v>0</v>
      </c>
      <c r="O13" s="7">
        <v>0</v>
      </c>
      <c r="P13" s="349">
        <v>4</v>
      </c>
      <c r="U13">
        <v>1</v>
      </c>
    </row>
    <row r="14" spans="1:21" x14ac:dyDescent="0.3">
      <c r="A14" s="14">
        <v>2</v>
      </c>
      <c r="B14" s="7" t="str">
        <f>A14&amp;6</f>
        <v>26</v>
      </c>
      <c r="C14">
        <v>0</v>
      </c>
      <c r="D14" s="7">
        <v>0</v>
      </c>
      <c r="E14" s="7">
        <v>0</v>
      </c>
      <c r="F14" s="7">
        <v>0</v>
      </c>
      <c r="G14" s="7">
        <v>0</v>
      </c>
      <c r="H14" s="7">
        <v>0</v>
      </c>
      <c r="I14" s="7">
        <v>0</v>
      </c>
      <c r="J14" s="7">
        <v>0</v>
      </c>
      <c r="K14" s="7">
        <v>0</v>
      </c>
      <c r="L14" s="7">
        <v>0</v>
      </c>
      <c r="M14" s="7">
        <v>0</v>
      </c>
      <c r="N14" s="7">
        <v>0</v>
      </c>
      <c r="O14" s="13">
        <v>0</v>
      </c>
      <c r="P14" s="349">
        <v>5</v>
      </c>
      <c r="U14">
        <v>1</v>
      </c>
    </row>
    <row r="15" spans="1:21" ht="15" thickBot="1" x14ac:dyDescent="0.35">
      <c r="A15" s="15">
        <v>2</v>
      </c>
      <c r="B15" s="9" t="str">
        <f>A15&amp;7</f>
        <v>27</v>
      </c>
      <c r="C15">
        <v>0</v>
      </c>
      <c r="D15" s="7">
        <v>0</v>
      </c>
      <c r="E15" s="7">
        <v>0</v>
      </c>
      <c r="F15" s="7">
        <v>0</v>
      </c>
      <c r="G15" s="7">
        <v>0</v>
      </c>
      <c r="H15" s="7">
        <v>0</v>
      </c>
      <c r="I15" s="7">
        <v>0</v>
      </c>
      <c r="J15" s="7">
        <v>0</v>
      </c>
      <c r="K15" s="7">
        <v>0</v>
      </c>
      <c r="L15" s="7">
        <v>0</v>
      </c>
      <c r="M15" s="7">
        <v>0</v>
      </c>
      <c r="N15" s="11">
        <v>0</v>
      </c>
      <c r="O15" s="13">
        <v>0</v>
      </c>
      <c r="U15">
        <v>1</v>
      </c>
    </row>
    <row r="16" spans="1:21" x14ac:dyDescent="0.3">
      <c r="A16" s="4">
        <v>3</v>
      </c>
      <c r="B16" s="5" t="str">
        <f>A16&amp;1</f>
        <v>31</v>
      </c>
      <c r="C16" s="5">
        <v>0</v>
      </c>
      <c r="D16" s="5">
        <v>0</v>
      </c>
      <c r="E16" s="5">
        <v>0</v>
      </c>
      <c r="F16" s="5">
        <v>0</v>
      </c>
      <c r="G16" s="5">
        <v>0</v>
      </c>
      <c r="H16" s="5">
        <v>0</v>
      </c>
      <c r="I16" s="6">
        <v>0</v>
      </c>
      <c r="J16" s="5">
        <v>0</v>
      </c>
      <c r="K16" s="5">
        <v>0</v>
      </c>
      <c r="L16" s="5">
        <v>0</v>
      </c>
      <c r="M16" s="5">
        <v>0</v>
      </c>
      <c r="N16" s="5">
        <v>0</v>
      </c>
      <c r="O16" s="5">
        <v>0</v>
      </c>
      <c r="U16">
        <v>1</v>
      </c>
    </row>
    <row r="17" spans="1:21" x14ac:dyDescent="0.3">
      <c r="A17">
        <v>3</v>
      </c>
      <c r="B17" s="7" t="str">
        <f>A17&amp;2</f>
        <v>32</v>
      </c>
      <c r="C17" s="7">
        <v>0</v>
      </c>
      <c r="D17" s="7">
        <v>0</v>
      </c>
      <c r="E17" s="7">
        <v>0</v>
      </c>
      <c r="F17" s="7">
        <v>0</v>
      </c>
      <c r="G17" s="7">
        <v>0</v>
      </c>
      <c r="H17" s="7">
        <v>0</v>
      </c>
      <c r="I17" s="8">
        <v>0</v>
      </c>
      <c r="J17" s="7">
        <v>0</v>
      </c>
      <c r="K17" s="7">
        <v>0</v>
      </c>
      <c r="L17" s="7">
        <v>0</v>
      </c>
      <c r="M17" s="7">
        <v>0</v>
      </c>
      <c r="N17" s="7">
        <v>0</v>
      </c>
      <c r="O17" s="7">
        <v>0</v>
      </c>
      <c r="U17">
        <v>1</v>
      </c>
    </row>
    <row r="18" spans="1:21" x14ac:dyDescent="0.3">
      <c r="A18">
        <v>3</v>
      </c>
      <c r="B18" s="7" t="str">
        <f>A18&amp;3</f>
        <v>33</v>
      </c>
      <c r="C18" s="7">
        <v>0</v>
      </c>
      <c r="D18" s="7">
        <v>0</v>
      </c>
      <c r="E18" s="7">
        <v>0</v>
      </c>
      <c r="F18" s="7">
        <v>0</v>
      </c>
      <c r="G18" s="7">
        <v>0</v>
      </c>
      <c r="H18" s="7">
        <v>0</v>
      </c>
      <c r="I18" s="8">
        <v>0</v>
      </c>
      <c r="J18" s="7">
        <v>0</v>
      </c>
      <c r="K18" s="7">
        <v>0</v>
      </c>
      <c r="L18" s="7">
        <v>0</v>
      </c>
      <c r="M18" s="7">
        <v>0</v>
      </c>
      <c r="N18" s="7">
        <v>0</v>
      </c>
      <c r="O18" s="7">
        <v>0</v>
      </c>
      <c r="U18">
        <v>1</v>
      </c>
    </row>
    <row r="19" spans="1:21" x14ac:dyDescent="0.3">
      <c r="A19">
        <v>3</v>
      </c>
      <c r="B19" s="7" t="str">
        <f>A19&amp;4</f>
        <v>34</v>
      </c>
      <c r="C19" s="7">
        <v>0</v>
      </c>
      <c r="D19" s="7">
        <v>0</v>
      </c>
      <c r="E19" s="7">
        <v>0</v>
      </c>
      <c r="F19" s="7">
        <v>0</v>
      </c>
      <c r="G19" s="7">
        <v>0</v>
      </c>
      <c r="H19" s="7">
        <v>0</v>
      </c>
      <c r="I19" s="8">
        <v>0</v>
      </c>
      <c r="J19" s="7">
        <v>0</v>
      </c>
      <c r="K19" s="7">
        <v>0</v>
      </c>
      <c r="L19" s="7">
        <v>0</v>
      </c>
      <c r="M19" s="7">
        <v>0</v>
      </c>
      <c r="N19" s="7">
        <v>0</v>
      </c>
      <c r="O19" s="7">
        <v>0</v>
      </c>
      <c r="U19">
        <v>1</v>
      </c>
    </row>
    <row r="20" spans="1:21" x14ac:dyDescent="0.3">
      <c r="A20">
        <v>3</v>
      </c>
      <c r="B20" s="7" t="str">
        <f>A20&amp;5</f>
        <v>35</v>
      </c>
      <c r="C20" s="7">
        <v>0</v>
      </c>
      <c r="D20" s="7">
        <v>0</v>
      </c>
      <c r="E20" s="7">
        <v>0</v>
      </c>
      <c r="F20" s="7">
        <v>0</v>
      </c>
      <c r="G20" s="7">
        <v>0</v>
      </c>
      <c r="H20" s="7">
        <v>0</v>
      </c>
      <c r="I20" s="8">
        <v>0</v>
      </c>
      <c r="J20" s="7">
        <v>0</v>
      </c>
      <c r="K20" s="7">
        <v>0</v>
      </c>
      <c r="L20" s="7">
        <v>0</v>
      </c>
      <c r="M20" s="7">
        <v>0</v>
      </c>
      <c r="N20" s="7">
        <v>0</v>
      </c>
      <c r="O20" s="7">
        <v>0</v>
      </c>
      <c r="U20">
        <v>1</v>
      </c>
    </row>
    <row r="21" spans="1:21" x14ac:dyDescent="0.3">
      <c r="A21">
        <v>3</v>
      </c>
      <c r="B21" s="7" t="str">
        <f>A21&amp;6</f>
        <v>36</v>
      </c>
      <c r="C21" s="7">
        <v>0</v>
      </c>
      <c r="D21" s="7">
        <v>0</v>
      </c>
      <c r="E21" s="7">
        <v>0</v>
      </c>
      <c r="F21" s="7">
        <v>0</v>
      </c>
      <c r="G21" s="7">
        <v>0</v>
      </c>
      <c r="H21" s="7">
        <v>0</v>
      </c>
      <c r="I21">
        <v>0</v>
      </c>
      <c r="J21" s="7">
        <v>0</v>
      </c>
      <c r="K21" s="7">
        <v>0</v>
      </c>
      <c r="L21" s="7">
        <v>0</v>
      </c>
      <c r="M21" s="7">
        <v>0</v>
      </c>
      <c r="N21" s="7">
        <v>0</v>
      </c>
      <c r="O21" s="7">
        <v>0</v>
      </c>
      <c r="U21">
        <v>1</v>
      </c>
    </row>
    <row r="22" spans="1:21" ht="15" thickBot="1" x14ac:dyDescent="0.35">
      <c r="A22">
        <v>3</v>
      </c>
      <c r="B22" s="9" t="str">
        <f>A22&amp;7</f>
        <v>37</v>
      </c>
      <c r="C22" s="10">
        <v>0</v>
      </c>
      <c r="D22" s="11">
        <v>0</v>
      </c>
      <c r="E22" s="11">
        <v>0</v>
      </c>
      <c r="F22" s="11">
        <v>0</v>
      </c>
      <c r="G22" s="11">
        <v>0</v>
      </c>
      <c r="H22" s="11">
        <v>0</v>
      </c>
      <c r="I22" s="10">
        <v>0</v>
      </c>
      <c r="J22" s="11">
        <v>0</v>
      </c>
      <c r="K22" s="11">
        <v>0</v>
      </c>
      <c r="L22" s="11">
        <v>0</v>
      </c>
      <c r="M22" s="11">
        <v>0</v>
      </c>
      <c r="N22" s="12">
        <v>0</v>
      </c>
      <c r="O22" s="13">
        <v>0</v>
      </c>
      <c r="U22">
        <v>1</v>
      </c>
    </row>
    <row r="23" spans="1:21" ht="15" thickBot="1" x14ac:dyDescent="0.35">
      <c r="A23" s="4">
        <v>4</v>
      </c>
      <c r="B23" s="7" t="str">
        <f>A23&amp;1</f>
        <v>41</v>
      </c>
      <c r="C23">
        <v>0</v>
      </c>
      <c r="D23" s="7">
        <v>0</v>
      </c>
      <c r="E23" s="7">
        <v>0</v>
      </c>
      <c r="F23" s="7">
        <v>0</v>
      </c>
      <c r="G23" s="7">
        <v>0</v>
      </c>
      <c r="H23" s="7">
        <v>0</v>
      </c>
      <c r="I23" s="7">
        <v>0</v>
      </c>
      <c r="J23" s="7">
        <v>0</v>
      </c>
      <c r="K23" s="7">
        <v>0</v>
      </c>
      <c r="L23" s="7">
        <v>0</v>
      </c>
      <c r="M23" s="7">
        <v>0</v>
      </c>
      <c r="N23" s="7">
        <v>0</v>
      </c>
      <c r="O23" s="355">
        <v>0</v>
      </c>
      <c r="P23" s="353">
        <v>8</v>
      </c>
      <c r="U23">
        <v>1</v>
      </c>
    </row>
    <row r="24" spans="1:21" x14ac:dyDescent="0.3">
      <c r="A24" s="14">
        <v>4</v>
      </c>
      <c r="B24" s="7" t="str">
        <f>A24&amp;2</f>
        <v>42</v>
      </c>
      <c r="C24">
        <v>0</v>
      </c>
      <c r="D24" s="7">
        <v>0</v>
      </c>
      <c r="E24" s="7">
        <v>0</v>
      </c>
      <c r="F24" s="7">
        <v>0</v>
      </c>
      <c r="G24" s="7">
        <v>0</v>
      </c>
      <c r="H24" s="7">
        <v>0</v>
      </c>
      <c r="I24" s="7">
        <v>0</v>
      </c>
      <c r="J24" s="7">
        <v>0</v>
      </c>
      <c r="K24" s="7">
        <v>0</v>
      </c>
      <c r="L24" s="7">
        <v>0</v>
      </c>
      <c r="M24" s="7">
        <v>0</v>
      </c>
      <c r="N24" s="13">
        <v>0</v>
      </c>
      <c r="O24" s="13">
        <v>0</v>
      </c>
      <c r="P24" s="348">
        <v>1</v>
      </c>
      <c r="U24">
        <v>1</v>
      </c>
    </row>
    <row r="25" spans="1:21" x14ac:dyDescent="0.3">
      <c r="A25" s="14">
        <v>4</v>
      </c>
      <c r="B25" s="7" t="str">
        <f>A25&amp;3</f>
        <v>43</v>
      </c>
      <c r="C25">
        <v>0</v>
      </c>
      <c r="D25" s="7">
        <v>0</v>
      </c>
      <c r="E25" s="7">
        <v>0</v>
      </c>
      <c r="F25" s="7">
        <v>0</v>
      </c>
      <c r="G25" s="7">
        <v>0</v>
      </c>
      <c r="H25" s="7">
        <v>0</v>
      </c>
      <c r="I25" s="7">
        <v>0</v>
      </c>
      <c r="J25" s="7">
        <v>0</v>
      </c>
      <c r="K25" s="7">
        <v>0</v>
      </c>
      <c r="L25" s="7">
        <v>0</v>
      </c>
      <c r="M25" s="7">
        <v>0</v>
      </c>
      <c r="N25" s="13">
        <v>0</v>
      </c>
      <c r="O25" s="13">
        <v>0</v>
      </c>
      <c r="P25" s="349">
        <v>2</v>
      </c>
      <c r="U25">
        <v>1</v>
      </c>
    </row>
    <row r="26" spans="1:21" x14ac:dyDescent="0.3">
      <c r="A26" s="14">
        <v>4</v>
      </c>
      <c r="B26" s="7" t="str">
        <f>A26&amp;4</f>
        <v>44</v>
      </c>
      <c r="C26">
        <v>0</v>
      </c>
      <c r="D26" s="7">
        <v>0</v>
      </c>
      <c r="E26" s="7">
        <v>0</v>
      </c>
      <c r="F26" s="7">
        <v>0</v>
      </c>
      <c r="G26" s="7">
        <v>0</v>
      </c>
      <c r="H26" s="7">
        <v>0</v>
      </c>
      <c r="I26" s="7">
        <v>0</v>
      </c>
      <c r="J26" s="7">
        <v>0</v>
      </c>
      <c r="K26" s="7">
        <v>0</v>
      </c>
      <c r="L26" s="7">
        <v>0</v>
      </c>
      <c r="M26" s="7">
        <v>0</v>
      </c>
      <c r="N26" s="13">
        <v>0</v>
      </c>
      <c r="O26" s="13">
        <v>0</v>
      </c>
      <c r="P26" s="349">
        <v>3</v>
      </c>
      <c r="U26">
        <v>1</v>
      </c>
    </row>
    <row r="27" spans="1:21" x14ac:dyDescent="0.3">
      <c r="A27" s="14">
        <v>4</v>
      </c>
      <c r="B27" s="7" t="str">
        <f>A27&amp;5</f>
        <v>45</v>
      </c>
      <c r="C27">
        <v>0</v>
      </c>
      <c r="D27" s="7">
        <v>0</v>
      </c>
      <c r="E27" s="7">
        <v>0</v>
      </c>
      <c r="F27" s="7">
        <v>0</v>
      </c>
      <c r="G27" s="7">
        <v>0</v>
      </c>
      <c r="H27" s="7">
        <v>0</v>
      </c>
      <c r="I27" s="7">
        <v>0</v>
      </c>
      <c r="J27" s="7">
        <v>0</v>
      </c>
      <c r="K27" s="7">
        <v>0</v>
      </c>
      <c r="L27" s="7">
        <v>0</v>
      </c>
      <c r="M27" s="7">
        <v>0</v>
      </c>
      <c r="N27" s="7">
        <v>0</v>
      </c>
      <c r="O27" s="7">
        <v>0</v>
      </c>
      <c r="P27" s="349">
        <v>4</v>
      </c>
      <c r="U27">
        <v>1</v>
      </c>
    </row>
    <row r="28" spans="1:21" x14ac:dyDescent="0.3">
      <c r="A28" s="14">
        <v>4</v>
      </c>
      <c r="B28" s="7" t="str">
        <f>A28&amp;6</f>
        <v>46</v>
      </c>
      <c r="C28">
        <v>0</v>
      </c>
      <c r="D28" s="7">
        <v>0</v>
      </c>
      <c r="E28" s="7">
        <v>0</v>
      </c>
      <c r="F28" s="7">
        <v>0</v>
      </c>
      <c r="G28" s="7">
        <v>0</v>
      </c>
      <c r="H28" s="7">
        <v>0</v>
      </c>
      <c r="I28" s="7">
        <v>0</v>
      </c>
      <c r="J28" s="7">
        <v>0</v>
      </c>
      <c r="K28" s="7">
        <v>0</v>
      </c>
      <c r="L28" s="7">
        <v>0</v>
      </c>
      <c r="M28" s="7">
        <v>0</v>
      </c>
      <c r="N28" s="13">
        <v>0</v>
      </c>
      <c r="O28" s="13">
        <v>0</v>
      </c>
      <c r="P28" s="349">
        <v>5</v>
      </c>
      <c r="U28">
        <v>1</v>
      </c>
    </row>
    <row r="29" spans="1:21" ht="15" thickBot="1" x14ac:dyDescent="0.35">
      <c r="A29" s="15">
        <v>4</v>
      </c>
      <c r="B29" s="9" t="str">
        <f>A29&amp;7</f>
        <v>47</v>
      </c>
      <c r="C29">
        <v>0</v>
      </c>
      <c r="D29" s="7">
        <v>0</v>
      </c>
      <c r="E29" s="7">
        <v>0</v>
      </c>
      <c r="F29" s="7">
        <v>0</v>
      </c>
      <c r="G29" s="7">
        <v>0</v>
      </c>
      <c r="H29" s="7">
        <v>0</v>
      </c>
      <c r="I29" s="7">
        <v>0</v>
      </c>
      <c r="J29" s="7">
        <v>0</v>
      </c>
      <c r="K29" s="7">
        <v>0</v>
      </c>
      <c r="L29" s="7">
        <v>0</v>
      </c>
      <c r="M29" s="7">
        <v>0</v>
      </c>
      <c r="N29" s="13">
        <v>0</v>
      </c>
      <c r="O29" s="13">
        <v>0</v>
      </c>
      <c r="U29">
        <v>1</v>
      </c>
    </row>
    <row r="30" spans="1:21" x14ac:dyDescent="0.3">
      <c r="A30" s="4">
        <v>5</v>
      </c>
      <c r="B30" s="5" t="str">
        <f>A30&amp;1</f>
        <v>51</v>
      </c>
      <c r="C30" s="5">
        <v>0</v>
      </c>
      <c r="D30" s="5">
        <v>0</v>
      </c>
      <c r="E30" s="5">
        <v>0</v>
      </c>
      <c r="F30" s="5">
        <v>0</v>
      </c>
      <c r="G30" s="5">
        <v>0</v>
      </c>
      <c r="H30" s="5">
        <v>0</v>
      </c>
      <c r="I30" s="6">
        <v>0</v>
      </c>
      <c r="J30" s="5">
        <v>0</v>
      </c>
      <c r="K30" s="5">
        <v>0</v>
      </c>
      <c r="L30" s="5">
        <v>0</v>
      </c>
      <c r="M30" s="5">
        <v>0</v>
      </c>
      <c r="N30" s="5">
        <v>0</v>
      </c>
      <c r="O30" s="5">
        <v>0</v>
      </c>
      <c r="U30">
        <v>1</v>
      </c>
    </row>
    <row r="31" spans="1:21" x14ac:dyDescent="0.3">
      <c r="A31">
        <v>5</v>
      </c>
      <c r="B31" s="7" t="str">
        <f>A31&amp;2</f>
        <v>52</v>
      </c>
      <c r="C31" s="7">
        <v>0</v>
      </c>
      <c r="D31" s="7">
        <v>0</v>
      </c>
      <c r="E31" s="7">
        <v>0</v>
      </c>
      <c r="F31" s="7">
        <v>0</v>
      </c>
      <c r="G31" s="7">
        <v>0</v>
      </c>
      <c r="H31" s="7">
        <v>0</v>
      </c>
      <c r="I31" s="8">
        <v>0</v>
      </c>
      <c r="J31" s="7">
        <v>0</v>
      </c>
      <c r="K31" s="7">
        <v>0</v>
      </c>
      <c r="L31" s="7">
        <v>0</v>
      </c>
      <c r="M31" s="7">
        <v>0</v>
      </c>
      <c r="N31" s="7">
        <v>0</v>
      </c>
      <c r="O31" s="7">
        <v>0</v>
      </c>
      <c r="U31">
        <v>1</v>
      </c>
    </row>
    <row r="32" spans="1:21" x14ac:dyDescent="0.3">
      <c r="A32">
        <v>5</v>
      </c>
      <c r="B32" s="7" t="str">
        <f>A32&amp;3</f>
        <v>53</v>
      </c>
      <c r="C32" s="7">
        <v>0</v>
      </c>
      <c r="D32" s="7">
        <v>0</v>
      </c>
      <c r="E32" s="7">
        <v>0</v>
      </c>
      <c r="F32" s="7">
        <v>0</v>
      </c>
      <c r="G32" s="7">
        <v>0</v>
      </c>
      <c r="H32" s="7">
        <v>0</v>
      </c>
      <c r="I32" s="8">
        <v>0</v>
      </c>
      <c r="J32" s="7">
        <v>0</v>
      </c>
      <c r="K32" s="7">
        <v>0</v>
      </c>
      <c r="L32" s="7">
        <v>0</v>
      </c>
      <c r="M32" s="7">
        <v>0</v>
      </c>
      <c r="N32" s="7">
        <v>0</v>
      </c>
      <c r="O32" s="7">
        <v>0</v>
      </c>
      <c r="U32">
        <v>1</v>
      </c>
    </row>
    <row r="33" spans="1:21" x14ac:dyDescent="0.3">
      <c r="A33">
        <v>5</v>
      </c>
      <c r="B33" s="7" t="str">
        <f>A33&amp;4</f>
        <v>54</v>
      </c>
      <c r="C33" s="7">
        <v>0</v>
      </c>
      <c r="D33" s="7">
        <v>0</v>
      </c>
      <c r="E33" s="7">
        <v>0</v>
      </c>
      <c r="F33" s="7">
        <v>0</v>
      </c>
      <c r="G33" s="7">
        <v>0</v>
      </c>
      <c r="H33" s="7">
        <v>0</v>
      </c>
      <c r="I33" s="8">
        <v>0</v>
      </c>
      <c r="J33" s="7">
        <v>0</v>
      </c>
      <c r="K33" s="7">
        <v>0</v>
      </c>
      <c r="L33" s="7">
        <v>0</v>
      </c>
      <c r="M33" s="7">
        <v>0</v>
      </c>
      <c r="N33" s="7">
        <v>0</v>
      </c>
      <c r="O33" s="7">
        <v>0</v>
      </c>
      <c r="U33">
        <v>1</v>
      </c>
    </row>
    <row r="34" spans="1:21" x14ac:dyDescent="0.3">
      <c r="A34">
        <v>5</v>
      </c>
      <c r="B34" s="7" t="str">
        <f>A34&amp;5</f>
        <v>55</v>
      </c>
      <c r="C34" s="7">
        <v>0</v>
      </c>
      <c r="D34" s="7">
        <v>0</v>
      </c>
      <c r="E34" s="7">
        <v>0</v>
      </c>
      <c r="F34" s="7">
        <v>0</v>
      </c>
      <c r="G34" s="7">
        <v>0</v>
      </c>
      <c r="H34" s="7">
        <v>0</v>
      </c>
      <c r="I34" s="8">
        <v>0</v>
      </c>
      <c r="J34" s="7">
        <v>0</v>
      </c>
      <c r="K34" s="7">
        <v>0</v>
      </c>
      <c r="L34" s="7">
        <v>0</v>
      </c>
      <c r="M34" s="7">
        <v>0</v>
      </c>
      <c r="N34" s="7">
        <v>0</v>
      </c>
      <c r="O34" s="7">
        <v>0</v>
      </c>
      <c r="U34">
        <v>1</v>
      </c>
    </row>
    <row r="35" spans="1:21" x14ac:dyDescent="0.3">
      <c r="A35">
        <v>5</v>
      </c>
      <c r="B35" s="7" t="str">
        <f>A35&amp;6</f>
        <v>56</v>
      </c>
      <c r="C35" s="7">
        <v>0</v>
      </c>
      <c r="D35" s="7">
        <v>0</v>
      </c>
      <c r="E35" s="7">
        <v>0</v>
      </c>
      <c r="F35" s="7">
        <v>0</v>
      </c>
      <c r="G35" s="7">
        <v>0</v>
      </c>
      <c r="H35" s="7">
        <v>0</v>
      </c>
      <c r="I35">
        <v>0</v>
      </c>
      <c r="J35" s="7">
        <v>0</v>
      </c>
      <c r="K35" s="7">
        <v>0</v>
      </c>
      <c r="L35" s="7">
        <v>0</v>
      </c>
      <c r="M35" s="7">
        <v>0</v>
      </c>
      <c r="N35" s="7">
        <v>0</v>
      </c>
      <c r="O35" s="7">
        <v>0</v>
      </c>
      <c r="U35">
        <v>1</v>
      </c>
    </row>
    <row r="36" spans="1:21" ht="15" thickBot="1" x14ac:dyDescent="0.35">
      <c r="A36">
        <v>5</v>
      </c>
      <c r="B36" s="9" t="str">
        <f>A36&amp;7</f>
        <v>57</v>
      </c>
      <c r="C36" s="10">
        <v>0</v>
      </c>
      <c r="D36" s="11">
        <v>0</v>
      </c>
      <c r="E36" s="11">
        <v>0</v>
      </c>
      <c r="F36" s="11">
        <v>0</v>
      </c>
      <c r="G36" s="11">
        <v>0</v>
      </c>
      <c r="H36" s="11">
        <v>0</v>
      </c>
      <c r="I36" s="10">
        <v>0</v>
      </c>
      <c r="J36" s="11">
        <v>0</v>
      </c>
      <c r="K36" s="11">
        <v>0</v>
      </c>
      <c r="L36" s="11">
        <v>0</v>
      </c>
      <c r="M36" s="11">
        <v>0</v>
      </c>
      <c r="N36" s="12">
        <v>0</v>
      </c>
      <c r="O36" s="12">
        <v>0</v>
      </c>
      <c r="U36">
        <v>1</v>
      </c>
    </row>
    <row r="37" spans="1:21" x14ac:dyDescent="0.3">
      <c r="A37" s="4">
        <v>6</v>
      </c>
      <c r="B37" s="7" t="str">
        <f>A37&amp;1</f>
        <v>61</v>
      </c>
      <c r="C37">
        <v>0</v>
      </c>
      <c r="D37" s="7">
        <v>0</v>
      </c>
      <c r="E37" s="7">
        <v>0</v>
      </c>
      <c r="F37" s="7">
        <v>0</v>
      </c>
      <c r="G37" s="7">
        <v>0</v>
      </c>
      <c r="H37" s="7">
        <v>0</v>
      </c>
      <c r="I37" s="7">
        <v>0</v>
      </c>
      <c r="J37" s="7">
        <v>0</v>
      </c>
      <c r="K37" s="7">
        <v>0</v>
      </c>
      <c r="L37" s="7">
        <v>0</v>
      </c>
      <c r="M37" s="7">
        <v>0</v>
      </c>
      <c r="N37" s="13">
        <v>0</v>
      </c>
      <c r="O37" s="13">
        <v>0</v>
      </c>
      <c r="U37">
        <v>1</v>
      </c>
    </row>
    <row r="38" spans="1:21" x14ac:dyDescent="0.3">
      <c r="A38" s="14">
        <v>6</v>
      </c>
      <c r="B38" s="7" t="str">
        <f>A38&amp;2</f>
        <v>62</v>
      </c>
      <c r="C38">
        <v>0</v>
      </c>
      <c r="D38" s="7">
        <v>0</v>
      </c>
      <c r="E38" s="7">
        <v>0</v>
      </c>
      <c r="F38" s="7">
        <v>0</v>
      </c>
      <c r="G38" s="7">
        <v>0</v>
      </c>
      <c r="H38" s="7">
        <v>0</v>
      </c>
      <c r="I38" s="7">
        <v>0</v>
      </c>
      <c r="J38" s="7">
        <v>0</v>
      </c>
      <c r="K38" s="7">
        <v>0</v>
      </c>
      <c r="L38" s="7">
        <v>0</v>
      </c>
      <c r="M38" s="7">
        <v>0</v>
      </c>
      <c r="N38" s="13">
        <v>0</v>
      </c>
      <c r="O38" s="13">
        <v>0</v>
      </c>
      <c r="U38">
        <v>1</v>
      </c>
    </row>
    <row r="39" spans="1:21" x14ac:dyDescent="0.3">
      <c r="A39" s="14">
        <v>6</v>
      </c>
      <c r="B39" s="7" t="str">
        <f>A39&amp;3</f>
        <v>63</v>
      </c>
      <c r="C39">
        <v>0</v>
      </c>
      <c r="D39" s="7">
        <v>0</v>
      </c>
      <c r="E39" s="7">
        <v>0</v>
      </c>
      <c r="F39" s="7">
        <v>0</v>
      </c>
      <c r="G39" s="7">
        <v>0</v>
      </c>
      <c r="H39" s="7">
        <v>0</v>
      </c>
      <c r="I39" s="7">
        <v>0</v>
      </c>
      <c r="J39" s="7">
        <v>0</v>
      </c>
      <c r="K39" s="7">
        <v>0</v>
      </c>
      <c r="L39" s="7">
        <v>0</v>
      </c>
      <c r="M39" s="7">
        <v>0</v>
      </c>
      <c r="N39" s="13">
        <v>0</v>
      </c>
      <c r="O39" s="13">
        <v>0</v>
      </c>
      <c r="U39">
        <v>1</v>
      </c>
    </row>
    <row r="40" spans="1:21" x14ac:dyDescent="0.3">
      <c r="A40" s="14">
        <v>6</v>
      </c>
      <c r="B40" s="7" t="str">
        <f>A40&amp;4</f>
        <v>64</v>
      </c>
      <c r="C40">
        <v>0</v>
      </c>
      <c r="D40" s="7">
        <v>0</v>
      </c>
      <c r="E40" s="7">
        <v>0</v>
      </c>
      <c r="F40" s="7">
        <v>0</v>
      </c>
      <c r="G40" s="7">
        <v>0</v>
      </c>
      <c r="H40" s="7">
        <v>0</v>
      </c>
      <c r="I40" s="7">
        <v>0</v>
      </c>
      <c r="J40" s="7">
        <v>0</v>
      </c>
      <c r="K40" s="7">
        <v>0</v>
      </c>
      <c r="L40" s="7">
        <v>0</v>
      </c>
      <c r="M40" s="7">
        <v>0</v>
      </c>
      <c r="N40" s="13">
        <v>0</v>
      </c>
      <c r="O40" s="13">
        <v>0</v>
      </c>
      <c r="U40">
        <v>1</v>
      </c>
    </row>
    <row r="41" spans="1:21" x14ac:dyDescent="0.3">
      <c r="A41" s="14">
        <v>6</v>
      </c>
      <c r="B41" s="7" t="str">
        <f>A41&amp;5</f>
        <v>65</v>
      </c>
      <c r="C41">
        <v>0</v>
      </c>
      <c r="D41" s="7">
        <v>0</v>
      </c>
      <c r="E41" s="7">
        <v>0</v>
      </c>
      <c r="F41" s="7">
        <v>0</v>
      </c>
      <c r="G41" s="7">
        <v>0</v>
      </c>
      <c r="H41" s="7">
        <v>0</v>
      </c>
      <c r="I41" s="7">
        <v>0</v>
      </c>
      <c r="J41" s="7">
        <v>0</v>
      </c>
      <c r="K41" s="7">
        <v>0</v>
      </c>
      <c r="L41" s="7">
        <v>0</v>
      </c>
      <c r="M41" s="7">
        <v>0</v>
      </c>
      <c r="N41" s="7">
        <v>0</v>
      </c>
      <c r="O41" s="7">
        <v>0</v>
      </c>
      <c r="U41">
        <v>1</v>
      </c>
    </row>
    <row r="42" spans="1:21" x14ac:dyDescent="0.3">
      <c r="A42" s="14">
        <v>6</v>
      </c>
      <c r="B42" s="7" t="str">
        <f>A42&amp;6</f>
        <v>66</v>
      </c>
      <c r="C42">
        <v>0</v>
      </c>
      <c r="D42" s="7">
        <v>0</v>
      </c>
      <c r="E42" s="7">
        <v>0</v>
      </c>
      <c r="F42" s="7">
        <v>0</v>
      </c>
      <c r="G42" s="7">
        <v>0</v>
      </c>
      <c r="H42" s="7">
        <v>0</v>
      </c>
      <c r="I42" s="7">
        <v>0</v>
      </c>
      <c r="J42" s="7">
        <v>0</v>
      </c>
      <c r="K42" s="7">
        <v>0</v>
      </c>
      <c r="L42" s="7">
        <v>0</v>
      </c>
      <c r="M42" s="7">
        <v>0</v>
      </c>
      <c r="N42" s="13">
        <v>0</v>
      </c>
      <c r="O42" s="13">
        <v>0</v>
      </c>
      <c r="U42">
        <v>1</v>
      </c>
    </row>
    <row r="43" spans="1:21" ht="15" thickBot="1" x14ac:dyDescent="0.35">
      <c r="A43" s="15">
        <v>6</v>
      </c>
      <c r="B43" s="9" t="str">
        <f>A43&amp;7</f>
        <v>67</v>
      </c>
      <c r="C43">
        <v>0</v>
      </c>
      <c r="D43" s="7">
        <v>0</v>
      </c>
      <c r="E43" s="7">
        <v>0</v>
      </c>
      <c r="F43" s="7">
        <v>0</v>
      </c>
      <c r="G43" s="7">
        <v>0</v>
      </c>
      <c r="H43" s="7">
        <v>0</v>
      </c>
      <c r="I43" s="7">
        <v>0</v>
      </c>
      <c r="J43" s="7">
        <v>0</v>
      </c>
      <c r="K43" s="7">
        <v>0</v>
      </c>
      <c r="L43" s="7">
        <v>0</v>
      </c>
      <c r="M43" s="7">
        <v>0</v>
      </c>
      <c r="N43" s="13">
        <v>0</v>
      </c>
      <c r="O43" s="13">
        <v>0</v>
      </c>
      <c r="U43">
        <v>1</v>
      </c>
    </row>
    <row r="44" spans="1:21" x14ac:dyDescent="0.3">
      <c r="A44" s="4">
        <v>7</v>
      </c>
      <c r="B44" s="5" t="str">
        <f>A44&amp;1</f>
        <v>71</v>
      </c>
      <c r="C44" s="5">
        <v>0</v>
      </c>
      <c r="D44" s="5">
        <v>0</v>
      </c>
      <c r="E44" s="5">
        <v>0</v>
      </c>
      <c r="F44" s="5">
        <v>0</v>
      </c>
      <c r="G44" s="5">
        <v>0</v>
      </c>
      <c r="H44" s="5">
        <v>0</v>
      </c>
      <c r="I44" s="6">
        <v>0</v>
      </c>
      <c r="J44" s="5">
        <v>0</v>
      </c>
      <c r="K44" s="5">
        <v>0</v>
      </c>
      <c r="L44" s="5">
        <v>0</v>
      </c>
      <c r="M44" s="5">
        <v>0</v>
      </c>
      <c r="N44" s="5">
        <v>0</v>
      </c>
      <c r="O44" s="5">
        <v>0</v>
      </c>
      <c r="U44">
        <v>1</v>
      </c>
    </row>
    <row r="45" spans="1:21" x14ac:dyDescent="0.3">
      <c r="A45">
        <v>7</v>
      </c>
      <c r="B45" s="7" t="str">
        <f>A45&amp;2</f>
        <v>72</v>
      </c>
      <c r="C45" s="7">
        <v>0</v>
      </c>
      <c r="D45" s="7">
        <v>0</v>
      </c>
      <c r="E45" s="7">
        <v>0</v>
      </c>
      <c r="F45" s="7">
        <v>0</v>
      </c>
      <c r="G45" s="7">
        <v>0</v>
      </c>
      <c r="H45" s="7">
        <v>0</v>
      </c>
      <c r="I45" s="8">
        <v>0</v>
      </c>
      <c r="J45" s="7">
        <v>0</v>
      </c>
      <c r="K45" s="7">
        <v>0</v>
      </c>
      <c r="L45" s="7">
        <v>0</v>
      </c>
      <c r="M45" s="7">
        <v>0</v>
      </c>
      <c r="N45" s="7">
        <v>0</v>
      </c>
      <c r="O45" s="7">
        <v>0</v>
      </c>
      <c r="U45">
        <v>1</v>
      </c>
    </row>
    <row r="46" spans="1:21" x14ac:dyDescent="0.3">
      <c r="A46">
        <v>7</v>
      </c>
      <c r="B46" s="7" t="str">
        <f>A46&amp;3</f>
        <v>73</v>
      </c>
      <c r="C46" s="7">
        <v>0</v>
      </c>
      <c r="D46" s="7">
        <v>0</v>
      </c>
      <c r="E46" s="7">
        <v>0</v>
      </c>
      <c r="F46" s="7">
        <v>0</v>
      </c>
      <c r="G46" s="7">
        <v>0</v>
      </c>
      <c r="H46" s="7">
        <v>0</v>
      </c>
      <c r="I46" s="8">
        <v>0</v>
      </c>
      <c r="J46" s="7">
        <v>0</v>
      </c>
      <c r="K46" s="7">
        <v>0</v>
      </c>
      <c r="L46" s="7">
        <v>0</v>
      </c>
      <c r="M46" s="7">
        <v>0</v>
      </c>
      <c r="N46" s="7">
        <v>0</v>
      </c>
      <c r="O46" s="7">
        <v>0</v>
      </c>
      <c r="U46">
        <v>1</v>
      </c>
    </row>
    <row r="47" spans="1:21" x14ac:dyDescent="0.3">
      <c r="A47">
        <v>7</v>
      </c>
      <c r="B47" s="7" t="str">
        <f>A47&amp;4</f>
        <v>74</v>
      </c>
      <c r="C47" s="7">
        <v>0</v>
      </c>
      <c r="D47" s="7">
        <v>0</v>
      </c>
      <c r="E47" s="7">
        <v>0</v>
      </c>
      <c r="F47" s="7">
        <v>0</v>
      </c>
      <c r="G47" s="7">
        <v>0</v>
      </c>
      <c r="H47" s="7">
        <v>0</v>
      </c>
      <c r="I47" s="8">
        <v>0</v>
      </c>
      <c r="J47" s="7">
        <v>0</v>
      </c>
      <c r="K47" s="7">
        <v>0</v>
      </c>
      <c r="L47" s="7">
        <v>0</v>
      </c>
      <c r="M47" s="7">
        <v>0</v>
      </c>
      <c r="N47" s="7">
        <v>0</v>
      </c>
      <c r="O47" s="7">
        <v>0</v>
      </c>
      <c r="U47">
        <v>1</v>
      </c>
    </row>
    <row r="48" spans="1:21" x14ac:dyDescent="0.3">
      <c r="A48">
        <v>7</v>
      </c>
      <c r="B48" s="7" t="str">
        <f>A48&amp;5</f>
        <v>75</v>
      </c>
      <c r="C48" s="7">
        <v>0</v>
      </c>
      <c r="D48" s="7">
        <v>0</v>
      </c>
      <c r="E48" s="7">
        <v>0</v>
      </c>
      <c r="F48" s="7">
        <v>0</v>
      </c>
      <c r="G48" s="7">
        <v>0</v>
      </c>
      <c r="H48" s="7">
        <v>0</v>
      </c>
      <c r="I48" s="8">
        <v>0</v>
      </c>
      <c r="J48" s="7">
        <v>0</v>
      </c>
      <c r="K48" s="7">
        <v>0</v>
      </c>
      <c r="L48" s="7">
        <v>0</v>
      </c>
      <c r="M48" s="7">
        <v>0</v>
      </c>
      <c r="N48" s="7">
        <v>0</v>
      </c>
      <c r="O48" s="7">
        <v>0</v>
      </c>
      <c r="U48">
        <v>1</v>
      </c>
    </row>
    <row r="49" spans="1:21" x14ac:dyDescent="0.3">
      <c r="A49">
        <v>7</v>
      </c>
      <c r="B49" s="7" t="str">
        <f>A49&amp;6</f>
        <v>76</v>
      </c>
      <c r="C49" s="7">
        <v>0</v>
      </c>
      <c r="D49" s="7">
        <v>0</v>
      </c>
      <c r="E49" s="7">
        <v>0</v>
      </c>
      <c r="F49" s="7">
        <v>0</v>
      </c>
      <c r="G49" s="7">
        <v>0</v>
      </c>
      <c r="H49" s="7">
        <v>0</v>
      </c>
      <c r="I49">
        <v>0</v>
      </c>
      <c r="J49" s="7">
        <v>0</v>
      </c>
      <c r="K49" s="7">
        <v>0</v>
      </c>
      <c r="L49" s="7">
        <v>0</v>
      </c>
      <c r="M49" s="7">
        <v>0</v>
      </c>
      <c r="N49" s="7">
        <v>0</v>
      </c>
      <c r="O49" s="7">
        <v>0</v>
      </c>
      <c r="U49">
        <v>1</v>
      </c>
    </row>
    <row r="50" spans="1:21" ht="15" thickBot="1" x14ac:dyDescent="0.35">
      <c r="A50">
        <v>7</v>
      </c>
      <c r="B50" s="9" t="str">
        <f>A50&amp;7</f>
        <v>77</v>
      </c>
      <c r="C50" s="10">
        <v>0</v>
      </c>
      <c r="D50" s="11">
        <v>0</v>
      </c>
      <c r="E50" s="11">
        <v>0</v>
      </c>
      <c r="F50" s="11">
        <v>0</v>
      </c>
      <c r="G50" s="11">
        <v>0</v>
      </c>
      <c r="H50" s="11">
        <v>0</v>
      </c>
      <c r="I50" s="10">
        <v>0</v>
      </c>
      <c r="J50" s="11">
        <v>0</v>
      </c>
      <c r="K50" s="11">
        <v>0</v>
      </c>
      <c r="L50" s="11">
        <v>0</v>
      </c>
      <c r="M50" s="11">
        <v>0</v>
      </c>
      <c r="N50" s="12">
        <v>0</v>
      </c>
      <c r="O50" s="12">
        <v>0</v>
      </c>
      <c r="U50">
        <v>1</v>
      </c>
    </row>
    <row r="51" spans="1:21" x14ac:dyDescent="0.3">
      <c r="A51" s="4">
        <v>8</v>
      </c>
      <c r="B51" s="7" t="str">
        <f>A51&amp;1</f>
        <v>81</v>
      </c>
      <c r="C51">
        <v>0</v>
      </c>
      <c r="D51" s="7">
        <v>0</v>
      </c>
      <c r="E51" s="7">
        <v>0</v>
      </c>
      <c r="F51" s="7">
        <v>0</v>
      </c>
      <c r="G51" s="7">
        <v>0</v>
      </c>
      <c r="H51" s="7">
        <v>0</v>
      </c>
      <c r="I51" s="7">
        <v>0</v>
      </c>
      <c r="J51" s="7">
        <v>0</v>
      </c>
      <c r="K51" s="7">
        <v>0</v>
      </c>
      <c r="L51" s="7">
        <v>0</v>
      </c>
      <c r="M51" s="7">
        <v>0</v>
      </c>
      <c r="N51" s="13">
        <v>0</v>
      </c>
      <c r="O51" s="13">
        <v>0</v>
      </c>
    </row>
    <row r="52" spans="1:21" x14ac:dyDescent="0.3">
      <c r="A52" s="14">
        <v>8</v>
      </c>
      <c r="B52" s="7" t="str">
        <f>A52&amp;2</f>
        <v>82</v>
      </c>
      <c r="C52">
        <v>0</v>
      </c>
      <c r="D52" s="7">
        <v>0</v>
      </c>
      <c r="E52" s="7">
        <v>0</v>
      </c>
      <c r="F52" s="7">
        <v>0</v>
      </c>
      <c r="G52" s="7">
        <v>0</v>
      </c>
      <c r="H52" s="7">
        <v>0</v>
      </c>
      <c r="I52" s="7">
        <v>0</v>
      </c>
      <c r="J52" s="7">
        <v>0</v>
      </c>
      <c r="K52" s="7">
        <v>0</v>
      </c>
      <c r="L52" s="7">
        <v>0</v>
      </c>
      <c r="M52" s="7">
        <v>0</v>
      </c>
      <c r="N52" s="13">
        <v>0</v>
      </c>
      <c r="O52" s="13">
        <v>0</v>
      </c>
    </row>
    <row r="53" spans="1:21" x14ac:dyDescent="0.3">
      <c r="A53" s="14">
        <v>8</v>
      </c>
      <c r="B53" s="7" t="str">
        <f>A53&amp;3</f>
        <v>83</v>
      </c>
      <c r="C53">
        <v>0</v>
      </c>
      <c r="D53" s="7">
        <v>0</v>
      </c>
      <c r="E53" s="7">
        <v>0</v>
      </c>
      <c r="F53" s="7">
        <v>0</v>
      </c>
      <c r="G53" s="7">
        <v>0</v>
      </c>
      <c r="H53" s="7">
        <v>0</v>
      </c>
      <c r="I53" s="7">
        <v>0</v>
      </c>
      <c r="J53" s="7">
        <v>0</v>
      </c>
      <c r="K53" s="7">
        <v>0</v>
      </c>
      <c r="L53" s="7">
        <v>0</v>
      </c>
      <c r="M53" s="7">
        <v>0</v>
      </c>
      <c r="N53" s="13">
        <v>0</v>
      </c>
      <c r="O53" s="13">
        <v>0</v>
      </c>
    </row>
    <row r="54" spans="1:21" x14ac:dyDescent="0.3">
      <c r="A54" s="14">
        <v>8</v>
      </c>
      <c r="B54" s="7" t="str">
        <f>A54&amp;4</f>
        <v>84</v>
      </c>
      <c r="C54">
        <v>0</v>
      </c>
      <c r="D54" s="7">
        <v>0</v>
      </c>
      <c r="E54" s="7">
        <v>0</v>
      </c>
      <c r="F54" s="7">
        <v>0</v>
      </c>
      <c r="G54" s="7">
        <v>0</v>
      </c>
      <c r="H54" s="7">
        <v>0</v>
      </c>
      <c r="I54" s="7">
        <v>0</v>
      </c>
      <c r="J54" s="7">
        <v>0</v>
      </c>
      <c r="K54" s="7">
        <v>0</v>
      </c>
      <c r="L54" s="7">
        <v>0</v>
      </c>
      <c r="M54" s="7">
        <v>0</v>
      </c>
      <c r="N54" s="13">
        <v>0</v>
      </c>
      <c r="O54" s="13">
        <v>0</v>
      </c>
    </row>
    <row r="55" spans="1:21" x14ac:dyDescent="0.3">
      <c r="A55" s="14">
        <v>8</v>
      </c>
      <c r="B55" s="7" t="str">
        <f>A55&amp;5</f>
        <v>85</v>
      </c>
      <c r="C55">
        <v>0</v>
      </c>
      <c r="D55" s="7">
        <v>0</v>
      </c>
      <c r="E55" s="7">
        <v>0</v>
      </c>
      <c r="F55" s="7">
        <v>0</v>
      </c>
      <c r="G55" s="7">
        <v>0</v>
      </c>
      <c r="H55" s="7">
        <v>0</v>
      </c>
      <c r="I55" s="7">
        <v>0</v>
      </c>
      <c r="J55" s="7">
        <v>0</v>
      </c>
      <c r="K55" s="7">
        <v>0</v>
      </c>
      <c r="L55" s="7">
        <v>0</v>
      </c>
      <c r="M55" s="7">
        <v>0</v>
      </c>
      <c r="N55" s="7">
        <v>0</v>
      </c>
      <c r="O55" s="7">
        <v>0</v>
      </c>
    </row>
    <row r="56" spans="1:21" x14ac:dyDescent="0.3">
      <c r="A56" s="14">
        <v>8</v>
      </c>
      <c r="B56" s="7" t="str">
        <f>A56&amp;6</f>
        <v>86</v>
      </c>
      <c r="C56">
        <v>0</v>
      </c>
      <c r="D56" s="7">
        <v>0</v>
      </c>
      <c r="E56" s="7">
        <v>0</v>
      </c>
      <c r="F56" s="7">
        <v>0</v>
      </c>
      <c r="G56" s="7">
        <v>0</v>
      </c>
      <c r="H56" s="7">
        <v>0</v>
      </c>
      <c r="I56" s="7">
        <v>0</v>
      </c>
      <c r="J56" s="7">
        <v>0</v>
      </c>
      <c r="K56" s="7">
        <v>0</v>
      </c>
      <c r="L56" s="7">
        <v>0</v>
      </c>
      <c r="M56" s="7">
        <v>0</v>
      </c>
      <c r="N56" s="13">
        <v>0</v>
      </c>
      <c r="O56" s="13">
        <v>0</v>
      </c>
    </row>
    <row r="57" spans="1:21" ht="15" thickBot="1" x14ac:dyDescent="0.35">
      <c r="A57" s="15">
        <v>8</v>
      </c>
      <c r="B57" s="9" t="str">
        <f>A57&amp;7</f>
        <v>87</v>
      </c>
      <c r="C57">
        <v>0</v>
      </c>
      <c r="D57" s="7">
        <v>0</v>
      </c>
      <c r="E57" s="7">
        <v>0</v>
      </c>
      <c r="F57" s="7">
        <v>0</v>
      </c>
      <c r="G57" s="7">
        <v>0</v>
      </c>
      <c r="H57" s="7">
        <v>0</v>
      </c>
      <c r="I57" s="7">
        <v>0</v>
      </c>
      <c r="J57" s="7">
        <v>0</v>
      </c>
      <c r="K57" s="7">
        <v>0</v>
      </c>
      <c r="L57" s="7">
        <v>0</v>
      </c>
      <c r="M57" s="7">
        <v>0</v>
      </c>
      <c r="N57" s="13">
        <v>0</v>
      </c>
      <c r="O57" s="13">
        <v>0</v>
      </c>
    </row>
    <row r="60" spans="1:21" x14ac:dyDescent="0.3">
      <c r="A60" t="s">
        <v>63</v>
      </c>
    </row>
    <row r="61" spans="1:21" x14ac:dyDescent="0.3">
      <c r="A61" t="s">
        <v>64</v>
      </c>
    </row>
    <row r="63" spans="1:21" ht="15" thickBot="1" x14ac:dyDescent="0.35">
      <c r="D63" s="1"/>
    </row>
    <row r="64" spans="1:21" x14ac:dyDescent="0.3">
      <c r="A64" s="6" t="s">
        <v>65</v>
      </c>
      <c r="B64" s="5">
        <v>1</v>
      </c>
      <c r="D64" s="5">
        <v>0</v>
      </c>
      <c r="E64" s="16" t="s">
        <v>854</v>
      </c>
      <c r="F64" s="16"/>
      <c r="G64" s="17"/>
    </row>
    <row r="65" spans="1:7" x14ac:dyDescent="0.3">
      <c r="A65" s="8" t="s">
        <v>66</v>
      </c>
      <c r="B65" s="7">
        <v>1</v>
      </c>
      <c r="D65" s="7">
        <v>1</v>
      </c>
      <c r="E65" s="1" t="s">
        <v>15</v>
      </c>
      <c r="G65" s="13"/>
    </row>
    <row r="66" spans="1:7" x14ac:dyDescent="0.3">
      <c r="A66" s="8" t="s">
        <v>67</v>
      </c>
      <c r="B66" s="7">
        <v>1</v>
      </c>
      <c r="D66" s="7">
        <v>2</v>
      </c>
      <c r="E66" t="s">
        <v>17</v>
      </c>
      <c r="G66" s="13"/>
    </row>
    <row r="67" spans="1:7" x14ac:dyDescent="0.3">
      <c r="A67" s="8" t="s">
        <v>68</v>
      </c>
      <c r="B67" s="7">
        <v>1</v>
      </c>
      <c r="D67" s="7">
        <v>3</v>
      </c>
      <c r="E67" s="1" t="s">
        <v>18</v>
      </c>
      <c r="G67" s="13"/>
    </row>
    <row r="68" spans="1:7" ht="15" thickBot="1" x14ac:dyDescent="0.35">
      <c r="A68" s="8" t="s">
        <v>69</v>
      </c>
      <c r="B68" s="7">
        <v>1</v>
      </c>
      <c r="D68" s="11">
        <v>4</v>
      </c>
      <c r="E68" s="19" t="s">
        <v>506</v>
      </c>
      <c r="F68" s="10"/>
      <c r="G68" s="12"/>
    </row>
    <row r="69" spans="1:7" x14ac:dyDescent="0.3">
      <c r="A69" s="8" t="s">
        <v>70</v>
      </c>
      <c r="B69" s="7">
        <v>1</v>
      </c>
      <c r="E69" s="1" t="s">
        <v>16</v>
      </c>
    </row>
    <row r="70" spans="1:7" x14ac:dyDescent="0.3">
      <c r="A70" s="8" t="s">
        <v>71</v>
      </c>
      <c r="B70" s="7">
        <v>1</v>
      </c>
    </row>
    <row r="71" spans="1:7" x14ac:dyDescent="0.3">
      <c r="A71" s="8" t="s">
        <v>72</v>
      </c>
      <c r="B71" s="7">
        <v>1</v>
      </c>
    </row>
    <row r="72" spans="1:7" x14ac:dyDescent="0.3">
      <c r="A72" s="8" t="s">
        <v>73</v>
      </c>
      <c r="B72" s="7">
        <v>1</v>
      </c>
    </row>
    <row r="73" spans="1:7" x14ac:dyDescent="0.3">
      <c r="A73" s="8" t="s">
        <v>74</v>
      </c>
      <c r="B73" s="7">
        <v>1</v>
      </c>
    </row>
    <row r="74" spans="1:7" x14ac:dyDescent="0.3">
      <c r="A74" s="8" t="s">
        <v>75</v>
      </c>
      <c r="B74" s="7">
        <v>1</v>
      </c>
    </row>
    <row r="75" spans="1:7" ht="15" thickBot="1" x14ac:dyDescent="0.35">
      <c r="A75" s="18" t="s">
        <v>76</v>
      </c>
      <c r="B75" s="11">
        <v>1</v>
      </c>
    </row>
    <row r="78" spans="1:7" x14ac:dyDescent="0.3">
      <c r="A78" s="20" t="s">
        <v>77</v>
      </c>
    </row>
    <row r="79" spans="1:7" x14ac:dyDescent="0.3">
      <c r="A79" s="21"/>
    </row>
    <row r="80" spans="1:7" x14ac:dyDescent="0.3">
      <c r="A80" s="22"/>
    </row>
    <row r="81" spans="1:1" x14ac:dyDescent="0.3">
      <c r="A81" s="23"/>
    </row>
    <row r="82" spans="1:1" x14ac:dyDescent="0.3">
      <c r="A82" s="24"/>
    </row>
    <row r="83" spans="1:1" x14ac:dyDescent="0.3">
      <c r="A83" s="25" t="s">
        <v>16</v>
      </c>
    </row>
    <row r="84" spans="1:1" x14ac:dyDescent="0.3">
      <c r="A84" s="25"/>
    </row>
    <row r="87" spans="1:1" x14ac:dyDescent="0.3">
      <c r="A87" s="26" t="s">
        <v>78</v>
      </c>
    </row>
    <row r="88" spans="1:1" x14ac:dyDescent="0.3">
      <c r="A88" s="27" t="s">
        <v>79</v>
      </c>
    </row>
    <row r="89" spans="1:1" x14ac:dyDescent="0.3">
      <c r="A89" s="28" t="s">
        <v>80</v>
      </c>
    </row>
    <row r="90" spans="1:1" x14ac:dyDescent="0.3">
      <c r="A90" s="29" t="s">
        <v>81</v>
      </c>
    </row>
    <row r="91" spans="1:1" x14ac:dyDescent="0.3">
      <c r="A91" s="25" t="s">
        <v>16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15AF-F532-4989-9EEA-B2C8119E5741}">
  <sheetPr codeName="Feuil52">
    <tabColor rgb="FF0079A4"/>
  </sheetPr>
  <dimension ref="A1:P84"/>
  <sheetViews>
    <sheetView showGridLines="0" showRowColHeaders="0" zoomScale="64" zoomScaleNormal="111" workbookViewId="0">
      <selection activeCell="L31" sqref="L31"/>
    </sheetView>
  </sheetViews>
  <sheetFormatPr baseColWidth="10" defaultRowHeight="14.4" x14ac:dyDescent="0.3"/>
  <cols>
    <col min="1" max="1" width="2.88671875" customWidth="1"/>
    <col min="2" max="2" width="4" customWidth="1"/>
    <col min="3" max="5" width="4" hidden="1" customWidth="1"/>
    <col min="6" max="6" width="10.88671875" customWidth="1"/>
    <col min="7" max="7" width="36.109375" customWidth="1"/>
    <col min="8" max="8" width="28.5546875" customWidth="1"/>
    <col min="9" max="9" width="17.6640625" bestFit="1" customWidth="1"/>
    <col min="10" max="10" width="66.88671875" customWidth="1"/>
    <col min="11" max="11" width="80.77734375" customWidth="1"/>
    <col min="13" max="13" width="28" bestFit="1" customWidth="1"/>
    <col min="14" max="14" width="16.5546875" customWidth="1"/>
    <col min="15" max="16" width="4" customWidth="1"/>
  </cols>
  <sheetData>
    <row r="1" spans="1:16" ht="45" customHeight="1" x14ac:dyDescent="0.3">
      <c r="A1" s="268"/>
      <c r="B1" s="261" t="s">
        <v>504</v>
      </c>
      <c r="C1" s="262"/>
      <c r="D1" s="262"/>
      <c r="E1" s="262"/>
      <c r="F1" s="262"/>
      <c r="G1" s="268"/>
      <c r="H1" s="266"/>
      <c r="I1" s="266"/>
      <c r="J1" s="295" t="str">
        <f>VLOOKUP($E$12,BDD!$A$2:$N$567,3,FALSE)</f>
        <v>Stratégies</v>
      </c>
      <c r="K1" s="266"/>
      <c r="L1" s="268"/>
      <c r="M1" s="268"/>
      <c r="N1" s="268"/>
      <c r="O1" s="268"/>
      <c r="P1" s="268"/>
    </row>
    <row r="2" spans="1:16" ht="45" customHeight="1" x14ac:dyDescent="0.3">
      <c r="A2" s="268"/>
      <c r="B2" s="268"/>
      <c r="C2" s="268"/>
      <c r="D2" s="268"/>
      <c r="E2" s="268"/>
      <c r="F2" s="268"/>
      <c r="G2" s="268"/>
      <c r="H2" s="268"/>
      <c r="I2" s="268"/>
      <c r="J2" s="270" t="str">
        <f>VLOOKUP($E$12,BDD!$A$2:$N$567,4,FALSE)</f>
        <v>Mettre le numérique au service de la réalisation des enjeux stratégiques de l’organisation.</v>
      </c>
      <c r="K2" s="268"/>
      <c r="L2" s="268"/>
      <c r="M2" s="268"/>
      <c r="N2" s="268"/>
      <c r="O2" s="268"/>
      <c r="P2" s="268"/>
    </row>
    <row r="3" spans="1:16" ht="18" x14ac:dyDescent="0.35">
      <c r="A3" s="268"/>
      <c r="B3" s="68"/>
      <c r="C3" s="68"/>
      <c r="D3" s="68"/>
      <c r="E3" s="68"/>
      <c r="F3" s="68"/>
      <c r="G3" s="69" t="str">
        <f>IF(Suppl!B64=2,"Le vecteur n'est pas utilisé","")</f>
        <v/>
      </c>
      <c r="H3" s="69"/>
      <c r="I3" s="69"/>
      <c r="J3" s="69"/>
      <c r="K3" s="69"/>
      <c r="L3" s="70"/>
      <c r="M3" s="68"/>
      <c r="N3" s="68"/>
      <c r="O3" s="68"/>
      <c r="P3" s="268"/>
    </row>
    <row r="4" spans="1:16" x14ac:dyDescent="0.3">
      <c r="A4" s="268"/>
      <c r="B4" s="68"/>
      <c r="C4" s="68"/>
      <c r="D4" s="68"/>
      <c r="E4" s="68"/>
      <c r="F4" s="68"/>
      <c r="G4" s="68"/>
      <c r="H4" s="68"/>
      <c r="I4" s="68"/>
      <c r="J4" s="68"/>
      <c r="K4" s="68"/>
      <c r="L4" s="68"/>
      <c r="M4" s="68"/>
      <c r="N4" s="68"/>
      <c r="O4" s="68"/>
      <c r="P4" s="268"/>
    </row>
    <row r="5" spans="1:16" ht="25.8" x14ac:dyDescent="0.5">
      <c r="A5" s="296"/>
      <c r="B5" s="74"/>
      <c r="C5" s="68" t="str">
        <f>IF(LEFT(RIGHT($B$1,2),1)=" ",RIGHT($B$1,1),RIGHT($B$1,2))</f>
        <v>1</v>
      </c>
      <c r="D5" s="68">
        <f>IF(LEFT(F5,14)="Bonne pratique",D4+1,D4)</f>
        <v>1</v>
      </c>
      <c r="E5" s="71"/>
      <c r="F5" s="208" t="s">
        <v>499</v>
      </c>
      <c r="G5" s="75"/>
      <c r="H5" s="205"/>
      <c r="I5" s="73"/>
      <c r="J5" s="73" t="str">
        <f>VLOOKUP(E12,BDD!$A$2:$N$567,6,FALSE)</f>
        <v>Organisation</v>
      </c>
      <c r="K5" s="72"/>
      <c r="L5" s="75"/>
      <c r="M5" s="75"/>
      <c r="N5" s="75"/>
      <c r="O5" s="74"/>
      <c r="P5" s="296"/>
    </row>
    <row r="6" spans="1:16" x14ac:dyDescent="0.3">
      <c r="A6" s="268"/>
      <c r="B6" s="68"/>
      <c r="C6" s="68" t="str">
        <f t="shared" ref="C6:C69" si="0">IF(LEFT(RIGHT($B$1,2),1)=" ",RIGHT($B$1,1),RIGHT($B$1,2))</f>
        <v>1</v>
      </c>
      <c r="D6" s="68">
        <f>IF(LEFT(F6,14)="Bonne pratique",D5+1,D5)</f>
        <v>1</v>
      </c>
      <c r="E6" s="68"/>
      <c r="F6" s="68"/>
      <c r="G6" s="68"/>
      <c r="H6" s="68"/>
      <c r="I6" s="68"/>
      <c r="J6" s="68"/>
      <c r="K6" s="68"/>
      <c r="L6" s="68"/>
      <c r="M6" s="68"/>
      <c r="N6" s="68"/>
      <c r="O6" s="68"/>
      <c r="P6" s="268"/>
    </row>
    <row r="7" spans="1:16" ht="23.4" customHeight="1" x14ac:dyDescent="0.35">
      <c r="A7" s="297"/>
      <c r="B7" s="76"/>
      <c r="C7" s="68" t="str">
        <f t="shared" si="0"/>
        <v>1</v>
      </c>
      <c r="D7" s="68">
        <f t="shared" ref="D7:D66" si="1">IF(LEFT(F7,14)="Bonne pratique",D6+1,D6)</f>
        <v>1</v>
      </c>
      <c r="E7" s="76"/>
      <c r="F7" s="76"/>
      <c r="G7" s="76"/>
      <c r="H7" s="76"/>
      <c r="I7" s="77"/>
      <c r="J7" s="207" t="str">
        <f>IFERROR(_xlfn.TEXTBEFORE(VLOOKUP(E12,BDD!$A$2:$N$567,7,FALSE)," ",26),VLOOKUP(E12,BDD!$A$2:$N$567,7,FALSE))</f>
        <v>La DSI participe à l'élaboration de la stratégie de l'entreprise.</v>
      </c>
      <c r="K7" s="77"/>
      <c r="L7" s="76"/>
      <c r="M7" s="76"/>
      <c r="N7" s="76"/>
      <c r="O7" s="76"/>
      <c r="P7" s="297"/>
    </row>
    <row r="8" spans="1:16" ht="18" x14ac:dyDescent="0.35">
      <c r="A8" s="268"/>
      <c r="B8" s="68"/>
      <c r="C8" s="68" t="str">
        <f t="shared" si="0"/>
        <v>1</v>
      </c>
      <c r="D8" s="68">
        <f t="shared" si="1"/>
        <v>1</v>
      </c>
      <c r="E8" s="68"/>
      <c r="F8" s="68"/>
      <c r="G8" s="68"/>
      <c r="H8" s="68"/>
      <c r="I8" s="68"/>
      <c r="J8" s="207" t="str">
        <f>IFERROR(_xlfn.TEXTAFTER(VLOOKUP(E12,BDD!$A$2:$N$567,7,FALSE)," ",26),"")</f>
        <v/>
      </c>
      <c r="K8" s="68"/>
      <c r="L8" s="68"/>
      <c r="M8" s="68"/>
      <c r="N8" s="68"/>
      <c r="O8" s="68"/>
      <c r="P8" s="268"/>
    </row>
    <row r="9" spans="1:16" x14ac:dyDescent="0.3">
      <c r="A9" s="268"/>
      <c r="B9" s="68"/>
      <c r="C9" s="68" t="str">
        <f t="shared" si="0"/>
        <v>1</v>
      </c>
      <c r="D9" s="68">
        <f t="shared" si="1"/>
        <v>1</v>
      </c>
      <c r="E9" s="68"/>
      <c r="F9" s="68"/>
      <c r="G9" s="78"/>
      <c r="H9" s="78"/>
      <c r="I9" s="78"/>
      <c r="J9" s="78"/>
      <c r="K9" s="78"/>
      <c r="L9" s="78"/>
      <c r="M9" s="618" t="s">
        <v>92</v>
      </c>
      <c r="N9" s="618"/>
      <c r="O9" s="68"/>
      <c r="P9" s="268"/>
    </row>
    <row r="10" spans="1:16" ht="33" x14ac:dyDescent="0.3">
      <c r="A10" s="268"/>
      <c r="B10" s="68"/>
      <c r="C10" s="68" t="str">
        <f t="shared" si="0"/>
        <v>1</v>
      </c>
      <c r="D10" s="68">
        <f t="shared" si="1"/>
        <v>1</v>
      </c>
      <c r="E10" s="68"/>
      <c r="F10" s="79"/>
      <c r="G10" s="80" t="s">
        <v>561</v>
      </c>
      <c r="H10" s="80" t="s">
        <v>82</v>
      </c>
      <c r="I10" s="126" t="s">
        <v>21</v>
      </c>
      <c r="J10" s="80" t="s">
        <v>84</v>
      </c>
      <c r="K10" s="80" t="s">
        <v>549</v>
      </c>
      <c r="L10" s="78"/>
      <c r="M10" s="81" t="s">
        <v>86</v>
      </c>
      <c r="N10" s="82" t="s">
        <v>87</v>
      </c>
      <c r="O10" s="68"/>
      <c r="P10" s="268"/>
    </row>
    <row r="11" spans="1:16" x14ac:dyDescent="0.3">
      <c r="A11" s="268"/>
      <c r="B11" s="68"/>
      <c r="C11" s="68" t="str">
        <f t="shared" si="0"/>
        <v>1</v>
      </c>
      <c r="D11" s="68">
        <f t="shared" si="1"/>
        <v>1</v>
      </c>
      <c r="E11" s="68"/>
      <c r="F11" s="68"/>
      <c r="G11" s="83"/>
      <c r="H11" s="83"/>
      <c r="I11" s="83"/>
      <c r="J11" s="68"/>
      <c r="K11" s="83"/>
      <c r="L11" s="68"/>
      <c r="M11" s="68"/>
      <c r="N11" s="68"/>
      <c r="O11" s="68"/>
      <c r="P11" s="268"/>
    </row>
    <row r="12" spans="1:16" ht="130.05000000000001" customHeight="1" x14ac:dyDescent="0.3">
      <c r="A12" s="268"/>
      <c r="B12" s="68"/>
      <c r="C12" s="68" t="str">
        <f t="shared" si="0"/>
        <v>1</v>
      </c>
      <c r="D12" s="68">
        <f t="shared" si="1"/>
        <v>1</v>
      </c>
      <c r="E12" s="84" t="str">
        <f>C12&amp;D12&amp;RIGHT(F12,1)</f>
        <v>111</v>
      </c>
      <c r="F12" s="66" t="s">
        <v>27</v>
      </c>
      <c r="G12" s="67" t="str">
        <f>IFERROR(IF(VLOOKUP($E12,BDD!$A$1:$S$567,MATCH(G$10,BDD!$A$1:$P$1,0),FALSE)=0,"",VLOOKUP($E12,BDD!$A$1:$S$567,MATCH(G$10,BDD!$A$1:$P$1,0),FALSE)),"")</f>
        <v>La DSI contribue à l’élaboration du plan stratégique et du business plan de l’organisation.</v>
      </c>
      <c r="H12" s="85" t="str">
        <f>IF(VLOOKUP(E12,BDD!$A$1:$S$567,15,FALSE)=0,"Critère non évalué","")</f>
        <v>Critère non évalué</v>
      </c>
      <c r="I12" s="66" t="str">
        <f>IFERROR(IF(VLOOKUP($E12,BDD!$A$1:$S$567,MATCH(I$10,BDD!$A$1:$P$1,0),FALSE)=0,"",VLOOKUP($E12,BDD!$A$1:$S$567,MATCH(I$10,BDD!$A$1:$P$1,0),FALSE)),"")</f>
        <v>N5</v>
      </c>
      <c r="J12" s="86"/>
      <c r="K12" s="67" t="str">
        <f>IFERROR(IF(VLOOKUP($E12,BDD!$A$1:$S$567,MATCH(K$10,BDD!$A$1:$P$1,0),FALSE)=0,"",VLOOKUP($E12,BDD!$A$1:$S$567,MATCH(K$10,BDD!$A$1:$P$1,0),FALSE)),"")</f>
        <v>•	 La DSI oriente les métiers et s'assure de la prise en compte des possibilités offertes par le numérique et des contraintes associées. 
• 	La DSI participe pleinement à l’élaboration du plan stratégique de l’organisation. Elle intervient dans la prise de décision sur les programmes stratégiques de l'organisation concernant la faisabilité technique, en donnant des ordres de grandeur en termes de délais et de coûts.</v>
      </c>
      <c r="L12" s="68"/>
      <c r="M12" s="87"/>
      <c r="N12" s="87"/>
      <c r="O12" s="68"/>
      <c r="P12" s="268"/>
    </row>
    <row r="13" spans="1:16" ht="130.05000000000001" customHeight="1" x14ac:dyDescent="0.3">
      <c r="A13" s="268"/>
      <c r="B13" s="68"/>
      <c r="C13" s="68" t="str">
        <f t="shared" si="0"/>
        <v>1</v>
      </c>
      <c r="D13" s="68">
        <f t="shared" si="1"/>
        <v>1</v>
      </c>
      <c r="E13" s="84" t="str">
        <f t="shared" ref="E13:E82" si="2">C13&amp;D13&amp;RIGHT(F13,1)</f>
        <v>112</v>
      </c>
      <c r="F13" s="94" t="s">
        <v>28</v>
      </c>
      <c r="G13" s="65" t="str">
        <f>IFERROR(IF(VLOOKUP($E13,BDD!$A$1:$S$567,MATCH(G$10,BDD!$A$1:$P$1,0),FALSE)=0,"",VLOOKUP($E13,BDD!$A$1:$S$567,MATCH(G$10,BDD!$A$1:$P$1,0),FALSE)),"")</f>
        <v>La DSI a mis en place un dispositif de veille technologique.</v>
      </c>
      <c r="H13" s="88" t="str">
        <f>IF(VLOOKUP(E13,BDD!$A$1:$S$567,15,FALSE)=0,"Critère non évalué","")</f>
        <v>Critère non évalué</v>
      </c>
      <c r="I13" s="64" t="str">
        <f>IFERROR(IF(VLOOKUP($E13,BDD!$A$1:$S$567,MATCH(I$10,BDD!$A$1:$P$1,0),FALSE)=0,"",VLOOKUP($E13,BDD!$A$1:$S$567,MATCH(I$10,BDD!$A$1:$P$1,0),FALSE)),"")</f>
        <v>N2</v>
      </c>
      <c r="J13" s="89"/>
      <c r="K13" s="65" t="str">
        <f>IFERROR(IF(VLOOKUP($E13,BDD!$A$1:$S$567,MATCH(K$10,BDD!$A$1:$P$1,0),FALSE)=0,"",VLOOKUP($E13,BDD!$A$1:$S$567,MATCH(K$10,BDD!$A$1:$P$1,0),FALSE)),"")</f>
        <v>• 	La DSI assure une veille technologique et numérique pour détecter les innovations et les risques afférents, elle travaille en collaboration avec les métiers afin de repérer les nouvelles opportunités d’évolution pour les processus et les produits et de créer de la valeur.</v>
      </c>
      <c r="L13" s="68"/>
      <c r="M13" s="90"/>
      <c r="N13" s="90"/>
      <c r="O13" s="68"/>
      <c r="P13" s="268"/>
    </row>
    <row r="14" spans="1:16" ht="130.05000000000001" customHeight="1" x14ac:dyDescent="0.3">
      <c r="A14" s="268"/>
      <c r="B14" s="68"/>
      <c r="C14" s="68" t="str">
        <f t="shared" si="0"/>
        <v>1</v>
      </c>
      <c r="D14" s="68">
        <f t="shared" si="1"/>
        <v>1</v>
      </c>
      <c r="E14" s="84" t="str">
        <f t="shared" si="2"/>
        <v>113</v>
      </c>
      <c r="F14" s="66" t="s">
        <v>30</v>
      </c>
      <c r="G14" s="67" t="str">
        <f>IFERROR(IF(VLOOKUP($E14,BDD!$A$1:$S$567,MATCH(G$10,BDD!$A$1:$P$1,0),FALSE)=0,"",VLOOKUP($E14,BDD!$A$1:$S$567,MATCH(G$10,BDD!$A$1:$P$1,0),FALSE)),"")</f>
        <v>Les résultats de la veille sont partagés avec les responsables impliqués dans l’élaboration de la stratégie de l’organisation.</v>
      </c>
      <c r="H14" s="85" t="str">
        <f>IF(VLOOKUP(E14,BDD!$A$1:$S$567,15,FALSE)=0,"Critère non évalué","")</f>
        <v>Critère non évalué</v>
      </c>
      <c r="I14" s="66" t="str">
        <f>IFERROR(IF(VLOOKUP($E14,BDD!$A$1:$S$567,MATCH(I$10,BDD!$A$1:$P$1,0),FALSE)=0,"",VLOOKUP($E14,BDD!$A$1:$S$567,MATCH(I$10,BDD!$A$1:$P$1,0),FALSE)),"")</f>
        <v>N3</v>
      </c>
      <c r="J14" s="86"/>
      <c r="K14" s="67" t="str">
        <f>IFERROR(IF(VLOOKUP($E14,BDD!$A$1:$S$567,MATCH(K$10,BDD!$A$1:$P$1,0),FALSE)=0,"",VLOOKUP($E14,BDD!$A$1:$S$567,MATCH(K$10,BDD!$A$1:$P$1,0),FALSE)),"")</f>
        <v>• Ces résultats peuvent donner lieu à des restitutions formalisées à la direction générale présentant, par exemple, les découvertes et observations issues d’événements technologiques, dans l’optique d’un usage métier.
• Les idées d’innovation issues de cette veille peuvent concerner non seulement les produits et outils, mais aussi les nouveaux usages, modèles économiques, services, processus, etc.
• Certaines décisions concernant les programmes stratégiques peuvent être ainsi déclenchées par des ruptures technologiques (ex : Internet des objets, blockchain, Intelligence artificielle, etc.).</v>
      </c>
      <c r="L14" s="68"/>
      <c r="M14" s="87"/>
      <c r="N14" s="87"/>
      <c r="O14" s="68"/>
      <c r="P14" s="268"/>
    </row>
    <row r="15" spans="1:16" ht="141.6" customHeight="1" x14ac:dyDescent="0.3">
      <c r="A15" s="268"/>
      <c r="B15" s="68"/>
      <c r="C15" s="68" t="str">
        <f t="shared" si="0"/>
        <v>1</v>
      </c>
      <c r="D15" s="68">
        <f t="shared" si="1"/>
        <v>1</v>
      </c>
      <c r="E15" s="84" t="str">
        <f t="shared" si="2"/>
        <v>114</v>
      </c>
      <c r="F15" s="64" t="s">
        <v>32</v>
      </c>
      <c r="G15" s="65" t="str">
        <f>IFERROR(IF(VLOOKUP($E15,BDD!$A$1:$S$567,MATCH(G$10,BDD!$A$1:$P$1,0),FALSE)=0,"",VLOOKUP($E15,BDD!$A$1:$S$567,MATCH(G$10,BDD!$A$1:$P$1,0),FALSE)),"")</f>
        <v>En collaboration avec les métiers, la DSI a élaboré le volet numérique du plan stratégique de l’organisation.</v>
      </c>
      <c r="H15" s="88" t="str">
        <f>IF(VLOOKUP(E15,BDD!$A$1:$S$567,15,FALSE)=0,"Critère non évalué","")</f>
        <v>Critère non évalué</v>
      </c>
      <c r="I15" s="64" t="str">
        <f>IFERROR(IF(VLOOKUP($E15,BDD!$A$1:$S$567,MATCH(I$10,BDD!$A$1:$P$1,0),FALSE)=0,"",VLOOKUP($E15,BDD!$A$1:$S$567,MATCH(I$10,BDD!$A$1:$P$1,0),FALSE)),"")</f>
        <v>N3</v>
      </c>
      <c r="J15" s="91"/>
      <c r="K15" s="65" t="str">
        <f>IFERROR(IF(VLOOKUP($E15,BDD!$A$1:$S$567,MATCH(K$10,BDD!$A$1:$P$1,0),FALSE)=0,"",VLOOKUP($E15,BDD!$A$1:$S$567,MATCH(K$10,BDD!$A$1:$P$1,0),FALSE)),"")</f>
        <v>• Ce volet numérique est élaboré conjointement avec les métiers, pour la dimension processus et la dimension produit, dans le cadre du processus de planification à moyen terme de l’organisation.
• La DSI propose des politiques architecturales et technologiques qui constituent des pré-requis pour les différents objectifs du plan stratégique de l’organisation. Les caractéristiques particulières de l’organisation (nouvelles offres de service, nouveaux marchés, croissance externe, interne ou internationale, acquisition ou recentrage, etc.) sont intégrées pour déterminer les axes majeurs de la stratégie numérique.
• Toutes les entités (Lignes de Services et/ou Géographiques) associent pleinement les responsables SI (centraux ou délocalisés) à leur processus d’élaboration de la stratégie.</v>
      </c>
      <c r="L15" s="68"/>
      <c r="M15" s="90"/>
      <c r="N15" s="90"/>
      <c r="O15" s="68"/>
      <c r="P15" s="268"/>
    </row>
    <row r="16" spans="1:16" ht="130.05000000000001" customHeight="1" x14ac:dyDescent="0.3">
      <c r="A16" s="268"/>
      <c r="B16" s="68"/>
      <c r="C16" s="68" t="str">
        <f t="shared" si="0"/>
        <v>1</v>
      </c>
      <c r="D16" s="68">
        <f t="shared" si="1"/>
        <v>1</v>
      </c>
      <c r="E16" s="84" t="str">
        <f t="shared" si="2"/>
        <v>115</v>
      </c>
      <c r="F16" s="66" t="s">
        <v>33</v>
      </c>
      <c r="G16" s="67" t="str">
        <f>IFERROR(IF(VLOOKUP($E16,BDD!$A$1:$S$567,MATCH(G$10,BDD!$A$1:$P$1,0),FALSE)=0,"",VLOOKUP($E16,BDD!$A$1:$S$567,MATCH(G$10,BDD!$A$1:$P$1,0),FALSE)),"")</f>
        <v>La DSI décline le plan stratégique de l'organisation sous forme de plan de route numérique.</v>
      </c>
      <c r="H16" s="85" t="str">
        <f>IF(VLOOKUP(E16,BDD!$A$1:$S$567,15,FALSE)=0,"Critère non évalué","")</f>
        <v>Critère non évalué</v>
      </c>
      <c r="I16" s="66" t="str">
        <f>IFERROR(IF(VLOOKUP($E16,BDD!$A$1:$S$567,MATCH(I$10,BDD!$A$1:$P$1,0),FALSE)=0,"",VLOOKUP($E16,BDD!$A$1:$S$567,MATCH(I$10,BDD!$A$1:$P$1,0),FALSE)),"")</f>
        <v>N1</v>
      </c>
      <c r="J16" s="86"/>
      <c r="K16" s="67" t="str">
        <f>IFERROR(IF(VLOOKUP($E16,BDD!$A$1:$S$567,MATCH(K$10,BDD!$A$1:$P$1,0),FALSE)=0,"",VLOOKUP($E16,BDD!$A$1:$S$567,MATCH(K$10,BDD!$A$1:$P$1,0),FALSE)),"")</f>
        <v/>
      </c>
      <c r="L16" s="68"/>
      <c r="M16" s="82"/>
      <c r="N16" s="82"/>
      <c r="O16" s="68"/>
      <c r="P16" s="268"/>
    </row>
    <row r="17" spans="1:16" ht="130.05000000000001" customHeight="1" x14ac:dyDescent="0.3">
      <c r="A17" s="268"/>
      <c r="B17" s="68"/>
      <c r="C17" s="68" t="str">
        <f t="shared" si="0"/>
        <v>1</v>
      </c>
      <c r="D17" s="68">
        <f t="shared" si="1"/>
        <v>1</v>
      </c>
      <c r="E17" s="84" t="str">
        <f t="shared" si="2"/>
        <v>116</v>
      </c>
      <c r="F17" s="64" t="s">
        <v>34</v>
      </c>
      <c r="G17" s="65" t="str">
        <f>IFERROR(IF(VLOOKUP($E17,BDD!$A$1:$S$567,MATCH(G$10,BDD!$A$1:$P$1,0),FALSE)=0,"",VLOOKUP($E17,BDD!$A$1:$S$567,MATCH(G$10,BDD!$A$1:$P$1,0),FALSE)),"")</f>
        <v>Le volet numérique est cohérent et intégré au plan stratégique de l’organisation au même titre que ceux des autres fonctions de l’organisation.</v>
      </c>
      <c r="H17" s="92" t="str">
        <f>IF(VLOOKUP(E17,BDD!$A$1:$S$567,15,FALSE)=0,"Critère non évalué","")</f>
        <v>Critère non évalué</v>
      </c>
      <c r="I17" s="64" t="str">
        <f>IFERROR(IF(VLOOKUP($E17,BDD!$A$1:$S$567,MATCH(I$10,BDD!$A$1:$P$1,0),FALSE)=0,"",VLOOKUP($E17,BDD!$A$1:$S$567,MATCH(I$10,BDD!$A$1:$P$1,0),FALSE)),"")</f>
        <v>N3</v>
      </c>
      <c r="J17" s="89"/>
      <c r="K17" s="65" t="str">
        <f>IFERROR(IF(VLOOKUP($E17,BDD!$A$1:$S$567,MATCH(K$10,BDD!$A$1:$P$1,0),FALSE)=0,"",VLOOKUP($E17,BDD!$A$1:$S$567,MATCH(K$10,BDD!$A$1:$P$1,0),FALSE)),"")</f>
        <v>• Le volet numérique est intégré au plan stratégique de l’organisation dont la vocation est de coordonner les plans des différentes fonctions et d’allouer à chacune d’elles les ressources nécessaires.
• Les affectations budgétaires du plan numérique sont cohérentes avec la contribution attendue du SI au plan stratégique de l’organisation.</v>
      </c>
      <c r="L17" s="68"/>
      <c r="M17" s="90"/>
      <c r="N17" s="90"/>
      <c r="O17" s="68"/>
      <c r="P17" s="268"/>
    </row>
    <row r="18" spans="1:16" ht="130.05000000000001" customHeight="1" x14ac:dyDescent="0.3">
      <c r="A18" s="268"/>
      <c r="B18" s="68"/>
      <c r="C18" s="68" t="str">
        <f t="shared" si="0"/>
        <v>1</v>
      </c>
      <c r="D18" s="68">
        <f t="shared" si="1"/>
        <v>1</v>
      </c>
      <c r="E18" s="84" t="str">
        <f t="shared" si="2"/>
        <v>117</v>
      </c>
      <c r="F18" s="66" t="s">
        <v>36</v>
      </c>
      <c r="G18" s="67" t="str">
        <f>IFERROR(IF(VLOOKUP($E18,BDD!$A$1:$S$567,MATCH(G$10,BDD!$A$1:$P$1,0),FALSE)=0,"",VLOOKUP($E18,BDD!$A$1:$S$567,MATCH(G$10,BDD!$A$1:$P$1,0),FALSE)),"")</f>
        <v>Les sujets de transformation numérique bénéficient d’un sponsoring au plus haut niveau de l’organisation.</v>
      </c>
      <c r="H18" s="85" t="str">
        <f>IF(VLOOKUP(E18,BDD!$A$1:$S$567,15,FALSE)=0,"Critère non évalué","")</f>
        <v>Critère non évalué</v>
      </c>
      <c r="I18" s="66" t="str">
        <f>IFERROR(IF(VLOOKUP($E18,BDD!$A$1:$S$567,MATCH(I$10,BDD!$A$1:$P$1,0),FALSE)=0,"",VLOOKUP($E18,BDD!$A$1:$S$567,MATCH(I$10,BDD!$A$1:$P$1,0),FALSE)),"")</f>
        <v>N4</v>
      </c>
      <c r="J18" s="86"/>
      <c r="K18" s="67" t="str">
        <f>IFERROR(IF(VLOOKUP($E18,BDD!$A$1:$S$567,MATCH(K$10,BDD!$A$1:$P$1,0),FALSE)=0,"",VLOOKUP($E18,BDD!$A$1:$S$567,MATCH(K$10,BDD!$A$1:$P$1,0),FALSE)),"")</f>
        <v/>
      </c>
      <c r="L18" s="68"/>
      <c r="M18" s="82"/>
      <c r="N18" s="82"/>
      <c r="O18" s="68"/>
      <c r="P18" s="268"/>
    </row>
    <row r="19" spans="1:16" ht="18" x14ac:dyDescent="0.35">
      <c r="A19" s="268"/>
      <c r="B19" s="68"/>
      <c r="C19" s="68" t="str">
        <f t="shared" si="0"/>
        <v>1</v>
      </c>
      <c r="D19" s="68">
        <f t="shared" si="1"/>
        <v>1</v>
      </c>
      <c r="E19" s="84" t="str">
        <f t="shared" si="2"/>
        <v>11</v>
      </c>
      <c r="F19" s="68"/>
      <c r="G19" s="69" t="str">
        <f>IF(Suppl!B80=2,"Le vecteur n'est pas utilisé","")</f>
        <v/>
      </c>
      <c r="H19" s="69"/>
      <c r="I19" s="69"/>
      <c r="J19" s="69"/>
      <c r="K19" s="69"/>
      <c r="L19" s="70"/>
      <c r="M19" s="68"/>
      <c r="N19" s="68"/>
      <c r="O19" s="68"/>
      <c r="P19" s="268"/>
    </row>
    <row r="20" spans="1:16" x14ac:dyDescent="0.3">
      <c r="A20" s="268"/>
      <c r="B20" s="68"/>
      <c r="C20" s="68" t="str">
        <f t="shared" si="0"/>
        <v>1</v>
      </c>
      <c r="D20" s="68">
        <f>IF(LEFT(F20,14)="Bonne pratique",D19+1,D19)</f>
        <v>1</v>
      </c>
      <c r="E20" s="84" t="str">
        <f t="shared" si="2"/>
        <v>11</v>
      </c>
      <c r="F20" s="68"/>
      <c r="G20" s="68"/>
      <c r="H20" s="68"/>
      <c r="I20" s="68"/>
      <c r="J20" s="68"/>
      <c r="K20" s="68"/>
      <c r="L20" s="68"/>
      <c r="M20" s="68"/>
      <c r="N20" s="68"/>
      <c r="O20" s="68"/>
      <c r="P20" s="268"/>
    </row>
    <row r="21" spans="1:16" ht="25.8" x14ac:dyDescent="0.5">
      <c r="A21" s="296"/>
      <c r="B21" s="74"/>
      <c r="C21" s="68" t="str">
        <f t="shared" si="0"/>
        <v>1</v>
      </c>
      <c r="D21" s="68">
        <f t="shared" si="1"/>
        <v>2</v>
      </c>
      <c r="E21" s="84" t="str">
        <f t="shared" si="2"/>
        <v>122</v>
      </c>
      <c r="F21" s="208" t="s">
        <v>500</v>
      </c>
      <c r="G21" s="75"/>
      <c r="H21" s="205"/>
      <c r="I21" s="73"/>
      <c r="J21" s="73" t="str">
        <f>VLOOKUP(E28,BDD!$A$2:$N$567,6,FALSE)</f>
        <v>Contenu Stratégique</v>
      </c>
      <c r="K21" s="72"/>
      <c r="L21" s="75"/>
      <c r="M21" s="75"/>
      <c r="N21" s="75"/>
      <c r="O21" s="74"/>
      <c r="P21" s="296"/>
    </row>
    <row r="22" spans="1:16" x14ac:dyDescent="0.3">
      <c r="A22" s="268"/>
      <c r="B22" s="68"/>
      <c r="C22" s="68" t="str">
        <f t="shared" si="0"/>
        <v>1</v>
      </c>
      <c r="D22" s="68">
        <f t="shared" si="1"/>
        <v>2</v>
      </c>
      <c r="E22" s="84" t="str">
        <f t="shared" si="2"/>
        <v>12</v>
      </c>
      <c r="F22" s="68"/>
      <c r="G22" s="68"/>
      <c r="H22" s="68"/>
      <c r="I22" s="68"/>
      <c r="J22" s="68"/>
      <c r="K22" s="68"/>
      <c r="L22" s="68"/>
      <c r="M22" s="68"/>
      <c r="N22" s="68"/>
      <c r="O22" s="68"/>
      <c r="P22" s="268"/>
    </row>
    <row r="23" spans="1:16" ht="18" x14ac:dyDescent="0.35">
      <c r="A23" s="297"/>
      <c r="B23" s="76"/>
      <c r="C23" s="68" t="str">
        <f t="shared" si="0"/>
        <v>1</v>
      </c>
      <c r="D23" s="68">
        <f t="shared" si="1"/>
        <v>2</v>
      </c>
      <c r="E23" s="84" t="str">
        <f t="shared" si="2"/>
        <v>12</v>
      </c>
      <c r="F23" s="76"/>
      <c r="G23" s="76"/>
      <c r="H23" s="76"/>
      <c r="I23" s="77"/>
      <c r="J23" s="207" t="str">
        <f>IFERROR(_xlfn.TEXTBEFORE(VLOOKUP(E28,BDD!$A$2:$N$567,7,FALSE)," ",30),VLOOKUP(E28,BDD!$A$2:$N$567,7,FALSE))</f>
        <v xml:space="preserve">Le volet numérique du plan stratégique intègre les cibles métiers et technologiques ainsi que la planification des ressources nécessaires à leur atteinte. </v>
      </c>
      <c r="K23" s="77"/>
      <c r="L23" s="76"/>
      <c r="M23" s="76"/>
      <c r="N23" s="76"/>
      <c r="O23" s="76"/>
      <c r="P23" s="297"/>
    </row>
    <row r="24" spans="1:16" ht="18" x14ac:dyDescent="0.35">
      <c r="A24" s="268"/>
      <c r="B24" s="68"/>
      <c r="C24" s="68" t="str">
        <f t="shared" si="0"/>
        <v>1</v>
      </c>
      <c r="D24" s="68">
        <f t="shared" si="1"/>
        <v>2</v>
      </c>
      <c r="E24" s="84" t="str">
        <f t="shared" si="2"/>
        <v>12</v>
      </c>
      <c r="F24" s="68"/>
      <c r="G24" s="68"/>
      <c r="H24" s="68"/>
      <c r="I24" s="68"/>
      <c r="J24" s="207" t="str">
        <f>IFERROR(_xlfn.TEXTAFTER(VLOOKUP(E28,BDD!$A$2:$N$567,7,FALSE)," ",30),"")</f>
        <v/>
      </c>
      <c r="K24" s="68"/>
      <c r="L24" s="68"/>
      <c r="M24" s="68"/>
      <c r="N24" s="68"/>
      <c r="O24" s="68"/>
      <c r="P24" s="268"/>
    </row>
    <row r="25" spans="1:16" x14ac:dyDescent="0.3">
      <c r="A25" s="268"/>
      <c r="B25" s="68"/>
      <c r="C25" s="68" t="str">
        <f t="shared" si="0"/>
        <v>1</v>
      </c>
      <c r="D25" s="68">
        <f t="shared" si="1"/>
        <v>2</v>
      </c>
      <c r="E25" s="84" t="str">
        <f t="shared" si="2"/>
        <v>12</v>
      </c>
      <c r="F25" s="68"/>
      <c r="G25" s="68"/>
      <c r="H25" s="68"/>
      <c r="I25" s="68"/>
      <c r="J25" s="78"/>
      <c r="K25" s="68"/>
      <c r="L25" s="68"/>
      <c r="M25" s="619" t="s">
        <v>92</v>
      </c>
      <c r="N25" s="619"/>
      <c r="O25" s="68"/>
      <c r="P25" s="268"/>
    </row>
    <row r="26" spans="1:16" ht="33" x14ac:dyDescent="0.3">
      <c r="A26" s="268"/>
      <c r="B26" s="68"/>
      <c r="C26" s="68" t="str">
        <f t="shared" si="0"/>
        <v>1</v>
      </c>
      <c r="D26" s="68">
        <f t="shared" si="1"/>
        <v>2</v>
      </c>
      <c r="E26" s="84" t="str">
        <f t="shared" si="2"/>
        <v>12</v>
      </c>
      <c r="F26" s="93"/>
      <c r="G26" s="80" t="s">
        <v>561</v>
      </c>
      <c r="H26" s="80" t="s">
        <v>82</v>
      </c>
      <c r="I26" s="80" t="s">
        <v>83</v>
      </c>
      <c r="J26" s="80" t="s">
        <v>84</v>
      </c>
      <c r="K26" s="80" t="s">
        <v>85</v>
      </c>
      <c r="L26" s="78"/>
      <c r="M26" s="81" t="s">
        <v>86</v>
      </c>
      <c r="N26" s="82" t="s">
        <v>87</v>
      </c>
      <c r="O26" s="68"/>
      <c r="P26" s="268"/>
    </row>
    <row r="27" spans="1:16" x14ac:dyDescent="0.3">
      <c r="A27" s="268"/>
      <c r="B27" s="68"/>
      <c r="C27" s="68" t="str">
        <f t="shared" si="0"/>
        <v>1</v>
      </c>
      <c r="D27" s="68">
        <f t="shared" si="1"/>
        <v>2</v>
      </c>
      <c r="E27" s="84" t="str">
        <f t="shared" si="2"/>
        <v>12</v>
      </c>
      <c r="F27" s="68"/>
      <c r="G27" s="83"/>
      <c r="H27" s="83"/>
      <c r="I27" s="83"/>
      <c r="J27" s="68"/>
      <c r="K27" s="83"/>
      <c r="L27" s="68"/>
      <c r="M27" s="68"/>
      <c r="N27" s="68"/>
      <c r="O27" s="68"/>
      <c r="P27" s="268"/>
    </row>
    <row r="28" spans="1:16" ht="130.05000000000001" customHeight="1" x14ac:dyDescent="0.3">
      <c r="A28" s="268"/>
      <c r="B28" s="68"/>
      <c r="C28" s="68" t="str">
        <f t="shared" si="0"/>
        <v>1</v>
      </c>
      <c r="D28" s="68">
        <f t="shared" si="1"/>
        <v>2</v>
      </c>
      <c r="E28" s="84" t="str">
        <f t="shared" si="2"/>
        <v>121</v>
      </c>
      <c r="F28" s="66" t="s">
        <v>27</v>
      </c>
      <c r="G28" s="67" t="str">
        <f>IFERROR(IF(VLOOKUP($E28,BDD!$A$1:$S$567,MATCH(G$10,BDD!$A$1:$P$1,0),FALSE)=0,"",VLOOKUP($E28,BDD!$A$1:$S$567,MATCH(G$10,BDD!$A$1:$P$1,0),FALSE)),"")</f>
        <v>Le volet numérique du plan stratégique de l'organisation précise les cibles métiers couvertes (processus, cartographie fonctionnelle) et les principaux impacts (organisation, compétences, technologies).</v>
      </c>
      <c r="H28" s="85" t="str">
        <f>IF(VLOOKUP(E28,BDD!$A$1:$S$567,15,FALSE)=0,"Critère non évalué","")</f>
        <v>Critère non évalué</v>
      </c>
      <c r="I28" s="66" t="str">
        <f>IFERROR(IF(VLOOKUP($E28,BDD!$A$1:$S$567,MATCH(I$10,BDD!$A$1:$P$1,0),FALSE)=0,"",VLOOKUP($E28,BDD!$A$1:$S$567,MATCH(I$10,BDD!$A$1:$P$1,0),FALSE)),"")</f>
        <v>N3</v>
      </c>
      <c r="J28" s="86"/>
      <c r="K28" s="67" t="str">
        <f>IFERROR(IF(VLOOKUP($E28,BDD!$A$1:$S$567,MATCH(K$10,BDD!$A$1:$P$1,0),FALSE)=0,"",VLOOKUP($E28,BDD!$A$1:$S$567,MATCH(K$10,BDD!$A$1:$P$1,0),FALSE)),"")</f>
        <v/>
      </c>
      <c r="L28" s="68"/>
      <c r="M28" s="87"/>
      <c r="N28" s="87"/>
      <c r="O28" s="68"/>
      <c r="P28" s="268"/>
    </row>
    <row r="29" spans="1:16" ht="130.05000000000001" customHeight="1" x14ac:dyDescent="0.3">
      <c r="A29" s="268"/>
      <c r="B29" s="68"/>
      <c r="C29" s="68" t="str">
        <f t="shared" si="0"/>
        <v>1</v>
      </c>
      <c r="D29" s="68">
        <f t="shared" si="1"/>
        <v>2</v>
      </c>
      <c r="E29" s="84" t="str">
        <f t="shared" si="2"/>
        <v>122</v>
      </c>
      <c r="F29" s="94" t="s">
        <v>28</v>
      </c>
      <c r="G29" s="65" t="str">
        <f>IFERROR(IF(VLOOKUP($E29,BDD!$A$1:$S$567,MATCH(G$10,BDD!$A$1:$P$1,0),FALSE)=0,"",VLOOKUP($E29,BDD!$A$1:$S$567,MATCH(G$10,BDD!$A$1:$P$1,0),FALSE)),"")</f>
        <v xml:space="preserve">La DSI détaille le volet numérique en termes d'applications, de projets à lancer et de technologies à développer. </v>
      </c>
      <c r="H29" s="88" t="str">
        <f>IF(VLOOKUP(E29,BDD!$A$1:$S$567,15,FALSE)=0,"Critère non évalué","")</f>
        <v>Critère non évalué</v>
      </c>
      <c r="I29" s="64" t="str">
        <f>IFERROR(IF(VLOOKUP($E29,BDD!$A$1:$S$567,MATCH(I$10,BDD!$A$1:$P$1,0),FALSE)=0,"",VLOOKUP($E29,BDD!$A$1:$S$567,MATCH(I$10,BDD!$A$1:$P$1,0),FALSE)),"")</f>
        <v>N2</v>
      </c>
      <c r="J29" s="89"/>
      <c r="K29" s="65" t="str">
        <f>IFERROR(IF(VLOOKUP($E29,BDD!$A$1:$S$567,MATCH(K$10,BDD!$A$1:$P$1,0),FALSE)=0,"",VLOOKUP($E29,BDD!$A$1:$S$567,MATCH(K$10,BDD!$A$1:$P$1,0),FALSE)),"")</f>
        <v/>
      </c>
      <c r="L29" s="68"/>
      <c r="M29" s="90"/>
      <c r="N29" s="90"/>
      <c r="O29" s="68"/>
      <c r="P29" s="268"/>
    </row>
    <row r="30" spans="1:16" ht="130.05000000000001" customHeight="1" x14ac:dyDescent="0.3">
      <c r="A30" s="268"/>
      <c r="B30" s="68"/>
      <c r="C30" s="68" t="str">
        <f t="shared" si="0"/>
        <v>1</v>
      </c>
      <c r="D30" s="68">
        <f t="shared" si="1"/>
        <v>2</v>
      </c>
      <c r="E30" s="84" t="str">
        <f t="shared" si="2"/>
        <v>123</v>
      </c>
      <c r="F30" s="66" t="s">
        <v>30</v>
      </c>
      <c r="G30" s="67" t="str">
        <f>IFERROR(IF(VLOOKUP($E30,BDD!$A$1:$S$567,MATCH(G$10,BDD!$A$1:$P$1,0),FALSE)=0,"",VLOOKUP($E30,BDD!$A$1:$S$567,MATCH(G$10,BDD!$A$1:$P$1,0),FALSE)),"")</f>
        <v>Le numérique figure dans les chapitres métiers du plan stratégique même s'il ne fait pas l’objet d’une approche globale ou d’un chapitre dédié.</v>
      </c>
      <c r="H30" s="85" t="str">
        <f>IF(VLOOKUP(E30,BDD!$A$1:$S$567,15,FALSE)=0,"Critère non évalué","")</f>
        <v>Critère non évalué</v>
      </c>
      <c r="I30" s="66" t="str">
        <f>IFERROR(IF(VLOOKUP($E30,BDD!$A$1:$S$567,MATCH(I$10,BDD!$A$1:$P$1,0),FALSE)=0,"",VLOOKUP($E30,BDD!$A$1:$S$567,MATCH(I$10,BDD!$A$1:$P$1,0),FALSE)),"")</f>
        <v>N1</v>
      </c>
      <c r="J30" s="86"/>
      <c r="K30" s="67" t="str">
        <f>IFERROR(IF(VLOOKUP($E30,BDD!$A$1:$S$567,MATCH(K$10,BDD!$A$1:$P$1,0),FALSE)=0,"",VLOOKUP($E30,BDD!$A$1:$S$567,MATCH(K$10,BDD!$A$1:$P$1,0),FALSE)),"")</f>
        <v/>
      </c>
      <c r="L30" s="68"/>
      <c r="M30" s="87"/>
      <c r="N30" s="87"/>
      <c r="O30" s="68"/>
      <c r="P30" s="268"/>
    </row>
    <row r="31" spans="1:16" ht="130.05000000000001" customHeight="1" x14ac:dyDescent="0.3">
      <c r="A31" s="268"/>
      <c r="B31" s="68"/>
      <c r="C31" s="68" t="str">
        <f t="shared" si="0"/>
        <v>1</v>
      </c>
      <c r="D31" s="68">
        <f t="shared" si="1"/>
        <v>2</v>
      </c>
      <c r="E31" s="84" t="str">
        <f t="shared" si="2"/>
        <v>124</v>
      </c>
      <c r="F31" s="64" t="s">
        <v>32</v>
      </c>
      <c r="G31" s="65" t="str">
        <f>IFERROR(IF(VLOOKUP($E31,BDD!$A$1:$S$567,MATCH(G$10,BDD!$A$1:$P$1,0),FALSE)=0,"",VLOOKUP($E31,BDD!$A$1:$S$567,MATCH(G$10,BDD!$A$1:$P$1,0),FALSE)),"")</f>
        <v>Le volet numérique décrit les paliers d’évolution nécessaires pour atteindre les cibles définies, au regard des enjeux métiers et des contraintes d'exécution (calendrier et étapes de mise en œuvre).</v>
      </c>
      <c r="H31" s="88" t="str">
        <f>IF(VLOOKUP(E31,BDD!$A$1:$S$567,15,FALSE)=0,"Critère non évalué","")</f>
        <v>Critère non évalué</v>
      </c>
      <c r="I31" s="64" t="str">
        <f>IFERROR(IF(VLOOKUP($E31,BDD!$A$1:$S$567,MATCH(I$10,BDD!$A$1:$P$1,0),FALSE)=0,"",VLOOKUP($E31,BDD!$A$1:$S$567,MATCH(I$10,BDD!$A$1:$P$1,0),FALSE)),"")</f>
        <v>N4</v>
      </c>
      <c r="J31" s="91"/>
      <c r="K31" s="65" t="str">
        <f>IFERROR(IF(VLOOKUP($E31,BDD!$A$1:$S$567,MATCH(K$10,BDD!$A$1:$P$1,0),FALSE)=0,"",VLOOKUP($E31,BDD!$A$1:$S$567,MATCH(K$10,BDD!$A$1:$P$1,0),FALSE)),"")</f>
        <v>• Les paliers correspondent à des « états stables » ou étapes majeures de la transformation, sur lesquels l’organisation peut capitaliser (par exemple : mise en place de nouveaux services).</v>
      </c>
      <c r="L31" s="68"/>
      <c r="M31" s="90"/>
      <c r="N31" s="90"/>
      <c r="O31" s="68"/>
      <c r="P31" s="268"/>
    </row>
    <row r="32" spans="1:16" ht="129.6" customHeight="1" x14ac:dyDescent="0.3">
      <c r="A32" s="268"/>
      <c r="B32" s="68"/>
      <c r="C32" s="68" t="str">
        <f t="shared" si="0"/>
        <v>1</v>
      </c>
      <c r="D32" s="68">
        <f t="shared" si="1"/>
        <v>2</v>
      </c>
      <c r="E32" s="84" t="str">
        <f t="shared" si="2"/>
        <v>125</v>
      </c>
      <c r="F32" s="66" t="s">
        <v>33</v>
      </c>
      <c r="G32" s="67" t="str">
        <f>IFERROR(IF(VLOOKUP($E32,BDD!$A$1:$S$567,MATCH(G$10,BDD!$A$1:$P$1,0),FALSE)=0,"",VLOOKUP($E32,BDD!$A$1:$S$567,MATCH(G$10,BDD!$A$1:$P$1,0),FALSE)),"")</f>
        <v>Le volet numérique précise les ressources requises (métiers et DSI, internes et externes, financières, compétences, humaines, technologies, etc.), nécessaires à l’atteinte de la cible.</v>
      </c>
      <c r="H32" s="85" t="str">
        <f>IF(VLOOKUP(E32,BDD!$A$1:$S$567,15,FALSE)=0,"Critère non évalué","")</f>
        <v>Critère non évalué</v>
      </c>
      <c r="I32" s="66" t="str">
        <f>IFERROR(IF(VLOOKUP($E32,BDD!$A$1:$S$567,MATCH(I$10,BDD!$A$1:$P$1,0),FALSE)=0,"",VLOOKUP($E32,BDD!$A$1:$S$567,MATCH(I$10,BDD!$A$1:$P$1,0),FALSE)),"")</f>
        <v>N3</v>
      </c>
      <c r="J32" s="86"/>
      <c r="K32" s="67" t="str">
        <f>IFERROR(IF(VLOOKUP($E32,BDD!$A$1:$S$567,MATCH(K$10,BDD!$A$1:$P$1,0),FALSE)=0,"",VLOOKUP($E32,BDD!$A$1:$S$567,MATCH(K$10,BDD!$A$1:$P$1,0),FALSE)),"")</f>
        <v>• Le volet numérique définit la stratégie de sourcing lui permettant d’atteindre les objectifs du plan stratégique de l’organisation sur les différents plans (humains, financiers, sécurité, périmètre d’activité, délais de déploiement etc.).
• Les plans d’action issus du volet numérique prévoient la mise à disposition des ressources (côté métiers et côté DSI), qui doivent être intégrées dans le plan stratégique de l’organisation et validées.
Ils précisent si les ressources définies proviennent d’un sourcing interne (développement de compétences) ou s’il est nécessaire de les acquérir à l’extérieur (achats, partenariats, recrutements, etc.).</v>
      </c>
      <c r="L32" s="68"/>
      <c r="M32" s="82"/>
      <c r="N32" s="82"/>
      <c r="O32" s="68"/>
      <c r="P32" s="268"/>
    </row>
    <row r="33" spans="1:16" ht="130.05000000000001" customHeight="1" x14ac:dyDescent="0.3">
      <c r="A33" s="268"/>
      <c r="B33" s="68"/>
      <c r="C33" s="68" t="str">
        <f t="shared" si="0"/>
        <v>1</v>
      </c>
      <c r="D33" s="68">
        <f t="shared" si="1"/>
        <v>2</v>
      </c>
      <c r="E33" s="84" t="str">
        <f t="shared" si="2"/>
        <v>126</v>
      </c>
      <c r="F33" s="64" t="s">
        <v>34</v>
      </c>
      <c r="G33" s="65" t="str">
        <f>IFERROR(IF(VLOOKUP($E33,BDD!$A$1:$S$567,MATCH(G$10,BDD!$A$1:$P$1,0),FALSE)=0,"",VLOOKUP($E33,BDD!$A$1:$S$567,MATCH(G$10,BDD!$A$1:$P$1,0),FALSE)),"")</f>
        <v xml:space="preserve">Les investissements découlant du volet numérique du plan stratégique de l’organisation sont mis en regard des bénéfices attendus par les métiers. </v>
      </c>
      <c r="H33" s="92" t="str">
        <f>IF(VLOOKUP(E33,BDD!$A$1:$S$567,15,FALSE)=0,"Critère non évalué","")</f>
        <v>Critère non évalué</v>
      </c>
      <c r="I33" s="64" t="str">
        <f>IFERROR(IF(VLOOKUP($E33,BDD!$A$1:$S$567,MATCH(I$10,BDD!$A$1:$P$1,0),FALSE)=0,"",VLOOKUP($E33,BDD!$A$1:$S$567,MATCH(I$10,BDD!$A$1:$P$1,0),FALSE)),"")</f>
        <v>N4</v>
      </c>
      <c r="J33" s="89"/>
      <c r="K33" s="65" t="str">
        <f>IFERROR(IF(VLOOKUP($E33,BDD!$A$1:$S$567,MATCH(K$10,BDD!$A$1:$P$1,0),FALSE)=0,"",VLOOKUP($E33,BDD!$A$1:$S$567,MATCH(K$10,BDD!$A$1:$P$1,0),FALSE)),"")</f>
        <v>• Il ne s’agit pas ici d’élaborer un business case, mais d’indiquer la finalité et la valeur métier des investissements demandés afin qu’une enveloppe soit inscrite au plan stratégique. Les investissements devront ensuite être autorisés au cas par cas dans le cadre de projets.</v>
      </c>
      <c r="L33" s="68"/>
      <c r="M33" s="90"/>
      <c r="N33" s="90"/>
      <c r="O33" s="68"/>
      <c r="P33" s="268"/>
    </row>
    <row r="34" spans="1:16" ht="130.05000000000001" customHeight="1" x14ac:dyDescent="0.3">
      <c r="A34" s="268"/>
      <c r="B34" s="68"/>
      <c r="C34" s="68" t="str">
        <f t="shared" si="0"/>
        <v>1</v>
      </c>
      <c r="D34" s="68">
        <f t="shared" si="1"/>
        <v>2</v>
      </c>
      <c r="E34" s="84" t="str">
        <f t="shared" si="2"/>
        <v>127</v>
      </c>
      <c r="F34" s="66" t="s">
        <v>36</v>
      </c>
      <c r="G34" s="67" t="str">
        <f>IFERROR(IF(VLOOKUP($E34,BDD!$A$1:$S$567,MATCH(G$10,BDD!$A$1:$P$1,0),FALSE)=0,"",VLOOKUP($E34,BDD!$A$1:$S$567,MATCH(G$10,BDD!$A$1:$P$1,0),FALSE)),"")</f>
        <v>Le volet numérique prend en compte les enjeux éthiques et de responsabilité sociétale et environnementale (RSE) définis par la stratégie de l’organisation. Les enjeux éthiques englobent l’éthique de conception, l’éthique des usages et l’éthique sociétale.</v>
      </c>
      <c r="H34" s="85" t="str">
        <f>IF(VLOOKUP(E34,BDD!$A$1:$S$567,15,FALSE)=0,"Critère non évalué","")</f>
        <v>Critère non évalué</v>
      </c>
      <c r="I34" s="66" t="str">
        <f>IFERROR(IF(VLOOKUP($E34,BDD!$A$1:$S$567,MATCH(I$10,BDD!$A$1:$P$1,0),FALSE)=0,"",VLOOKUP($E34,BDD!$A$1:$S$567,MATCH(I$10,BDD!$A$1:$P$1,0),FALSE)),"")</f>
        <v>N4</v>
      </c>
      <c r="J34" s="86"/>
      <c r="K34" s="67" t="str">
        <f>IFERROR(IF(VLOOKUP($E34,BDD!$A$1:$S$567,MATCH(K$10,BDD!$A$1:$P$1,0),FALSE)=0,"",VLOOKUP($E34,BDD!$A$1:$S$567,MATCH(K$10,BDD!$A$1:$P$1,0),FALSE)),"")</f>
        <v xml:space="preserve">Références :
• Référentiel « Éthique et numérique » Cigref et Syntec Numérique, 2018.
• « IT for Green : contributions des directions numériques aux enjeux RSE et de décarbonation des organisations ». Cigref, 2025. </v>
      </c>
      <c r="L34" s="68"/>
      <c r="M34" s="82"/>
      <c r="N34" s="82"/>
      <c r="O34" s="68"/>
      <c r="P34" s="268"/>
    </row>
    <row r="35" spans="1:16" ht="18" x14ac:dyDescent="0.35">
      <c r="A35" s="268"/>
      <c r="B35" s="68"/>
      <c r="C35" s="68" t="str">
        <f t="shared" si="0"/>
        <v>1</v>
      </c>
      <c r="D35" s="68">
        <f t="shared" si="1"/>
        <v>2</v>
      </c>
      <c r="E35" s="84" t="str">
        <f t="shared" si="2"/>
        <v>12</v>
      </c>
      <c r="F35" s="68"/>
      <c r="G35" s="69" t="str">
        <f>IF(Suppl!B96=2,"Le vecteur n'est pas utilisé","")</f>
        <v/>
      </c>
      <c r="H35" s="69"/>
      <c r="I35" s="68"/>
      <c r="J35" s="69"/>
      <c r="K35" s="69"/>
      <c r="L35" s="70"/>
      <c r="M35" s="68"/>
      <c r="N35" s="68"/>
      <c r="O35" s="68"/>
      <c r="P35" s="268"/>
    </row>
    <row r="36" spans="1:16" x14ac:dyDescent="0.3">
      <c r="A36" s="268"/>
      <c r="B36" s="68"/>
      <c r="C36" s="68" t="str">
        <f t="shared" si="0"/>
        <v>1</v>
      </c>
      <c r="D36" s="68">
        <f>IF(LEFT(F36,14)="Bonne pratique",D35+1,D35)</f>
        <v>2</v>
      </c>
      <c r="E36" s="84" t="str">
        <f t="shared" si="2"/>
        <v>12</v>
      </c>
      <c r="F36" s="68"/>
      <c r="G36" s="68"/>
      <c r="H36" s="68"/>
      <c r="I36" s="68"/>
      <c r="J36" s="68"/>
      <c r="K36" s="68"/>
      <c r="L36" s="68"/>
      <c r="M36" s="68"/>
      <c r="N36" s="68"/>
      <c r="O36" s="68"/>
      <c r="P36" s="268"/>
    </row>
    <row r="37" spans="1:16" ht="25.8" x14ac:dyDescent="0.5">
      <c r="A37" s="296"/>
      <c r="B37" s="74"/>
      <c r="C37" s="68" t="str">
        <f t="shared" si="0"/>
        <v>1</v>
      </c>
      <c r="D37" s="68">
        <f t="shared" si="1"/>
        <v>3</v>
      </c>
      <c r="E37" s="84" t="str">
        <f t="shared" si="2"/>
        <v>133</v>
      </c>
      <c r="F37" s="208" t="s">
        <v>501</v>
      </c>
      <c r="G37" s="75"/>
      <c r="H37" s="205"/>
      <c r="I37" s="73"/>
      <c r="J37" s="73" t="str">
        <f>VLOOKUP(E44,BDD!$A$2:$N$567,6,FALSE)</f>
        <v>Communication</v>
      </c>
      <c r="K37" s="72"/>
      <c r="L37" s="75"/>
      <c r="M37" s="75"/>
      <c r="N37" s="75"/>
      <c r="O37" s="74"/>
      <c r="P37" s="296"/>
    </row>
    <row r="38" spans="1:16" x14ac:dyDescent="0.3">
      <c r="A38" s="268"/>
      <c r="B38" s="68"/>
      <c r="C38" s="68" t="str">
        <f t="shared" si="0"/>
        <v>1</v>
      </c>
      <c r="D38" s="68">
        <f t="shared" si="1"/>
        <v>3</v>
      </c>
      <c r="E38" s="84" t="str">
        <f t="shared" si="2"/>
        <v>13</v>
      </c>
      <c r="F38" s="68"/>
      <c r="G38" s="68"/>
      <c r="H38" s="68"/>
      <c r="I38" s="68"/>
      <c r="J38" s="68"/>
      <c r="K38" s="68"/>
      <c r="L38" s="68"/>
      <c r="M38" s="68"/>
      <c r="N38" s="68"/>
      <c r="O38" s="68"/>
      <c r="P38" s="268"/>
    </row>
    <row r="39" spans="1:16" ht="18" x14ac:dyDescent="0.35">
      <c r="A39" s="297"/>
      <c r="B39" s="76"/>
      <c r="C39" s="68" t="str">
        <f t="shared" si="0"/>
        <v>1</v>
      </c>
      <c r="D39" s="68">
        <f t="shared" si="1"/>
        <v>3</v>
      </c>
      <c r="E39" s="84" t="str">
        <f t="shared" si="2"/>
        <v>13</v>
      </c>
      <c r="F39" s="76"/>
      <c r="G39" s="76"/>
      <c r="H39" s="76"/>
      <c r="I39" s="77"/>
      <c r="J39" s="207" t="str">
        <f>IFERROR(_xlfn.TEXTBEFORE(VLOOKUP(E44,BDD!$A$2:$N$567,7,FALSE)," ",30),VLOOKUP(E44,BDD!$A$2:$N$567,7,FALSE))</f>
        <v>Le volet numérique est communiqué conjointement avec le plan stratégique de l’organisation pour en faciliter la compréhension et susciter l’adhésion des métiers.</v>
      </c>
      <c r="K39" s="77"/>
      <c r="L39" s="76"/>
      <c r="M39" s="76"/>
      <c r="N39" s="76"/>
      <c r="O39" s="76"/>
      <c r="P39" s="297"/>
    </row>
    <row r="40" spans="1:16" ht="18" x14ac:dyDescent="0.35">
      <c r="A40" s="268"/>
      <c r="B40" s="68"/>
      <c r="C40" s="68" t="str">
        <f t="shared" si="0"/>
        <v>1</v>
      </c>
      <c r="D40" s="68">
        <f t="shared" si="1"/>
        <v>3</v>
      </c>
      <c r="E40" s="84" t="str">
        <f t="shared" si="2"/>
        <v>13</v>
      </c>
      <c r="F40" s="68"/>
      <c r="G40" s="68"/>
      <c r="H40" s="68"/>
      <c r="I40" s="68"/>
      <c r="J40" s="207" t="str">
        <f>IFERROR(_xlfn.TEXTAFTER(VLOOKUP(E44,BDD!$A$2:$N$567,7,FALSE)," ",30),"")</f>
        <v/>
      </c>
      <c r="K40" s="68"/>
      <c r="L40" s="68"/>
      <c r="M40" s="68"/>
      <c r="N40" s="68"/>
      <c r="O40" s="68"/>
      <c r="P40" s="268"/>
    </row>
    <row r="41" spans="1:16" x14ac:dyDescent="0.3">
      <c r="A41" s="268"/>
      <c r="B41" s="68"/>
      <c r="C41" s="68" t="str">
        <f t="shared" si="0"/>
        <v>1</v>
      </c>
      <c r="D41" s="68">
        <f t="shared" si="1"/>
        <v>3</v>
      </c>
      <c r="E41" s="84" t="str">
        <f t="shared" si="2"/>
        <v>13</v>
      </c>
      <c r="F41" s="68"/>
      <c r="G41" s="68"/>
      <c r="H41" s="68"/>
      <c r="I41" s="68"/>
      <c r="J41" s="78"/>
      <c r="K41" s="68"/>
      <c r="L41" s="68"/>
      <c r="M41" s="619" t="s">
        <v>92</v>
      </c>
      <c r="N41" s="619"/>
      <c r="O41" s="68"/>
      <c r="P41" s="268"/>
    </row>
    <row r="42" spans="1:16" ht="33" x14ac:dyDescent="0.3">
      <c r="A42" s="268"/>
      <c r="B42" s="68"/>
      <c r="C42" s="68" t="str">
        <f t="shared" si="0"/>
        <v>1</v>
      </c>
      <c r="D42" s="68">
        <f t="shared" si="1"/>
        <v>3</v>
      </c>
      <c r="E42" s="84" t="str">
        <f t="shared" si="2"/>
        <v>13</v>
      </c>
      <c r="F42" s="79"/>
      <c r="G42" s="80" t="s">
        <v>561</v>
      </c>
      <c r="H42" s="80" t="s">
        <v>82</v>
      </c>
      <c r="I42" s="80" t="s">
        <v>83</v>
      </c>
      <c r="J42" s="80" t="s">
        <v>84</v>
      </c>
      <c r="K42" s="80" t="s">
        <v>85</v>
      </c>
      <c r="L42" s="78"/>
      <c r="M42" s="81" t="s">
        <v>86</v>
      </c>
      <c r="N42" s="82" t="s">
        <v>87</v>
      </c>
      <c r="O42" s="68"/>
      <c r="P42" s="268"/>
    </row>
    <row r="43" spans="1:16" x14ac:dyDescent="0.3">
      <c r="A43" s="268"/>
      <c r="B43" s="68"/>
      <c r="C43" s="68" t="str">
        <f t="shared" si="0"/>
        <v>1</v>
      </c>
      <c r="D43" s="68">
        <f t="shared" si="1"/>
        <v>3</v>
      </c>
      <c r="E43" s="84" t="str">
        <f t="shared" si="2"/>
        <v>13</v>
      </c>
      <c r="F43" s="68"/>
      <c r="G43" s="83"/>
      <c r="H43" s="83"/>
      <c r="I43" s="83"/>
      <c r="J43" s="68"/>
      <c r="K43" s="83"/>
      <c r="L43" s="68"/>
      <c r="M43" s="68"/>
      <c r="N43" s="68"/>
      <c r="O43" s="68"/>
      <c r="P43" s="268"/>
    </row>
    <row r="44" spans="1:16" ht="130.05000000000001" customHeight="1" x14ac:dyDescent="0.3">
      <c r="A44" s="268"/>
      <c r="B44" s="68"/>
      <c r="C44" s="68" t="str">
        <f t="shared" si="0"/>
        <v>1</v>
      </c>
      <c r="D44" s="68">
        <f t="shared" si="1"/>
        <v>3</v>
      </c>
      <c r="E44" s="84" t="str">
        <f t="shared" si="2"/>
        <v>131</v>
      </c>
      <c r="F44" s="66" t="s">
        <v>27</v>
      </c>
      <c r="G44" s="67" t="str">
        <f>IFERROR(IF(VLOOKUP($E44,BDD!$A$1:$S$567,MATCH(G$10,BDD!$A$1:$P$1,0),FALSE)=0,"",VLOOKUP($E44,BDD!$A$1:$S$567,MATCH(G$10,BDD!$A$1:$P$1,0),FALSE)),"")</f>
        <v xml:space="preserve">L'organisation a défini clairement les objectifs attendus de la communication du volet numérique de son plan stratégique : partage, adhésion, mobilisation, transparence etc. </v>
      </c>
      <c r="H44" s="85" t="str">
        <f>IF(VLOOKUP(E44,BDD!$A$1:$S$567,15,FALSE)=0,"Critère non évalué","")</f>
        <v>Critère non évalué</v>
      </c>
      <c r="I44" s="66" t="str">
        <f>IFERROR(IF(VLOOKUP($E44,BDD!$A$1:$S$567,MATCH(I$10,BDD!$A$1:$P$1,0),FALSE)=0,"",VLOOKUP($E44,BDD!$A$1:$S$567,MATCH(I$10,BDD!$A$1:$P$1,0),FALSE)),"")</f>
        <v>N3</v>
      </c>
      <c r="J44" s="86"/>
      <c r="K44" s="67" t="str">
        <f>IFERROR(IF(VLOOKUP($E44,BDD!$A$1:$S$567,MATCH(K$10,BDD!$A$1:$P$1,0),FALSE)=0,"",VLOOKUP($E44,BDD!$A$1:$S$567,MATCH(K$10,BDD!$A$1:$P$1,0),FALSE)),"")</f>
        <v xml:space="preserve">• Il est nécessaire d’élaborer un plan de communication dédié au volet numérique en complément de celui du plan stratégique global de l’organisation. </v>
      </c>
      <c r="L44" s="68"/>
      <c r="M44" s="87"/>
      <c r="N44" s="87"/>
      <c r="O44" s="68"/>
      <c r="P44" s="268"/>
    </row>
    <row r="45" spans="1:16" ht="150" customHeight="1" x14ac:dyDescent="0.3">
      <c r="A45" s="268"/>
      <c r="B45" s="68"/>
      <c r="C45" s="68" t="str">
        <f t="shared" si="0"/>
        <v>1</v>
      </c>
      <c r="D45" s="68">
        <f t="shared" si="1"/>
        <v>3</v>
      </c>
      <c r="E45" s="84" t="str">
        <f t="shared" si="2"/>
        <v>132</v>
      </c>
      <c r="F45" s="94" t="s">
        <v>28</v>
      </c>
      <c r="G45" s="65" t="str">
        <f>IFERROR(IF(VLOOKUP($E45,BDD!$A$1:$S$567,MATCH(G$10,BDD!$A$1:$P$1,0),FALSE)=0,"",VLOOKUP($E45,BDD!$A$1:$S$567,MATCH(G$10,BDD!$A$1:$P$1,0),FALSE)),"")</f>
        <v>La DSI a défini les cibles visées par la communication (direction générale, directions métiers, responsables de la DSI, principaux acteurs impliqués dans le SI, collaborateurs de l’organisation, parties prenantes externes) ainsi que les moyens de communication (contenu, forme, média, etc.) permettant d’atteindre les cibles identifiées.</v>
      </c>
      <c r="H45" s="88" t="str">
        <f>IF(VLOOKUP(E45,BDD!$A$1:$S$567,15,FALSE)=0,"Critère non évalué","")</f>
        <v>Critère non évalué</v>
      </c>
      <c r="I45" s="64" t="str">
        <f>IFERROR(IF(VLOOKUP($E45,BDD!$A$1:$S$567,MATCH(I$10,BDD!$A$1:$P$1,0),FALSE)=0,"",VLOOKUP($E45,BDD!$A$1:$S$567,MATCH(I$10,BDD!$A$1:$P$1,0),FALSE)),"")</f>
        <v>N3</v>
      </c>
      <c r="J45" s="89"/>
      <c r="K45" s="65" t="str">
        <f>IFERROR(IF(VLOOKUP($E45,BDD!$A$1:$S$567,MATCH(K$10,BDD!$A$1:$P$1,0),FALSE)=0,"",VLOOKUP($E45,BDD!$A$1:$S$567,MATCH(K$10,BDD!$A$1:$P$1,0),FALSE)),"")</f>
        <v>• La DSI communique sur sa contribution aux enjeux des différents métiers. 
• La DSI partage avec les métiers les domaines nécessitant une collaboration renforcée afin d’assurer la réussite du plan numérique (ex. : reprise de données, accompagnement du changement, transitions organisationnelles, etc.).
• Elle a défini, pour chaque cible, ses objectifs de communication et les moyens de mesurer leur atteinte. 
• Elle déploie une communication différenciée et adaptée vers ces différentes cibles (internes et externes).</v>
      </c>
      <c r="L45" s="68"/>
      <c r="M45" s="90"/>
      <c r="N45" s="90"/>
      <c r="O45" s="68"/>
      <c r="P45" s="268"/>
    </row>
    <row r="46" spans="1:16" ht="130.05000000000001" customHeight="1" x14ac:dyDescent="0.3">
      <c r="A46" s="268"/>
      <c r="B46" s="68"/>
      <c r="C46" s="68" t="str">
        <f t="shared" si="0"/>
        <v>1</v>
      </c>
      <c r="D46" s="68">
        <f t="shared" si="1"/>
        <v>3</v>
      </c>
      <c r="E46" s="84" t="str">
        <f t="shared" si="2"/>
        <v>133</v>
      </c>
      <c r="F46" s="66" t="s">
        <v>30</v>
      </c>
      <c r="G46" s="67" t="str">
        <f>IFERROR(IF(VLOOKUP($E46,BDD!$A$1:$S$567,MATCH(G$10,BDD!$A$1:$P$1,0),FALSE)=0,"",VLOOKUP($E46,BDD!$A$1:$S$567,MATCH(G$10,BDD!$A$1:$P$1,0),FALSE)),"")</f>
        <v>La DSI met en œuvre et anime la communication définie selon les modalités les plus pertinentes.</v>
      </c>
      <c r="H46" s="85" t="str">
        <f>IF(VLOOKUP(E46,BDD!$A$1:$S$567,15,FALSE)=0,"Critère non évalué","")</f>
        <v>Critère non évalué</v>
      </c>
      <c r="I46" s="66" t="s">
        <v>22</v>
      </c>
      <c r="J46" s="86"/>
      <c r="K46" s="67" t="str">
        <f>IFERROR(IF(VLOOKUP($E46,BDD!$A$1:$S$567,MATCH(K$10,BDD!$A$1:$P$1,0),FALSE)=0,"",VLOOKUP($E46,BDD!$A$1:$S$567,MATCH(K$10,BDD!$A$1:$P$1,0),FALSE)),"")</f>
        <v>• Cette démarche s’applique aussi bien au sein des équipes internes qu’auprès des métiers.</v>
      </c>
      <c r="L46" s="68"/>
      <c r="M46" s="87"/>
      <c r="N46" s="87"/>
      <c r="O46" s="68"/>
      <c r="P46" s="268"/>
    </row>
    <row r="47" spans="1:16" ht="120" customHeight="1" x14ac:dyDescent="0.3">
      <c r="A47" s="268"/>
      <c r="B47" s="68"/>
      <c r="C47" s="68" t="str">
        <f t="shared" si="0"/>
        <v>1</v>
      </c>
      <c r="D47" s="68">
        <f t="shared" si="1"/>
        <v>3</v>
      </c>
      <c r="E47" s="84" t="str">
        <f t="shared" si="2"/>
        <v>134</v>
      </c>
      <c r="F47" s="64" t="s">
        <v>32</v>
      </c>
      <c r="G47" s="96" t="str">
        <f>IFERROR(IF(VLOOKUP($E47,BDD!$A$1:$S$567,MATCH(G$10,BDD!$A$1:$P$1,0),FALSE)=0,"",VLOOKUP($E47,BDD!$A$1:$S$567,MATCH(G$10,BDD!$A$1:$P$1,0),FALSE)),"")</f>
        <v>La DSI évalue l’efficacité de cette communication à l’aide d’indicateurs, d’enquêtes, de feedbacks et de sondages, afin de mesurer l’atteinte des objectifs initiaux.</v>
      </c>
      <c r="H47" s="210" t="str">
        <f>IF(VLOOKUP(E47,BDD!$A$1:$S$567,15,FALSE)=0,"Critère non évalué","")</f>
        <v>Critère non évalué</v>
      </c>
      <c r="I47" s="64" t="s">
        <v>26</v>
      </c>
      <c r="J47" s="95"/>
      <c r="K47" s="96" t="str">
        <f>IFERROR(IF(VLOOKUP($E47,BDD!$A$1:$S$567,MATCH(K$10,BDD!$A$1:$P$1,0),FALSE)=0,"",VLOOKUP($E47,BDD!$A$1:$S$567,MATCH(K$10,BDD!$A$1:$P$1,0),FALSE)),"")</f>
        <v/>
      </c>
      <c r="L47" s="68"/>
      <c r="M47" s="90"/>
      <c r="N47" s="90"/>
      <c r="O47" s="68"/>
      <c r="P47" s="268"/>
    </row>
    <row r="48" spans="1:16" ht="130.05000000000001" hidden="1" customHeight="1" x14ac:dyDescent="0.3">
      <c r="A48" s="268"/>
      <c r="B48" s="68"/>
      <c r="C48" s="68" t="str">
        <f t="shared" si="0"/>
        <v>1</v>
      </c>
      <c r="D48" s="68">
        <f t="shared" si="1"/>
        <v>3</v>
      </c>
      <c r="E48" s="84" t="str">
        <f t="shared" si="2"/>
        <v>135</v>
      </c>
      <c r="F48" s="66" t="s">
        <v>33</v>
      </c>
      <c r="G48" s="67" t="str">
        <f>IFERROR(IF(VLOOKUP($E48,BDD!$A$1:$S$567,MATCH(G$10,BDD!$A$1:$P$1,0),FALSE)=0,"",VLOOKUP($E48,BDD!$A$1:$S$567,MATCH(G$10,BDD!$A$1:$P$1,0),FALSE)),"")</f>
        <v/>
      </c>
      <c r="H48" s="85" t="str">
        <f>IF(VLOOKUP(E48,BDD!$A$1:$S$567,15,FALSE)=0,"Critère non évalué","")</f>
        <v>Critère non évalué</v>
      </c>
      <c r="I48" s="66" t="s">
        <v>22</v>
      </c>
      <c r="J48" s="86"/>
      <c r="K48" s="67" t="str">
        <f>IFERROR(IF(VLOOKUP($E48,BDD!$A$1:$S$567,MATCH(K$10,BDD!$A$1:$P$1,0),FALSE)=0,"",VLOOKUP($E48,BDD!$A$1:$S$567,MATCH(K$10,BDD!$A$1:$P$1,0),FALSE)),"")</f>
        <v/>
      </c>
      <c r="L48" s="68"/>
      <c r="M48" s="87"/>
      <c r="N48" s="87"/>
      <c r="O48" s="68"/>
      <c r="P48" s="268"/>
    </row>
    <row r="49" spans="1:16" ht="120" hidden="1" customHeight="1" x14ac:dyDescent="0.3">
      <c r="A49" s="268"/>
      <c r="B49" s="68"/>
      <c r="C49" s="68" t="str">
        <f t="shared" si="0"/>
        <v>1</v>
      </c>
      <c r="D49" s="68">
        <f t="shared" si="1"/>
        <v>3</v>
      </c>
      <c r="E49" s="84" t="str">
        <f t="shared" si="2"/>
        <v>136</v>
      </c>
      <c r="F49" s="64" t="s">
        <v>34</v>
      </c>
      <c r="G49" s="96" t="str">
        <f>IFERROR(IF(VLOOKUP($E49,BDD!$A$1:$S$567,MATCH(G$10,BDD!$A$1:$P$1,0),FALSE)=0,"",VLOOKUP($E49,BDD!$A$1:$S$567,MATCH(G$10,BDD!$A$1:$P$1,0),FALSE)),"")</f>
        <v/>
      </c>
      <c r="H49" s="210" t="str">
        <f>IF(VLOOKUP(E49,BDD!$A$1:$S$567,15,FALSE)=0,"Critère non évalué","")</f>
        <v>Critère non évalué</v>
      </c>
      <c r="I49" s="64" t="s">
        <v>26</v>
      </c>
      <c r="J49" s="95"/>
      <c r="K49" s="96" t="str">
        <f>IFERROR(IF(VLOOKUP($E49,BDD!$A$1:$S$567,MATCH(K$10,BDD!$A$1:$P$1,0),FALSE)=0,"",VLOOKUP($E49,BDD!$A$1:$S$567,MATCH(K$10,BDD!$A$1:$P$1,0),FALSE)),"")</f>
        <v/>
      </c>
      <c r="L49" s="68"/>
      <c r="M49" s="90"/>
      <c r="N49" s="90"/>
      <c r="O49" s="68"/>
      <c r="P49" s="268"/>
    </row>
    <row r="50" spans="1:16" ht="130.05000000000001" hidden="1" customHeight="1" x14ac:dyDescent="0.3">
      <c r="A50" s="268"/>
      <c r="B50" s="68"/>
      <c r="C50" s="68" t="str">
        <f t="shared" si="0"/>
        <v>1</v>
      </c>
      <c r="D50" s="68">
        <f t="shared" si="1"/>
        <v>3</v>
      </c>
      <c r="E50" s="84" t="str">
        <f t="shared" si="2"/>
        <v>137</v>
      </c>
      <c r="F50" s="66" t="s">
        <v>36</v>
      </c>
      <c r="G50" s="67" t="str">
        <f>IFERROR(IF(VLOOKUP($E50,BDD!$A$1:$S$567,MATCH(G$10,BDD!$A$1:$P$1,0),FALSE)=0,"",VLOOKUP($E50,BDD!$A$1:$S$567,MATCH(G$10,BDD!$A$1:$P$1,0),FALSE)),"")</f>
        <v/>
      </c>
      <c r="H50" s="85" t="str">
        <f>IF(VLOOKUP(E50,BDD!$A$1:$S$567,15,FALSE)=0,"Critère non évalué","")</f>
        <v>Critère non évalué</v>
      </c>
      <c r="I50" s="66" t="s">
        <v>22</v>
      </c>
      <c r="J50" s="86"/>
      <c r="K50" s="67" t="str">
        <f>IFERROR(IF(VLOOKUP($E50,BDD!$A$1:$S$567,MATCH(K$10,BDD!$A$1:$P$1,0),FALSE)=0,"",VLOOKUP($E50,BDD!$A$1:$S$567,MATCH(K$10,BDD!$A$1:$P$1,0),FALSE)),"")</f>
        <v/>
      </c>
      <c r="L50" s="68"/>
      <c r="M50" s="87"/>
      <c r="N50" s="87"/>
      <c r="O50" s="68"/>
      <c r="P50" s="268"/>
    </row>
    <row r="51" spans="1:16" ht="18" x14ac:dyDescent="0.35">
      <c r="A51" s="268"/>
      <c r="B51" s="68"/>
      <c r="C51" s="68" t="str">
        <f t="shared" si="0"/>
        <v>1</v>
      </c>
      <c r="D51" s="68"/>
      <c r="E51" s="84"/>
      <c r="F51" s="68"/>
      <c r="G51" s="69"/>
      <c r="H51" s="69"/>
      <c r="I51" s="69"/>
      <c r="J51" s="69"/>
      <c r="K51" s="69"/>
      <c r="L51" s="70"/>
      <c r="M51" s="68"/>
      <c r="N51" s="68"/>
      <c r="O51" s="68"/>
      <c r="P51" s="268"/>
    </row>
    <row r="52" spans="1:16" x14ac:dyDescent="0.3">
      <c r="A52" s="268"/>
      <c r="B52" s="68"/>
      <c r="C52" s="68" t="str">
        <f t="shared" si="0"/>
        <v>1</v>
      </c>
      <c r="D52" s="68">
        <f>IF(LEFT(F52,14)="Bonne pratique",D48+1,D48)</f>
        <v>3</v>
      </c>
      <c r="E52" s="84" t="str">
        <f t="shared" si="2"/>
        <v>13</v>
      </c>
      <c r="F52" s="68"/>
      <c r="G52" s="68"/>
      <c r="H52" s="68"/>
      <c r="I52" s="68"/>
      <c r="J52" s="68"/>
      <c r="K52" s="68"/>
      <c r="L52" s="68"/>
      <c r="M52" s="68"/>
      <c r="N52" s="68"/>
      <c r="O52" s="68"/>
      <c r="P52" s="268"/>
    </row>
    <row r="53" spans="1:16" ht="25.8" x14ac:dyDescent="0.5">
      <c r="A53" s="296"/>
      <c r="B53" s="74"/>
      <c r="C53" s="68" t="str">
        <f t="shared" si="0"/>
        <v>1</v>
      </c>
      <c r="D53" s="68">
        <f t="shared" si="1"/>
        <v>4</v>
      </c>
      <c r="E53" s="84" t="str">
        <f t="shared" si="2"/>
        <v>144</v>
      </c>
      <c r="F53" s="208" t="s">
        <v>502</v>
      </c>
      <c r="G53" s="75"/>
      <c r="H53" s="205"/>
      <c r="I53" s="73"/>
      <c r="J53" s="73" t="str">
        <f>VLOOKUP(E60,BDD!$A$2:$N$567,6,FALSE)</f>
        <v>Indicateurs</v>
      </c>
      <c r="K53" s="72"/>
      <c r="L53" s="75"/>
      <c r="M53" s="75"/>
      <c r="N53" s="75"/>
      <c r="O53" s="74"/>
      <c r="P53" s="296"/>
    </row>
    <row r="54" spans="1:16" x14ac:dyDescent="0.3">
      <c r="A54" s="268"/>
      <c r="B54" s="68"/>
      <c r="C54" s="68" t="str">
        <f t="shared" si="0"/>
        <v>1</v>
      </c>
      <c r="D54" s="68">
        <f t="shared" si="1"/>
        <v>4</v>
      </c>
      <c r="E54" s="84" t="str">
        <f t="shared" si="2"/>
        <v>14</v>
      </c>
      <c r="F54" s="68"/>
      <c r="G54" s="68"/>
      <c r="H54" s="68"/>
      <c r="I54" s="68"/>
      <c r="J54" s="68"/>
      <c r="K54" s="68"/>
      <c r="L54" s="68"/>
      <c r="M54" s="68"/>
      <c r="N54" s="68"/>
      <c r="O54" s="68"/>
      <c r="P54" s="268"/>
    </row>
    <row r="55" spans="1:16" ht="18" x14ac:dyDescent="0.35">
      <c r="A55" s="297"/>
      <c r="B55" s="76"/>
      <c r="C55" s="68" t="str">
        <f t="shared" si="0"/>
        <v>1</v>
      </c>
      <c r="D55" s="68">
        <f t="shared" si="1"/>
        <v>4</v>
      </c>
      <c r="E55" s="84" t="str">
        <f t="shared" si="2"/>
        <v>14</v>
      </c>
      <c r="F55" s="76"/>
      <c r="G55" s="76"/>
      <c r="H55" s="76"/>
      <c r="I55" s="77"/>
      <c r="J55" s="207" t="str">
        <f>IFERROR(_xlfn.TEXTBEFORE(VLOOKUP(E60,BDD!$A$2:$N$567,7,FALSE)," ",30),VLOOKUP(E60,BDD!$A$2:$N$567,7,FALSE))</f>
        <v xml:space="preserve">Des indicateurs financiers et non financiers sont définis afin de mesurer la contribution du numérique à la stratégie de l’organisation. </v>
      </c>
      <c r="K55" s="77"/>
      <c r="L55" s="76"/>
      <c r="M55" s="76"/>
      <c r="N55" s="76"/>
      <c r="O55" s="76"/>
      <c r="P55" s="297"/>
    </row>
    <row r="56" spans="1:16" ht="18" x14ac:dyDescent="0.35">
      <c r="A56" s="268"/>
      <c r="B56" s="68"/>
      <c r="C56" s="68" t="str">
        <f t="shared" si="0"/>
        <v>1</v>
      </c>
      <c r="D56" s="68">
        <f t="shared" si="1"/>
        <v>4</v>
      </c>
      <c r="E56" s="84" t="str">
        <f t="shared" si="2"/>
        <v>14</v>
      </c>
      <c r="F56" s="68"/>
      <c r="G56" s="68"/>
      <c r="H56" s="68"/>
      <c r="I56" s="68"/>
      <c r="J56" s="207" t="str">
        <f>IFERROR(_xlfn.TEXTAFTER(VLOOKUP(E60,BDD!$A$2:$N$567,7,FALSE)," ",30),"")</f>
        <v/>
      </c>
      <c r="K56" s="68"/>
      <c r="L56" s="68"/>
      <c r="M56" s="68"/>
      <c r="N56" s="68"/>
      <c r="O56" s="68"/>
      <c r="P56" s="268"/>
    </row>
    <row r="57" spans="1:16" x14ac:dyDescent="0.3">
      <c r="A57" s="268"/>
      <c r="B57" s="68"/>
      <c r="C57" s="68" t="str">
        <f t="shared" si="0"/>
        <v>1</v>
      </c>
      <c r="D57" s="68">
        <f t="shared" si="1"/>
        <v>4</v>
      </c>
      <c r="E57" s="84" t="str">
        <f t="shared" si="2"/>
        <v>14</v>
      </c>
      <c r="F57" s="68"/>
      <c r="G57" s="68"/>
      <c r="H57" s="68"/>
      <c r="I57" s="68"/>
      <c r="J57" s="78"/>
      <c r="K57" s="68"/>
      <c r="L57" s="68"/>
      <c r="M57" s="619" t="s">
        <v>92</v>
      </c>
      <c r="N57" s="619"/>
      <c r="O57" s="68"/>
      <c r="P57" s="268"/>
    </row>
    <row r="58" spans="1:16" ht="33" x14ac:dyDescent="0.3">
      <c r="A58" s="268"/>
      <c r="B58" s="68"/>
      <c r="C58" s="68" t="str">
        <f t="shared" si="0"/>
        <v>1</v>
      </c>
      <c r="D58" s="68">
        <f t="shared" si="1"/>
        <v>4</v>
      </c>
      <c r="E58" s="84" t="str">
        <f t="shared" si="2"/>
        <v>14</v>
      </c>
      <c r="F58" s="79"/>
      <c r="G58" s="80" t="s">
        <v>561</v>
      </c>
      <c r="H58" s="80" t="s">
        <v>82</v>
      </c>
      <c r="I58" s="80" t="s">
        <v>83</v>
      </c>
      <c r="J58" s="80" t="s">
        <v>84</v>
      </c>
      <c r="K58" s="80" t="s">
        <v>85</v>
      </c>
      <c r="L58" s="78"/>
      <c r="M58" s="81" t="s">
        <v>86</v>
      </c>
      <c r="N58" s="82" t="s">
        <v>87</v>
      </c>
      <c r="O58" s="68"/>
      <c r="P58" s="268"/>
    </row>
    <row r="59" spans="1:16" x14ac:dyDescent="0.3">
      <c r="A59" s="268"/>
      <c r="B59" s="68"/>
      <c r="C59" s="68" t="str">
        <f t="shared" si="0"/>
        <v>1</v>
      </c>
      <c r="D59" s="68">
        <f t="shared" si="1"/>
        <v>4</v>
      </c>
      <c r="E59" s="84" t="str">
        <f t="shared" si="2"/>
        <v>14</v>
      </c>
      <c r="F59" s="68"/>
      <c r="G59" s="83"/>
      <c r="H59" s="83"/>
      <c r="I59" s="83"/>
      <c r="J59" s="68"/>
      <c r="K59" s="83"/>
      <c r="L59" s="68"/>
      <c r="M59" s="68"/>
      <c r="N59" s="68"/>
      <c r="O59" s="68"/>
      <c r="P59" s="268"/>
    </row>
    <row r="60" spans="1:16" ht="130.05000000000001" customHeight="1" x14ac:dyDescent="0.3">
      <c r="A60" s="268"/>
      <c r="B60" s="68"/>
      <c r="C60" s="68" t="str">
        <f t="shared" si="0"/>
        <v>1</v>
      </c>
      <c r="D60" s="68">
        <f t="shared" si="1"/>
        <v>4</v>
      </c>
      <c r="E60" s="84" t="str">
        <f t="shared" si="2"/>
        <v>141</v>
      </c>
      <c r="F60" s="66" t="s">
        <v>27</v>
      </c>
      <c r="G60" s="67" t="str">
        <f>IFERROR(IF(VLOOKUP($E60,BDD!$A$1:$S$567,MATCH(G$10,BDD!$A$1:$P$1,0),FALSE)=0,"",VLOOKUP($E60,BDD!$A$1:$S$567,MATCH(G$10,BDD!$A$1:$P$1,0),FALSE)),"")</f>
        <v xml:space="preserve">La DSI a défini et fait valider des indicateurs de différentes natures, couvrant l’ensemble des enjeux du volet numérique du plan stratégique. </v>
      </c>
      <c r="H60" s="85" t="str">
        <f>IF(VLOOKUP(E60,BDD!$A$1:$S$567,15,FALSE)=0,"Critère non évalué","")</f>
        <v>Critère non évalué</v>
      </c>
      <c r="I60" s="66" t="str">
        <f>IFERROR(IF(VLOOKUP($E60,BDD!$A$1:$S$567,MATCH(I$10,BDD!$A$1:$P$1,0),FALSE)=0,"",VLOOKUP($E60,BDD!$A$1:$S$567,MATCH(I$10,BDD!$A$1:$P$1,0),FALSE)),"")</f>
        <v>N4</v>
      </c>
      <c r="J60" s="86"/>
      <c r="K60" s="67" t="str">
        <f>IFERROR(IF(VLOOKUP($E60,BDD!$A$1:$S$567,MATCH(K$10,BDD!$A$1:$P$1,0),FALSE)=0,"",VLOOKUP($E60,BDD!$A$1:$S$567,MATCH(K$10,BDD!$A$1:$P$1,0),FALSE)),"")</f>
        <v>• Ces indicateurs peuvent être de nature financière ou non financière : budgets d’investissements « CAPEX » et de fonctionnement « OPEX », gestion prévisionnelle des emplois et des compétences (GPEC), suivi des grands jalons, stratégie de sourcing, mixité des équipes, bilan carbone de l’IT, etc.
• Cf publication IT Scorecard de l'AFAI</v>
      </c>
      <c r="L60" s="68"/>
      <c r="M60" s="87"/>
      <c r="N60" s="87"/>
      <c r="O60" s="68"/>
      <c r="P60" s="268"/>
    </row>
    <row r="61" spans="1:16" ht="130.05000000000001" customHeight="1" x14ac:dyDescent="0.3">
      <c r="A61" s="268"/>
      <c r="B61" s="68"/>
      <c r="C61" s="68" t="str">
        <f t="shared" si="0"/>
        <v>1</v>
      </c>
      <c r="D61" s="68">
        <f t="shared" si="1"/>
        <v>4</v>
      </c>
      <c r="E61" s="84" t="str">
        <f t="shared" si="2"/>
        <v>142</v>
      </c>
      <c r="F61" s="94" t="s">
        <v>28</v>
      </c>
      <c r="G61" s="65" t="str">
        <f>IFERROR(IF(VLOOKUP($E61,BDD!$A$1:$S$567,MATCH(G$10,BDD!$A$1:$P$1,0),FALSE)=0,"",VLOOKUP($E61,BDD!$A$1:$S$567,MATCH(G$10,BDD!$A$1:$P$1,0),FALSE)),"")</f>
        <v>La DSI a défini ses propres indicateurs lui permettant de vérifier que les évolutions du SI contribuent à la stratégie de l'organisation.</v>
      </c>
      <c r="H61" s="88" t="str">
        <f>IF(VLOOKUP(E61,BDD!$A$1:$S$567,15,FALSE)=0,"Critère non évalué","")</f>
        <v>Critère non évalué</v>
      </c>
      <c r="I61" s="64" t="str">
        <f>IFERROR(IF(VLOOKUP($E61,BDD!$A$1:$S$567,MATCH(I$10,BDD!$A$1:$P$1,0),FALSE)=0,"",VLOOKUP($E61,BDD!$A$1:$S$567,MATCH(I$10,BDD!$A$1:$P$1,0),FALSE)),"")</f>
        <v>N1</v>
      </c>
      <c r="J61" s="89"/>
      <c r="K61" s="65" t="str">
        <f>IFERROR(IF(VLOOKUP($E61,BDD!$A$1:$S$567,MATCH(K$10,BDD!$A$1:$P$1,0),FALSE)=0,"",VLOOKUP($E61,BDD!$A$1:$S$567,MATCH(K$10,BDD!$A$1:$P$1,0),FALSE)),"")</f>
        <v/>
      </c>
      <c r="L61" s="68"/>
      <c r="M61" s="90"/>
      <c r="N61" s="90"/>
      <c r="O61" s="68"/>
      <c r="P61" s="268"/>
    </row>
    <row r="62" spans="1:16" ht="130.05000000000001" customHeight="1" x14ac:dyDescent="0.3">
      <c r="A62" s="268"/>
      <c r="B62" s="68"/>
      <c r="C62" s="68" t="str">
        <f t="shared" si="0"/>
        <v>1</v>
      </c>
      <c r="D62" s="68">
        <f>IF(LEFT(F62,14)="Bonne pratique",D61+1,D61)</f>
        <v>4</v>
      </c>
      <c r="E62" s="84" t="str">
        <f t="shared" si="2"/>
        <v>143</v>
      </c>
      <c r="F62" s="66" t="s">
        <v>30</v>
      </c>
      <c r="G62" s="67" t="str">
        <f>IFERROR(IF(VLOOKUP($E62,BDD!$A$1:$S$567,MATCH(G$10,BDD!$A$1:$P$1,0),FALSE)=0,"",VLOOKUP($E62,BDD!$A$1:$S$567,MATCH(G$10,BDD!$A$1:$P$1,0),FALSE)),"")</f>
        <v>La DSI fait valider par la direction générale les indicateurs permettant de vérifier que les évolutions du SI contribuent à la stratégie de l'organisation.</v>
      </c>
      <c r="H62" s="85" t="str">
        <f>IF(VLOOKUP(E62,BDD!$A$1:$S$567,15,FALSE)=0,"Critère non évalué","")</f>
        <v>Critère non évalué</v>
      </c>
      <c r="I62" s="66" t="str">
        <f>IFERROR(IF(VLOOKUP($E62,BDD!$A$1:$S$567,MATCH(I$10,BDD!$A$1:$P$1,0),FALSE)=0,"",VLOOKUP($E62,BDD!$A$1:$S$567,MATCH(I$10,BDD!$A$1:$P$1,0),FALSE)),"")</f>
        <v>N3</v>
      </c>
      <c r="J62" s="86"/>
      <c r="K62" s="67" t="str">
        <f>IFERROR(IF(VLOOKUP($E62,BDD!$A$1:$S$567,MATCH(K$10,BDD!$A$1:$P$1,0),FALSE)=0,"",VLOOKUP($E62,BDD!$A$1:$S$567,MATCH(K$10,BDD!$A$1:$P$1,0),FALSE)),"")</f>
        <v/>
      </c>
      <c r="L62" s="68"/>
      <c r="M62" s="87"/>
      <c r="N62" s="87"/>
      <c r="O62" s="68"/>
      <c r="P62" s="268"/>
    </row>
    <row r="63" spans="1:16" ht="130.05000000000001" customHeight="1" x14ac:dyDescent="0.3">
      <c r="A63" s="268"/>
      <c r="B63" s="68"/>
      <c r="C63" s="68" t="str">
        <f t="shared" si="0"/>
        <v>1</v>
      </c>
      <c r="D63" s="68">
        <f t="shared" si="1"/>
        <v>4</v>
      </c>
      <c r="E63" s="84" t="str">
        <f t="shared" si="2"/>
        <v>144</v>
      </c>
      <c r="F63" s="64" t="s">
        <v>32</v>
      </c>
      <c r="G63" s="65" t="str">
        <f>IFERROR(IF(VLOOKUP($E63,BDD!$A$1:$S$567,MATCH(G$10,BDD!$A$1:$P$1,0),FALSE)=0,"",VLOOKUP($E63,BDD!$A$1:$S$567,MATCH(G$10,BDD!$A$1:$P$1,0),FALSE)),"")</f>
        <v>La DSI mesure chacun de ces indicateurs conformément à un mode opératoire formalisé (objectif, source, fréquence, calcul, etc.).</v>
      </c>
      <c r="H63" s="88" t="str">
        <f>IF(VLOOKUP(E63,BDD!$A$1:$S$567,15,FALSE)=0,"Critère non évalué","")</f>
        <v>Critère non évalué</v>
      </c>
      <c r="I63" s="64" t="str">
        <f>IFERROR(IF(VLOOKUP($E63,BDD!$A$1:$S$567,MATCH(I$10,BDD!$A$1:$P$1,0),FALSE)=0,"",VLOOKUP($E63,BDD!$A$1:$S$567,MATCH(I$10,BDD!$A$1:$P$1,0),FALSE)),"")</f>
        <v>N3</v>
      </c>
      <c r="J63" s="91"/>
      <c r="K63" s="65" t="str">
        <f>IFERROR(IF(VLOOKUP($E63,BDD!$A$1:$S$567,MATCH(K$10,BDD!$A$1:$P$1,0),FALSE)=0,"",VLOOKUP($E63,BDD!$A$1:$S$567,MATCH(K$10,BDD!$A$1:$P$1,0),FALSE)),"")</f>
        <v/>
      </c>
      <c r="L63" s="68"/>
      <c r="M63" s="90"/>
      <c r="N63" s="90"/>
      <c r="O63" s="68"/>
      <c r="P63" s="268"/>
    </row>
    <row r="64" spans="1:16" ht="130.05000000000001" customHeight="1" x14ac:dyDescent="0.3">
      <c r="A64" s="268"/>
      <c r="B64" s="68"/>
      <c r="C64" s="68" t="str">
        <f t="shared" si="0"/>
        <v>1</v>
      </c>
      <c r="D64" s="68">
        <f t="shared" si="1"/>
        <v>4</v>
      </c>
      <c r="E64" s="84" t="str">
        <f t="shared" si="2"/>
        <v>145</v>
      </c>
      <c r="F64" s="66" t="s">
        <v>33</v>
      </c>
      <c r="G64" s="67" t="str">
        <f>IFERROR(IF(VLOOKUP($E64,BDD!$A$1:$S$567,MATCH(G$10,BDD!$A$1:$P$1,0),FALSE)=0,"",VLOOKUP($E64,BDD!$A$1:$S$567,MATCH(G$10,BDD!$A$1:$P$1,0),FALSE)),"")</f>
        <v>La DSI analyse les résultats et les écarts par rapport aux objectifs afin de mettre en œuvre des actions préventives ou correctives dans une démarche d’amélioration continue.</v>
      </c>
      <c r="H64" s="85" t="str">
        <f>IF(VLOOKUP(E64,BDD!$A$1:$S$567,15,FALSE)=0,"Critère non évalué","")</f>
        <v>Critère non évalué</v>
      </c>
      <c r="I64" s="66" t="str">
        <f>IFERROR(IF(VLOOKUP($E64,BDD!$A$1:$S$567,MATCH(I$10,BDD!$A$1:$P$1,0),FALSE)=0,"",VLOOKUP($E64,BDD!$A$1:$S$567,MATCH(I$10,BDD!$A$1:$P$1,0),FALSE)),"")</f>
        <v>N4</v>
      </c>
      <c r="J64" s="86"/>
      <c r="K64" s="67" t="str">
        <f>IFERROR(IF(VLOOKUP($E64,BDD!$A$1:$S$567,MATCH(K$10,BDD!$A$1:$P$1,0),FALSE)=0,"",VLOOKUP($E64,BDD!$A$1:$S$567,MATCH(K$10,BDD!$A$1:$P$1,0),FALSE)),"")</f>
        <v/>
      </c>
      <c r="L64" s="68"/>
      <c r="M64" s="82"/>
      <c r="N64" s="82"/>
      <c r="O64" s="68"/>
      <c r="P64" s="268"/>
    </row>
    <row r="65" spans="1:16" ht="130.05000000000001" customHeight="1" x14ac:dyDescent="0.3">
      <c r="A65" s="268"/>
      <c r="B65" s="68"/>
      <c r="C65" s="68" t="str">
        <f t="shared" si="0"/>
        <v>1</v>
      </c>
      <c r="D65" s="68">
        <f t="shared" si="1"/>
        <v>4</v>
      </c>
      <c r="E65" s="84" t="str">
        <f t="shared" si="2"/>
        <v>146</v>
      </c>
      <c r="F65" s="64" t="s">
        <v>34</v>
      </c>
      <c r="G65" s="96" t="str">
        <f>IFERROR(IF(VLOOKUP($E65,BDD!$A$1:$S$567,MATCH(G$10,BDD!$A$1:$P$1,0),FALSE)=0,"",VLOOKUP($E65,BDD!$A$1:$S$567,MATCH(G$10,BDD!$A$1:$P$1,0),FALSE)),"")</f>
        <v>La DSI met à disposition de la direction générale un tableau de bord synthétisant les résultats de ces indicateurs et les actions correctives engagées ; la direction générale suit de façon régulière ces indicateurs, au même titre que ceux des autres fonctions stratégiques (telles que les finances, les RH, etc.).</v>
      </c>
      <c r="H65" s="92" t="str">
        <f>IF(VLOOKUP(E65,BDD!$A$1:$S$567,15,FALSE)=0,"Critère non évalué","")</f>
        <v>Critère non évalué</v>
      </c>
      <c r="I65" s="64" t="str">
        <f>IFERROR(IF(VLOOKUP($E65,BDD!$A$1:$S$567,MATCH(I$10,BDD!$A$1:$P$1,0),FALSE)=0,"",VLOOKUP($E65,BDD!$A$1:$S$567,MATCH(I$10,BDD!$A$1:$P$1,0),FALSE)),"")</f>
        <v>N5</v>
      </c>
      <c r="J65" s="206"/>
      <c r="K65" s="96" t="str">
        <f>IFERROR(IF(VLOOKUP($E65,BDD!$A$1:$S$567,MATCH(K$10,BDD!$A$1:$P$1,0),FALSE)=0,"",VLOOKUP($E65,BDD!$A$1:$S$567,MATCH(K$10,BDD!$A$1:$P$1,0),FALSE)),"")</f>
        <v/>
      </c>
      <c r="L65" s="68"/>
      <c r="M65" s="90"/>
      <c r="N65" s="90"/>
      <c r="O65" s="68"/>
      <c r="P65" s="268"/>
    </row>
    <row r="66" spans="1:16" ht="130.05000000000001" hidden="1" customHeight="1" x14ac:dyDescent="0.3">
      <c r="A66" s="268"/>
      <c r="B66" s="68"/>
      <c r="C66" s="68" t="str">
        <f t="shared" si="0"/>
        <v>1</v>
      </c>
      <c r="D66" s="68">
        <f t="shared" si="1"/>
        <v>4</v>
      </c>
      <c r="E66" s="84" t="str">
        <f t="shared" si="2"/>
        <v>147</v>
      </c>
      <c r="F66" s="66" t="s">
        <v>36</v>
      </c>
      <c r="G66" s="67" t="str">
        <f>IFERROR(IF(VLOOKUP($E66,BDD!$A$1:$S$567,MATCH(G$10,BDD!$A$1:$P$1,0),FALSE)=0,"",VLOOKUP($E66,BDD!$A$1:$S$567,MATCH(G$10,BDD!$A$1:$P$1,0),FALSE)),"")</f>
        <v/>
      </c>
      <c r="H66" s="85" t="str">
        <f>IF(VLOOKUP(E66,BDD!$A$1:$S$567,15,FALSE)=0,"Critère non évalué","")</f>
        <v>Critère non évalué</v>
      </c>
      <c r="I66" s="66" t="str">
        <f>IFERROR(IF(VLOOKUP($E66,BDD!$A$1:$S$567,MATCH(I$10,BDD!$A$1:$P$1,0),FALSE)=0,"",VLOOKUP($E66,BDD!$A$1:$S$567,MATCH(I$10,BDD!$A$1:$P$1,0),FALSE)),"")</f>
        <v/>
      </c>
      <c r="J66" s="86"/>
      <c r="K66" s="67" t="str">
        <f>IFERROR(IF(VLOOKUP($E66,BDD!$A$1:$S$567,MATCH(K$10,BDD!$A$1:$P$1,0),FALSE)=0,"",VLOOKUP($E66,BDD!$A$1:$S$567,MATCH(K$10,BDD!$A$1:$P$1,0),FALSE)),"")</f>
        <v/>
      </c>
      <c r="L66" s="68"/>
      <c r="M66" s="82"/>
      <c r="N66" s="82"/>
      <c r="O66" s="68"/>
      <c r="P66" s="268"/>
    </row>
    <row r="67" spans="1:16" x14ac:dyDescent="0.3">
      <c r="A67" s="268"/>
      <c r="B67" s="68"/>
      <c r="C67" s="68" t="str">
        <f t="shared" si="0"/>
        <v>1</v>
      </c>
      <c r="D67" s="68">
        <f>IF(LEFT(F67,14)="Bonne pratique",D66+1,D66)</f>
        <v>4</v>
      </c>
      <c r="E67" s="84" t="str">
        <f t="shared" si="2"/>
        <v>14</v>
      </c>
      <c r="F67" s="68"/>
      <c r="G67" s="68"/>
      <c r="H67" s="68"/>
      <c r="I67" s="68"/>
      <c r="J67" s="68"/>
      <c r="K67" s="68"/>
      <c r="L67" s="68"/>
      <c r="M67" s="68"/>
      <c r="N67" s="68"/>
      <c r="O67" s="68"/>
      <c r="P67" s="268"/>
    </row>
    <row r="68" spans="1:16" x14ac:dyDescent="0.3">
      <c r="A68" s="268"/>
      <c r="B68" s="68"/>
      <c r="C68" s="68" t="str">
        <f t="shared" si="0"/>
        <v>1</v>
      </c>
      <c r="D68" s="68"/>
      <c r="E68" s="84"/>
      <c r="F68" s="68"/>
      <c r="G68" s="68"/>
      <c r="H68" s="68"/>
      <c r="I68" s="68"/>
      <c r="J68" s="68"/>
      <c r="K68" s="68"/>
      <c r="L68" s="68"/>
      <c r="M68" s="68"/>
      <c r="N68" s="68"/>
      <c r="O68" s="68"/>
      <c r="P68" s="268"/>
    </row>
    <row r="69" spans="1:16" x14ac:dyDescent="0.3">
      <c r="A69" s="268"/>
      <c r="B69" s="68"/>
      <c r="C69" s="68" t="str">
        <f t="shared" si="0"/>
        <v>1</v>
      </c>
      <c r="D69" s="68"/>
      <c r="E69" s="84"/>
      <c r="F69" s="68"/>
      <c r="G69" s="68"/>
      <c r="H69" s="68"/>
      <c r="I69" s="68"/>
      <c r="J69" s="68"/>
      <c r="K69" s="68"/>
      <c r="L69" s="68"/>
      <c r="M69" s="68"/>
      <c r="N69" s="68"/>
      <c r="O69" s="68"/>
      <c r="P69" s="268"/>
    </row>
    <row r="70" spans="1:16" x14ac:dyDescent="0.3">
      <c r="A70" s="268"/>
      <c r="B70" s="68"/>
      <c r="C70" s="68" t="str">
        <f t="shared" ref="C70:C82" si="3">IF(LEFT(RIGHT($B$1,2),1)=" ",RIGHT($B$1,1),RIGHT($B$1,2))</f>
        <v>1</v>
      </c>
      <c r="D70" s="68"/>
      <c r="E70" s="84"/>
      <c r="F70" s="68"/>
      <c r="G70" s="68"/>
      <c r="H70" s="68"/>
      <c r="I70" s="68"/>
      <c r="J70" s="68"/>
      <c r="K70" s="68"/>
      <c r="L70" s="68"/>
      <c r="M70" s="68"/>
      <c r="N70" s="68"/>
      <c r="O70" s="68"/>
      <c r="P70" s="268"/>
    </row>
    <row r="71" spans="1:16" ht="25.8" x14ac:dyDescent="0.5">
      <c r="A71" s="296"/>
      <c r="B71" s="74"/>
      <c r="C71" s="68" t="str">
        <f t="shared" si="3"/>
        <v>1</v>
      </c>
      <c r="D71" s="68">
        <f>IF(LEFT(F71,14)="Bonne pratique",D67+1,D67)</f>
        <v>5</v>
      </c>
      <c r="E71" s="84" t="str">
        <f t="shared" si="2"/>
        <v>155</v>
      </c>
      <c r="F71" s="208" t="s">
        <v>503</v>
      </c>
      <c r="G71" s="75"/>
      <c r="H71" s="205"/>
      <c r="I71" s="73"/>
      <c r="J71" s="73" t="str">
        <f>VLOOKUP(E78,BDD!$A$2:$N$567,6,FALSE)</f>
        <v>Pilotage</v>
      </c>
      <c r="K71" s="72"/>
      <c r="L71" s="75"/>
      <c r="M71" s="75"/>
      <c r="N71" s="75"/>
      <c r="O71" s="74"/>
      <c r="P71" s="296"/>
    </row>
    <row r="72" spans="1:16" x14ac:dyDescent="0.3">
      <c r="A72" s="268"/>
      <c r="B72" s="68"/>
      <c r="C72" s="68" t="str">
        <f t="shared" si="3"/>
        <v>1</v>
      </c>
      <c r="D72" s="68">
        <f t="shared" ref="D72:D82" si="4">IF(LEFT(F72,14)="Bonne pratique",D71+1,D71)</f>
        <v>5</v>
      </c>
      <c r="E72" s="84" t="str">
        <f t="shared" si="2"/>
        <v>15</v>
      </c>
      <c r="F72" s="68"/>
      <c r="G72" s="68"/>
      <c r="H72" s="68"/>
      <c r="I72" s="68"/>
      <c r="J72" s="68"/>
      <c r="K72" s="68"/>
      <c r="L72" s="68"/>
      <c r="M72" s="68"/>
      <c r="N72" s="68"/>
      <c r="O72" s="68"/>
      <c r="P72" s="268"/>
    </row>
    <row r="73" spans="1:16" ht="18" x14ac:dyDescent="0.35">
      <c r="A73" s="297"/>
      <c r="B73" s="76"/>
      <c r="C73" s="68" t="str">
        <f t="shared" si="3"/>
        <v>1</v>
      </c>
      <c r="D73" s="68">
        <f t="shared" si="4"/>
        <v>5</v>
      </c>
      <c r="E73" s="84" t="str">
        <f t="shared" si="2"/>
        <v>15</v>
      </c>
      <c r="F73" s="76"/>
      <c r="G73" s="76"/>
      <c r="H73" s="76"/>
      <c r="I73" s="77"/>
      <c r="J73" s="207" t="str">
        <f>IFERROR(_xlfn.TEXTBEFORE(VLOOKUP(E78,BDD!$A$2:$N$567,7,FALSE)," ",30),VLOOKUP(E78,BDD!$A$2:$N$567,7,FALSE))</f>
        <v>Une instance de pilotage stratégique du SI est mise en place au niveau de la direction générale afin de valider le volet numérique du plan stratégique, rendre les arbitrages nécessaires</v>
      </c>
      <c r="K73" s="77"/>
      <c r="L73" s="76"/>
      <c r="M73" s="76"/>
      <c r="N73" s="76"/>
      <c r="O73" s="76"/>
      <c r="P73" s="297"/>
    </row>
    <row r="74" spans="1:16" ht="18" x14ac:dyDescent="0.35">
      <c r="A74" s="268"/>
      <c r="B74" s="68"/>
      <c r="C74" s="68" t="str">
        <f t="shared" si="3"/>
        <v>1</v>
      </c>
      <c r="D74" s="68">
        <f t="shared" si="4"/>
        <v>5</v>
      </c>
      <c r="E74" s="84" t="str">
        <f t="shared" si="2"/>
        <v>15</v>
      </c>
      <c r="F74" s="68"/>
      <c r="G74" s="68"/>
      <c r="H74" s="68"/>
      <c r="I74" s="68"/>
      <c r="J74" s="207" t="str">
        <f>IFERROR(_xlfn.TEXTAFTER(VLOOKUP(E78,BDD!$A$2:$N$567,7,FALSE)," ",30),"")</f>
        <v>et assurer le suivi de sa mise en œuvre.</v>
      </c>
      <c r="K74" s="68"/>
      <c r="L74" s="68"/>
      <c r="M74" s="68"/>
      <c r="N74" s="68"/>
      <c r="O74" s="68"/>
      <c r="P74" s="268"/>
    </row>
    <row r="75" spans="1:16" x14ac:dyDescent="0.3">
      <c r="A75" s="268"/>
      <c r="B75" s="68"/>
      <c r="C75" s="68" t="str">
        <f t="shared" si="3"/>
        <v>1</v>
      </c>
      <c r="D75" s="68">
        <f t="shared" si="4"/>
        <v>5</v>
      </c>
      <c r="E75" s="84" t="str">
        <f t="shared" si="2"/>
        <v>15</v>
      </c>
      <c r="F75" s="68"/>
      <c r="G75" s="68"/>
      <c r="H75" s="68"/>
      <c r="I75" s="68"/>
      <c r="J75" s="78"/>
      <c r="K75" s="68"/>
      <c r="L75" s="68"/>
      <c r="M75" s="619" t="s">
        <v>92</v>
      </c>
      <c r="N75" s="619"/>
      <c r="O75" s="68"/>
      <c r="P75" s="268"/>
    </row>
    <row r="76" spans="1:16" ht="33" x14ac:dyDescent="0.3">
      <c r="A76" s="268"/>
      <c r="B76" s="68"/>
      <c r="C76" s="68" t="str">
        <f t="shared" si="3"/>
        <v>1</v>
      </c>
      <c r="D76" s="68">
        <f t="shared" si="4"/>
        <v>5</v>
      </c>
      <c r="E76" s="84" t="str">
        <f t="shared" si="2"/>
        <v>15</v>
      </c>
      <c r="F76" s="93"/>
      <c r="G76" s="80" t="s">
        <v>561</v>
      </c>
      <c r="H76" s="80" t="s">
        <v>82</v>
      </c>
      <c r="I76" s="80" t="s">
        <v>83</v>
      </c>
      <c r="J76" s="80" t="s">
        <v>84</v>
      </c>
      <c r="K76" s="80" t="s">
        <v>85</v>
      </c>
      <c r="L76" s="78"/>
      <c r="M76" s="81" t="s">
        <v>86</v>
      </c>
      <c r="N76" s="82" t="s">
        <v>87</v>
      </c>
      <c r="O76" s="68"/>
      <c r="P76" s="268"/>
    </row>
    <row r="77" spans="1:16" x14ac:dyDescent="0.3">
      <c r="A77" s="268"/>
      <c r="B77" s="68"/>
      <c r="C77" s="68" t="str">
        <f t="shared" si="3"/>
        <v>1</v>
      </c>
      <c r="D77" s="68">
        <f t="shared" si="4"/>
        <v>5</v>
      </c>
      <c r="E77" s="84" t="str">
        <f t="shared" si="2"/>
        <v>15</v>
      </c>
      <c r="F77" s="68"/>
      <c r="G77" s="83"/>
      <c r="H77" s="83"/>
      <c r="I77" s="83"/>
      <c r="J77" s="68"/>
      <c r="K77" s="83"/>
      <c r="L77" s="68"/>
      <c r="M77" s="68"/>
      <c r="N77" s="68"/>
      <c r="O77" s="68"/>
      <c r="P77" s="268"/>
    </row>
    <row r="78" spans="1:16" ht="130.05000000000001" customHeight="1" x14ac:dyDescent="0.3">
      <c r="A78" s="268"/>
      <c r="B78" s="68"/>
      <c r="C78" s="68" t="str">
        <f t="shared" si="3"/>
        <v>1</v>
      </c>
      <c r="D78" s="68">
        <f t="shared" si="4"/>
        <v>5</v>
      </c>
      <c r="E78" s="84" t="str">
        <f t="shared" si="2"/>
        <v>151</v>
      </c>
      <c r="F78" s="66" t="s">
        <v>27</v>
      </c>
      <c r="G78" s="67" t="str">
        <f>IFERROR(IF(VLOOKUP($E78,BDD!$A$1:$S$567,MATCH(G$10,BDD!$A$1:$P$1,0),FALSE)=0,"",VLOOKUP($E78,BDD!$A$1:$S$567,MATCH(G$10,BDD!$A$1:$P$1,0),FALSE)),"")</f>
        <v>La direction générale de l’organisation assure le pilotage stratégique du numérique.</v>
      </c>
      <c r="H78" s="85" t="str">
        <f>IF(VLOOKUP(E78,BDD!$A$1:$S$567,15,FALSE)=0,"Critère non évalué","")</f>
        <v>Critère non évalué</v>
      </c>
      <c r="I78" s="66" t="str">
        <f>IFERROR(IF(VLOOKUP($E78,BDD!$A$1:$S$567,MATCH(I$10,BDD!$A$1:$P$1,0),FALSE)=0,"",VLOOKUP($E78,BDD!$A$1:$S$567,MATCH(I$10,BDD!$A$1:$P$1,0),FALSE)),"")</f>
        <v>N3</v>
      </c>
      <c r="J78" s="86"/>
      <c r="K78" s="67" t="str">
        <f>IFERROR(IF(VLOOKUP($E78,BDD!$A$1:$S$567,MATCH(K$10,BDD!$A$1:$P$1,0),FALSE)=0,"",VLOOKUP($E78,BDD!$A$1:$S$567,MATCH(K$10,BDD!$A$1:$P$1,0),FALSE)),"")</f>
        <v>• La direction générale a défini et mis en place l’organisation et les instances de gouvernances adéquates pour piloter sa stratégie numérique.
• Le directeur du SI (le DSI ou le responsable SI concerné, selon les organisations) participe systématiquement à cette instance.</v>
      </c>
      <c r="L78" s="68"/>
      <c r="M78" s="87"/>
      <c r="N78" s="87"/>
      <c r="O78" s="68"/>
      <c r="P78" s="268"/>
    </row>
    <row r="79" spans="1:16" ht="130.05000000000001" customHeight="1" x14ac:dyDescent="0.3">
      <c r="A79" s="268"/>
      <c r="B79" s="68"/>
      <c r="C79" s="68" t="str">
        <f t="shared" si="3"/>
        <v>1</v>
      </c>
      <c r="D79" s="68">
        <f t="shared" si="4"/>
        <v>5</v>
      </c>
      <c r="E79" s="84" t="str">
        <f t="shared" si="2"/>
        <v>152</v>
      </c>
      <c r="F79" s="94" t="s">
        <v>28</v>
      </c>
      <c r="G79" s="65" t="str">
        <f>IFERROR(IF(VLOOKUP($E79,BDD!$A$1:$S$567,MATCH(G$10,BDD!$A$1:$P$1,0),FALSE)=0,"",VLOOKUP($E79,BDD!$A$1:$S$567,MATCH(G$10,BDD!$A$1:$P$1,0),FALSE)),"")</f>
        <v xml:space="preserve">Le rôle de l'instance de pilotage stratégique est défini et communiqué. Cette instance peut notamment valider le volet numérique du plan stratégique, rendre des arbitrages nécessaires et suivre la mise en œuvre de la stratégie. </v>
      </c>
      <c r="H79" s="88" t="str">
        <f>IF(VLOOKUP(E79,BDD!$A$1:$S$567,15,FALSE)=0,"Critère non évalué","")</f>
        <v>Critère non évalué</v>
      </c>
      <c r="I79" s="64" t="str">
        <f>IFERROR(IF(VLOOKUP($E79,BDD!$A$1:$S$567,MATCH(I$10,BDD!$A$1:$P$1,0),FALSE)=0,"",VLOOKUP($E79,BDD!$A$1:$S$567,MATCH(I$10,BDD!$A$1:$P$1,0),FALSE)),"")</f>
        <v>N3</v>
      </c>
      <c r="J79" s="89"/>
      <c r="K79" s="65" t="str">
        <f>IFERROR(IF(VLOOKUP($E79,BDD!$A$1:$S$567,MATCH(K$10,BDD!$A$1:$P$1,0),FALSE)=0,"",VLOOKUP($E79,BDD!$A$1:$S$567,MATCH(K$10,BDD!$A$1:$P$1,0),FALSE)),"")</f>
        <v>• L’instance doit être présidée par la direction générale ou, le cas échéant, par la direction de la BU concernée.</v>
      </c>
      <c r="L79" s="68"/>
      <c r="M79" s="90"/>
      <c r="N79" s="90"/>
      <c r="O79" s="68"/>
      <c r="P79" s="268"/>
    </row>
    <row r="80" spans="1:16" ht="130.05000000000001" customHeight="1" x14ac:dyDescent="0.3">
      <c r="A80" s="268"/>
      <c r="B80" s="68"/>
      <c r="C80" s="68" t="str">
        <f t="shared" si="3"/>
        <v>1</v>
      </c>
      <c r="D80" s="68">
        <f t="shared" si="4"/>
        <v>5</v>
      </c>
      <c r="E80" s="84" t="str">
        <f t="shared" si="2"/>
        <v>153</v>
      </c>
      <c r="F80" s="66" t="s">
        <v>30</v>
      </c>
      <c r="G80" s="67" t="str">
        <f>IFERROR(IF(VLOOKUP($E80,BDD!$A$1:$S$567,MATCH(G$10,BDD!$A$1:$P$1,0),FALSE)=0,"",VLOOKUP($E80,BDD!$A$1:$S$567,MATCH(G$10,BDD!$A$1:$P$1,0),FALSE)),"")</f>
        <v>L’instance de pilotage stratégique regroupe les directeurs métiers, le DSI et un représentant de la direction générale. Elle se réunit régulièrement, ses décisions sont communiquées et leur application est suivie.</v>
      </c>
      <c r="H80" s="85" t="str">
        <f>IF(VLOOKUP(E80,BDD!$A$1:$S$567,15,FALSE)=0,"Critère non évalué","")</f>
        <v>Critère non évalué</v>
      </c>
      <c r="I80" s="66" t="str">
        <f>IFERROR(IF(VLOOKUP($E80,BDD!$A$1:$S$567,MATCH(I$10,BDD!$A$1:$P$1,0),FALSE)=0,"",VLOOKUP($E80,BDD!$A$1:$S$567,MATCH(I$10,BDD!$A$1:$P$1,0),FALSE)),"")</f>
        <v>N3</v>
      </c>
      <c r="J80" s="86"/>
      <c r="K80" s="67" t="str">
        <f>IFERROR(IF(VLOOKUP($E80,BDD!$A$1:$S$567,MATCH(K$10,BDD!$A$1:$P$1,0),FALSE)=0,"",VLOOKUP($E80,BDD!$A$1:$S$567,MATCH(K$10,BDD!$A$1:$P$1,0),FALSE)),"")</f>
        <v/>
      </c>
      <c r="L80" s="68"/>
      <c r="M80" s="87"/>
      <c r="N80" s="87"/>
      <c r="O80" s="68"/>
      <c r="P80" s="268"/>
    </row>
    <row r="81" spans="1:16" ht="130.05000000000001" customHeight="1" x14ac:dyDescent="0.3">
      <c r="A81" s="268"/>
      <c r="B81" s="68"/>
      <c r="C81" s="68" t="str">
        <f t="shared" si="3"/>
        <v>1</v>
      </c>
      <c r="D81" s="68">
        <f t="shared" si="4"/>
        <v>5</v>
      </c>
      <c r="E81" s="84" t="str">
        <f t="shared" si="2"/>
        <v>154</v>
      </c>
      <c r="F81" s="64" t="s">
        <v>32</v>
      </c>
      <c r="G81" s="65" t="str">
        <f>IFERROR(IF(VLOOKUP($E81,BDD!$A$1:$S$567,MATCH(G$10,BDD!$A$1:$P$1,0),FALSE)=0,"",VLOOKUP($E81,BDD!$A$1:$S$567,MATCH(G$10,BDD!$A$1:$P$1,0),FALSE)),"")</f>
        <v>L’instance de pilotage stratégique est articulée avec les instances de pilotage opérationnel organisées avec les directions métiers.</v>
      </c>
      <c r="H81" s="88" t="str">
        <f>IF(VLOOKUP(E81,BDD!$A$1:$S$567,15,FALSE)=0,"Critère non évalué","")</f>
        <v>Critère non évalué</v>
      </c>
      <c r="I81" s="64" t="str">
        <f>IFERROR(IF(VLOOKUP($E81,BDD!$A$1:$S$567,MATCH(I$10,BDD!$A$1:$P$1,0),FALSE)=0,"",VLOOKUP($E81,BDD!$A$1:$S$567,MATCH(I$10,BDD!$A$1:$P$1,0),FALSE)),"")</f>
        <v>N4</v>
      </c>
      <c r="J81" s="91"/>
      <c r="K81" s="65" t="str">
        <f>IFERROR(IF(VLOOKUP($E81,BDD!$A$1:$S$567,MATCH(K$10,BDD!$A$1:$P$1,0),FALSE)=0,"",VLOOKUP($E81,BDD!$A$1:$S$567,MATCH(K$10,BDD!$A$1:$P$1,0),FALSE)),"")</f>
        <v/>
      </c>
      <c r="L81" s="68"/>
      <c r="M81" s="90"/>
      <c r="N81" s="90"/>
      <c r="O81" s="68"/>
      <c r="P81" s="268"/>
    </row>
    <row r="82" spans="1:16" ht="130.05000000000001" customHeight="1" x14ac:dyDescent="0.3">
      <c r="A82" s="268"/>
      <c r="B82" s="68"/>
      <c r="C82" s="68" t="str">
        <f t="shared" si="3"/>
        <v>1</v>
      </c>
      <c r="D82" s="68">
        <f t="shared" si="4"/>
        <v>5</v>
      </c>
      <c r="E82" s="84" t="str">
        <f t="shared" si="2"/>
        <v>155</v>
      </c>
      <c r="F82" s="66" t="s">
        <v>33</v>
      </c>
      <c r="G82" s="67" t="str">
        <f>IFERROR(IF(VLOOKUP($E82,BDD!$A$1:$S$567,MATCH(G$10,BDD!$A$1:$P$1,0),FALSE)=0,"",VLOOKUP($E82,BDD!$A$1:$S$567,MATCH(G$10,BDD!$A$1:$P$1,0),FALSE)),"")</f>
        <v xml:space="preserve">La direction générale réévalue périodiquement le mode de fonctionnement et la performance de cette instance, et en adapte le cas échéant la composition ou le mandat, en particulier lors d’évènements majeurs impactant la stratégie.  </v>
      </c>
      <c r="H82" s="85" t="str">
        <f>IF(VLOOKUP(E82,BDD!$A$1:$S$567,15,FALSE)=0,"Critère non évalué","")</f>
        <v>Critère non évalué</v>
      </c>
      <c r="I82" s="66" t="str">
        <f>IFERROR(IF(VLOOKUP($E82,BDD!$A$1:$S$567,MATCH(I$10,BDD!$A$1:$P$1,0),FALSE)=0,"",VLOOKUP($E82,BDD!$A$1:$S$567,MATCH(I$10,BDD!$A$1:$P$1,0),FALSE)),"")</f>
        <v>N5</v>
      </c>
      <c r="J82" s="86"/>
      <c r="K82" s="67" t="str">
        <f>IFERROR(IF(VLOOKUP($E82,BDD!$A$1:$S$567,MATCH(K$10,BDD!$A$1:$P$1,0),FALSE)=0,"",VLOOKUP($E82,BDD!$A$1:$S$567,MATCH(K$10,BDD!$A$1:$P$1,0),FALSE)),"")</f>
        <v/>
      </c>
      <c r="L82" s="68"/>
      <c r="M82" s="82"/>
      <c r="N82" s="82"/>
      <c r="O82" s="68"/>
      <c r="P82" s="268"/>
    </row>
    <row r="83" spans="1:16" x14ac:dyDescent="0.3">
      <c r="A83" s="268"/>
      <c r="B83" s="68"/>
      <c r="C83" s="68"/>
      <c r="D83" s="68"/>
      <c r="E83" s="68"/>
      <c r="F83" s="68"/>
      <c r="G83" s="68"/>
      <c r="H83" s="68"/>
      <c r="I83" s="68"/>
      <c r="J83" s="68"/>
      <c r="K83" s="68"/>
      <c r="L83" s="68"/>
      <c r="M83" s="68"/>
      <c r="N83" s="68"/>
      <c r="O83" s="68"/>
      <c r="P83" s="268"/>
    </row>
    <row r="84" spans="1:16" x14ac:dyDescent="0.3">
      <c r="A84" s="268" t="s">
        <v>164</v>
      </c>
      <c r="B84" s="268"/>
      <c r="C84" s="268"/>
      <c r="D84" s="268"/>
      <c r="E84" s="268"/>
      <c r="F84" s="268"/>
      <c r="G84" s="268"/>
      <c r="H84" s="268"/>
      <c r="I84" s="268"/>
      <c r="J84" s="268"/>
      <c r="K84" s="268"/>
      <c r="L84" s="268"/>
      <c r="M84" s="268"/>
      <c r="N84" s="268"/>
      <c r="O84" s="268"/>
      <c r="P84" s="268" t="s">
        <v>164</v>
      </c>
    </row>
  </sheetData>
  <sheetProtection algorithmName="SHA-512" hashValue="ffDvKlZuLDqQVcSJ1VczrjMbY2zteJ2mS+H9WWbA5XxvzoYFvoKO6Kt8tPhSF8db1pvrb1vPH8kYSNo4sxUExQ==" saltValue="Sbk14RnnHrLDNcK53AEDfw==" spinCount="100000" sheet="1" objects="1" scenarios="1"/>
  <protectedRanges>
    <protectedRange algorithmName="SHA-512" hashValue="8ahxLFpE+K1lqBLWxGWpOhbDaiLZlJVsG+nmubgaP2+UbYmDqkTdmwYUqskX/3ppo+p34mc/yM7Dy40P0mQEeA==" saltValue="ohEm+wJL3UUnn/P7XqxB/g==" spinCount="100000" sqref="H1:H1048576" name="Plage1"/>
  </protectedRanges>
  <mergeCells count="5">
    <mergeCell ref="M9:N9"/>
    <mergeCell ref="M25:N25"/>
    <mergeCell ref="M41:N41"/>
    <mergeCell ref="M57:N57"/>
    <mergeCell ref="M75:N75"/>
  </mergeCells>
  <hyperlinks>
    <hyperlink ref="F13" location="V2Quest!A1" display="(Cf. Vecteur 2 - Innovation)" xr:uid="{86D41A83-75C1-4EE2-A415-FFAD10BA0288}"/>
    <hyperlink ref="F29" location="V2Quest!A1" display="(Cf. Vecteur 2 - Innovation)" xr:uid="{C6D5B78E-9EE6-4383-98D3-4A67160795CC}"/>
    <hyperlink ref="F45" location="V2Quest!A1" display="(Cf. Vecteur 2 - Innovation)" xr:uid="{55A55D92-41DD-4BA6-8620-8FE45AE867D7}"/>
    <hyperlink ref="F61" location="V2Quest!A1" display="(Cf. Vecteur 2 - Innovation)" xr:uid="{1B4ACCDF-6980-4A0F-A9B7-AFBDAEC11069}"/>
    <hyperlink ref="F79" location="V2Quest!A1" display="(Cf. Vecteur 2 - Innovation)" xr:uid="{EB0F4E6C-52F7-412A-B086-0D5919BEC742}"/>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6609" r:id="rId3" name="Option Button 1">
              <controlPr defaultSize="0" autoFill="0" autoLine="0" autoPict="0">
                <anchor moveWithCells="1">
                  <from>
                    <xdr:col>7</xdr:col>
                    <xdr:colOff>114300</xdr:colOff>
                    <xdr:row>12</xdr:row>
                    <xdr:rowOff>144780</xdr:rowOff>
                  </from>
                  <to>
                    <xdr:col>7</xdr:col>
                    <xdr:colOff>1950720</xdr:colOff>
                    <xdr:row>12</xdr:row>
                    <xdr:rowOff>320040</xdr:rowOff>
                  </to>
                </anchor>
              </controlPr>
            </control>
          </mc:Choice>
        </mc:AlternateContent>
        <mc:AlternateContent xmlns:mc="http://schemas.openxmlformats.org/markup-compatibility/2006">
          <mc:Choice Requires="x14">
            <control shapeId="196610" r:id="rId4" name="Option Button 2">
              <controlPr defaultSize="0" autoFill="0" autoLine="0" autoPict="0">
                <anchor moveWithCells="1">
                  <from>
                    <xdr:col>7</xdr:col>
                    <xdr:colOff>114300</xdr:colOff>
                    <xdr:row>12</xdr:row>
                    <xdr:rowOff>396240</xdr:rowOff>
                  </from>
                  <to>
                    <xdr:col>7</xdr:col>
                    <xdr:colOff>1950720</xdr:colOff>
                    <xdr:row>12</xdr:row>
                    <xdr:rowOff>586740</xdr:rowOff>
                  </to>
                </anchor>
              </controlPr>
            </control>
          </mc:Choice>
        </mc:AlternateContent>
        <mc:AlternateContent xmlns:mc="http://schemas.openxmlformats.org/markup-compatibility/2006">
          <mc:Choice Requires="x14">
            <control shapeId="196611" r:id="rId5" name="Option Button 3">
              <controlPr defaultSize="0" autoFill="0" autoLine="0" autoPict="0">
                <anchor moveWithCells="1">
                  <from>
                    <xdr:col>7</xdr:col>
                    <xdr:colOff>114300</xdr:colOff>
                    <xdr:row>12</xdr:row>
                    <xdr:rowOff>640080</xdr:rowOff>
                  </from>
                  <to>
                    <xdr:col>7</xdr:col>
                    <xdr:colOff>1950720</xdr:colOff>
                    <xdr:row>12</xdr:row>
                    <xdr:rowOff>830580</xdr:rowOff>
                  </to>
                </anchor>
              </controlPr>
            </control>
          </mc:Choice>
        </mc:AlternateContent>
        <mc:AlternateContent xmlns:mc="http://schemas.openxmlformats.org/markup-compatibility/2006">
          <mc:Choice Requires="x14">
            <control shapeId="196612" r:id="rId6" name="Option Button 4">
              <controlPr defaultSize="0" autoFill="0" autoLine="0" autoPict="0">
                <anchor moveWithCells="1">
                  <from>
                    <xdr:col>7</xdr:col>
                    <xdr:colOff>114300</xdr:colOff>
                    <xdr:row>12</xdr:row>
                    <xdr:rowOff>922020</xdr:rowOff>
                  </from>
                  <to>
                    <xdr:col>7</xdr:col>
                    <xdr:colOff>1950720</xdr:colOff>
                    <xdr:row>12</xdr:row>
                    <xdr:rowOff>1112520</xdr:rowOff>
                  </to>
                </anchor>
              </controlPr>
            </control>
          </mc:Choice>
        </mc:AlternateContent>
        <mc:AlternateContent xmlns:mc="http://schemas.openxmlformats.org/markup-compatibility/2006">
          <mc:Choice Requires="x14">
            <control shapeId="196613" r:id="rId7" name="Group Box 5">
              <controlPr defaultSize="0" autoFill="0" autoPict="0">
                <anchor moveWithCells="1">
                  <from>
                    <xdr:col>7</xdr:col>
                    <xdr:colOff>0</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96614" r:id="rId8" name="Group Box 6">
              <controlPr defaultSize="0" autoFill="0" autoPict="0" altText="">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96615" r:id="rId9" name="Group Box 7">
              <controlPr defaultSize="0" autoFill="0" autoPict="0">
                <anchor moveWithCells="1">
                  <from>
                    <xdr:col>7</xdr:col>
                    <xdr:colOff>0</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96616" r:id="rId10" name="Option Button 8">
              <controlPr defaultSize="0" autoFill="0" autoLine="0" autoPict="0" altText="Case d'option 47">
                <anchor moveWithCells="1">
                  <from>
                    <xdr:col>7</xdr:col>
                    <xdr:colOff>106680</xdr:colOff>
                    <xdr:row>11</xdr:row>
                    <xdr:rowOff>68580</xdr:rowOff>
                  </from>
                  <to>
                    <xdr:col>7</xdr:col>
                    <xdr:colOff>1493520</xdr:colOff>
                    <xdr:row>11</xdr:row>
                    <xdr:rowOff>259080</xdr:rowOff>
                  </to>
                </anchor>
              </controlPr>
            </control>
          </mc:Choice>
        </mc:AlternateContent>
        <mc:AlternateContent xmlns:mc="http://schemas.openxmlformats.org/markup-compatibility/2006">
          <mc:Choice Requires="x14">
            <control shapeId="196617" r:id="rId11" name="Option Button 9">
              <controlPr defaultSize="0" autoFill="0" autoLine="0" autoPict="0">
                <anchor moveWithCells="1">
                  <from>
                    <xdr:col>7</xdr:col>
                    <xdr:colOff>106680</xdr:colOff>
                    <xdr:row>11</xdr:row>
                    <xdr:rowOff>304800</xdr:rowOff>
                  </from>
                  <to>
                    <xdr:col>7</xdr:col>
                    <xdr:colOff>1950720</xdr:colOff>
                    <xdr:row>11</xdr:row>
                    <xdr:rowOff>502920</xdr:rowOff>
                  </to>
                </anchor>
              </controlPr>
            </control>
          </mc:Choice>
        </mc:AlternateContent>
        <mc:AlternateContent xmlns:mc="http://schemas.openxmlformats.org/markup-compatibility/2006">
          <mc:Choice Requires="x14">
            <control shapeId="196618" r:id="rId12" name="Option Button 10">
              <controlPr defaultSize="0" autoFill="0" autoLine="0" autoPict="0">
                <anchor moveWithCells="1">
                  <from>
                    <xdr:col>7</xdr:col>
                    <xdr:colOff>106680</xdr:colOff>
                    <xdr:row>11</xdr:row>
                    <xdr:rowOff>579120</xdr:rowOff>
                  </from>
                  <to>
                    <xdr:col>8</xdr:col>
                    <xdr:colOff>0</xdr:colOff>
                    <xdr:row>11</xdr:row>
                    <xdr:rowOff>754380</xdr:rowOff>
                  </to>
                </anchor>
              </controlPr>
            </control>
          </mc:Choice>
        </mc:AlternateContent>
        <mc:AlternateContent xmlns:mc="http://schemas.openxmlformats.org/markup-compatibility/2006">
          <mc:Choice Requires="x14">
            <control shapeId="196619" r:id="rId13" name="Option Button 11">
              <controlPr defaultSize="0" autoFill="0" autoLine="0" autoPict="0">
                <anchor moveWithCells="1">
                  <from>
                    <xdr:col>7</xdr:col>
                    <xdr:colOff>106680</xdr:colOff>
                    <xdr:row>11</xdr:row>
                    <xdr:rowOff>822960</xdr:rowOff>
                  </from>
                  <to>
                    <xdr:col>7</xdr:col>
                    <xdr:colOff>937260</xdr:colOff>
                    <xdr:row>11</xdr:row>
                    <xdr:rowOff>1005840</xdr:rowOff>
                  </to>
                </anchor>
              </controlPr>
            </control>
          </mc:Choice>
        </mc:AlternateContent>
        <mc:AlternateContent xmlns:mc="http://schemas.openxmlformats.org/markup-compatibility/2006">
          <mc:Choice Requires="x14">
            <control shapeId="196620" r:id="rId14" name="Option Button 12">
              <controlPr defaultSize="0" autoFill="0" autoLine="0" autoPict="0">
                <anchor moveWithCells="1">
                  <from>
                    <xdr:col>7</xdr:col>
                    <xdr:colOff>114300</xdr:colOff>
                    <xdr:row>17</xdr:row>
                    <xdr:rowOff>144780</xdr:rowOff>
                  </from>
                  <to>
                    <xdr:col>7</xdr:col>
                    <xdr:colOff>1950720</xdr:colOff>
                    <xdr:row>17</xdr:row>
                    <xdr:rowOff>320040</xdr:rowOff>
                  </to>
                </anchor>
              </controlPr>
            </control>
          </mc:Choice>
        </mc:AlternateContent>
        <mc:AlternateContent xmlns:mc="http://schemas.openxmlformats.org/markup-compatibility/2006">
          <mc:Choice Requires="x14">
            <control shapeId="196621" r:id="rId15" name="Option Button 13">
              <controlPr defaultSize="0" autoFill="0" autoLine="0" autoPict="0">
                <anchor moveWithCells="1">
                  <from>
                    <xdr:col>7</xdr:col>
                    <xdr:colOff>114300</xdr:colOff>
                    <xdr:row>17</xdr:row>
                    <xdr:rowOff>396240</xdr:rowOff>
                  </from>
                  <to>
                    <xdr:col>7</xdr:col>
                    <xdr:colOff>1950720</xdr:colOff>
                    <xdr:row>17</xdr:row>
                    <xdr:rowOff>586740</xdr:rowOff>
                  </to>
                </anchor>
              </controlPr>
            </control>
          </mc:Choice>
        </mc:AlternateContent>
        <mc:AlternateContent xmlns:mc="http://schemas.openxmlformats.org/markup-compatibility/2006">
          <mc:Choice Requires="x14">
            <control shapeId="196622" r:id="rId16" name="Option Button 14">
              <controlPr defaultSize="0" autoFill="0" autoLine="0" autoPict="0">
                <anchor moveWithCells="1">
                  <from>
                    <xdr:col>7</xdr:col>
                    <xdr:colOff>114300</xdr:colOff>
                    <xdr:row>17</xdr:row>
                    <xdr:rowOff>640080</xdr:rowOff>
                  </from>
                  <to>
                    <xdr:col>7</xdr:col>
                    <xdr:colOff>1950720</xdr:colOff>
                    <xdr:row>17</xdr:row>
                    <xdr:rowOff>830580</xdr:rowOff>
                  </to>
                </anchor>
              </controlPr>
            </control>
          </mc:Choice>
        </mc:AlternateContent>
        <mc:AlternateContent xmlns:mc="http://schemas.openxmlformats.org/markup-compatibility/2006">
          <mc:Choice Requires="x14">
            <control shapeId="196623" r:id="rId17" name="Option Button 15">
              <controlPr defaultSize="0" autoFill="0" autoLine="0" autoPict="0">
                <anchor moveWithCells="1">
                  <from>
                    <xdr:col>7</xdr:col>
                    <xdr:colOff>114300</xdr:colOff>
                    <xdr:row>17</xdr:row>
                    <xdr:rowOff>922020</xdr:rowOff>
                  </from>
                  <to>
                    <xdr:col>7</xdr:col>
                    <xdr:colOff>1950720</xdr:colOff>
                    <xdr:row>17</xdr:row>
                    <xdr:rowOff>1112520</xdr:rowOff>
                  </to>
                </anchor>
              </controlPr>
            </control>
          </mc:Choice>
        </mc:AlternateContent>
        <mc:AlternateContent xmlns:mc="http://schemas.openxmlformats.org/markup-compatibility/2006">
          <mc:Choice Requires="x14">
            <control shapeId="196624" r:id="rId18" name="Group Box 16">
              <controlPr defaultSize="0" autoFill="0" autoPict="0">
                <anchor moveWithCells="1">
                  <from>
                    <xdr:col>7</xdr:col>
                    <xdr:colOff>0</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196625" r:id="rId19" name="Option Button 17">
              <controlPr defaultSize="0" autoFill="0" autoLine="0" autoPict="0" altText="Case d'option 47">
                <anchor moveWithCells="1">
                  <from>
                    <xdr:col>7</xdr:col>
                    <xdr:colOff>106680</xdr:colOff>
                    <xdr:row>16</xdr:row>
                    <xdr:rowOff>38100</xdr:rowOff>
                  </from>
                  <to>
                    <xdr:col>7</xdr:col>
                    <xdr:colOff>1501140</xdr:colOff>
                    <xdr:row>16</xdr:row>
                    <xdr:rowOff>228600</xdr:rowOff>
                  </to>
                </anchor>
              </controlPr>
            </control>
          </mc:Choice>
        </mc:AlternateContent>
        <mc:AlternateContent xmlns:mc="http://schemas.openxmlformats.org/markup-compatibility/2006">
          <mc:Choice Requires="x14">
            <control shapeId="196626" r:id="rId20" name="Option Button 18">
              <controlPr defaultSize="0" autoFill="0" autoLine="0" autoPict="0">
                <anchor moveWithCells="1">
                  <from>
                    <xdr:col>7</xdr:col>
                    <xdr:colOff>106680</xdr:colOff>
                    <xdr:row>16</xdr:row>
                    <xdr:rowOff>274320</xdr:rowOff>
                  </from>
                  <to>
                    <xdr:col>8</xdr:col>
                    <xdr:colOff>0</xdr:colOff>
                    <xdr:row>16</xdr:row>
                    <xdr:rowOff>480060</xdr:rowOff>
                  </to>
                </anchor>
              </controlPr>
            </control>
          </mc:Choice>
        </mc:AlternateContent>
        <mc:AlternateContent xmlns:mc="http://schemas.openxmlformats.org/markup-compatibility/2006">
          <mc:Choice Requires="x14">
            <control shapeId="196627" r:id="rId21" name="Option Button 19">
              <controlPr defaultSize="0" autoFill="0" autoLine="0" autoPict="0">
                <anchor moveWithCells="1">
                  <from>
                    <xdr:col>7</xdr:col>
                    <xdr:colOff>106680</xdr:colOff>
                    <xdr:row>16</xdr:row>
                    <xdr:rowOff>556260</xdr:rowOff>
                  </from>
                  <to>
                    <xdr:col>8</xdr:col>
                    <xdr:colOff>0</xdr:colOff>
                    <xdr:row>16</xdr:row>
                    <xdr:rowOff>731520</xdr:rowOff>
                  </to>
                </anchor>
              </controlPr>
            </control>
          </mc:Choice>
        </mc:AlternateContent>
        <mc:AlternateContent xmlns:mc="http://schemas.openxmlformats.org/markup-compatibility/2006">
          <mc:Choice Requires="x14">
            <control shapeId="196628" r:id="rId22" name="Option Button 20">
              <controlPr defaultSize="0" autoFill="0" autoLine="0" autoPict="0">
                <anchor moveWithCells="1">
                  <from>
                    <xdr:col>7</xdr:col>
                    <xdr:colOff>106680</xdr:colOff>
                    <xdr:row>16</xdr:row>
                    <xdr:rowOff>807720</xdr:rowOff>
                  </from>
                  <to>
                    <xdr:col>7</xdr:col>
                    <xdr:colOff>937260</xdr:colOff>
                    <xdr:row>16</xdr:row>
                    <xdr:rowOff>990600</xdr:rowOff>
                  </to>
                </anchor>
              </controlPr>
            </control>
          </mc:Choice>
        </mc:AlternateContent>
        <mc:AlternateContent xmlns:mc="http://schemas.openxmlformats.org/markup-compatibility/2006">
          <mc:Choice Requires="x14">
            <control shapeId="196629" r:id="rId23" name="Group Box 21">
              <controlPr defaultSize="0" autoFill="0" autoPict="0">
                <anchor moveWithCells="1">
                  <from>
                    <xdr:col>7</xdr:col>
                    <xdr:colOff>0</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96630" r:id="rId24" name="Option Button 22">
              <controlPr defaultSize="0" autoFill="0" autoLine="0" autoPict="0">
                <anchor moveWithCells="1">
                  <from>
                    <xdr:col>7</xdr:col>
                    <xdr:colOff>114300</xdr:colOff>
                    <xdr:row>15</xdr:row>
                    <xdr:rowOff>144780</xdr:rowOff>
                  </from>
                  <to>
                    <xdr:col>7</xdr:col>
                    <xdr:colOff>1950720</xdr:colOff>
                    <xdr:row>15</xdr:row>
                    <xdr:rowOff>312420</xdr:rowOff>
                  </to>
                </anchor>
              </controlPr>
            </control>
          </mc:Choice>
        </mc:AlternateContent>
        <mc:AlternateContent xmlns:mc="http://schemas.openxmlformats.org/markup-compatibility/2006">
          <mc:Choice Requires="x14">
            <control shapeId="196631" r:id="rId25" name="Option Button 23">
              <controlPr defaultSize="0" autoFill="0" autoLine="0" autoPict="0">
                <anchor moveWithCells="1">
                  <from>
                    <xdr:col>7</xdr:col>
                    <xdr:colOff>114300</xdr:colOff>
                    <xdr:row>15</xdr:row>
                    <xdr:rowOff>388620</xdr:rowOff>
                  </from>
                  <to>
                    <xdr:col>7</xdr:col>
                    <xdr:colOff>1950720</xdr:colOff>
                    <xdr:row>15</xdr:row>
                    <xdr:rowOff>579120</xdr:rowOff>
                  </to>
                </anchor>
              </controlPr>
            </control>
          </mc:Choice>
        </mc:AlternateContent>
        <mc:AlternateContent xmlns:mc="http://schemas.openxmlformats.org/markup-compatibility/2006">
          <mc:Choice Requires="x14">
            <control shapeId="196632" r:id="rId26" name="Option Button 24">
              <controlPr defaultSize="0" autoFill="0" autoLine="0" autoPict="0">
                <anchor moveWithCells="1">
                  <from>
                    <xdr:col>7</xdr:col>
                    <xdr:colOff>114300</xdr:colOff>
                    <xdr:row>15</xdr:row>
                    <xdr:rowOff>624840</xdr:rowOff>
                  </from>
                  <to>
                    <xdr:col>7</xdr:col>
                    <xdr:colOff>1950720</xdr:colOff>
                    <xdr:row>15</xdr:row>
                    <xdr:rowOff>815340</xdr:rowOff>
                  </to>
                </anchor>
              </controlPr>
            </control>
          </mc:Choice>
        </mc:AlternateContent>
        <mc:AlternateContent xmlns:mc="http://schemas.openxmlformats.org/markup-compatibility/2006">
          <mc:Choice Requires="x14">
            <control shapeId="196633" r:id="rId27" name="Option Button 25">
              <controlPr defaultSize="0" autoFill="0" autoLine="0" autoPict="0">
                <anchor moveWithCells="1">
                  <from>
                    <xdr:col>7</xdr:col>
                    <xdr:colOff>114300</xdr:colOff>
                    <xdr:row>15</xdr:row>
                    <xdr:rowOff>906780</xdr:rowOff>
                  </from>
                  <to>
                    <xdr:col>7</xdr:col>
                    <xdr:colOff>1950720</xdr:colOff>
                    <xdr:row>15</xdr:row>
                    <xdr:rowOff>1089660</xdr:rowOff>
                  </to>
                </anchor>
              </controlPr>
            </control>
          </mc:Choice>
        </mc:AlternateContent>
        <mc:AlternateContent xmlns:mc="http://schemas.openxmlformats.org/markup-compatibility/2006">
          <mc:Choice Requires="x14">
            <control shapeId="196634" r:id="rId28" name="Group Box 26">
              <controlPr defaultSize="0" autoFill="0" autoPict="0">
                <anchor moveWithCells="1">
                  <from>
                    <xdr:col>7</xdr:col>
                    <xdr:colOff>0</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96635" r:id="rId29" name="Option Button 27">
              <controlPr defaultSize="0" autoFill="0" autoLine="0" autoPict="0" altText="Case d'option 47">
                <anchor moveWithCells="1">
                  <from>
                    <xdr:col>7</xdr:col>
                    <xdr:colOff>106680</xdr:colOff>
                    <xdr:row>14</xdr:row>
                    <xdr:rowOff>76200</xdr:rowOff>
                  </from>
                  <to>
                    <xdr:col>7</xdr:col>
                    <xdr:colOff>1493520</xdr:colOff>
                    <xdr:row>14</xdr:row>
                    <xdr:rowOff>281940</xdr:rowOff>
                  </to>
                </anchor>
              </controlPr>
            </control>
          </mc:Choice>
        </mc:AlternateContent>
        <mc:AlternateContent xmlns:mc="http://schemas.openxmlformats.org/markup-compatibility/2006">
          <mc:Choice Requires="x14">
            <control shapeId="196636" r:id="rId30" name="Option Button 28">
              <controlPr defaultSize="0" autoFill="0" autoLine="0" autoPict="0">
                <anchor moveWithCells="1">
                  <from>
                    <xdr:col>7</xdr:col>
                    <xdr:colOff>106680</xdr:colOff>
                    <xdr:row>14</xdr:row>
                    <xdr:rowOff>335280</xdr:rowOff>
                  </from>
                  <to>
                    <xdr:col>7</xdr:col>
                    <xdr:colOff>1950720</xdr:colOff>
                    <xdr:row>14</xdr:row>
                    <xdr:rowOff>548640</xdr:rowOff>
                  </to>
                </anchor>
              </controlPr>
            </control>
          </mc:Choice>
        </mc:AlternateContent>
        <mc:AlternateContent xmlns:mc="http://schemas.openxmlformats.org/markup-compatibility/2006">
          <mc:Choice Requires="x14">
            <control shapeId="196637" r:id="rId31" name="Option Button 29">
              <controlPr defaultSize="0" autoFill="0" autoLine="0" autoPict="0">
                <anchor moveWithCells="1">
                  <from>
                    <xdr:col>7</xdr:col>
                    <xdr:colOff>106680</xdr:colOff>
                    <xdr:row>14</xdr:row>
                    <xdr:rowOff>632460</xdr:rowOff>
                  </from>
                  <to>
                    <xdr:col>7</xdr:col>
                    <xdr:colOff>1950720</xdr:colOff>
                    <xdr:row>14</xdr:row>
                    <xdr:rowOff>822960</xdr:rowOff>
                  </to>
                </anchor>
              </controlPr>
            </control>
          </mc:Choice>
        </mc:AlternateContent>
        <mc:AlternateContent xmlns:mc="http://schemas.openxmlformats.org/markup-compatibility/2006">
          <mc:Choice Requires="x14">
            <control shapeId="196638" r:id="rId32" name="Option Button 30">
              <controlPr defaultSize="0" autoFill="0" autoLine="0" autoPict="0">
                <anchor moveWithCells="1">
                  <from>
                    <xdr:col>7</xdr:col>
                    <xdr:colOff>106680</xdr:colOff>
                    <xdr:row>14</xdr:row>
                    <xdr:rowOff>899160</xdr:rowOff>
                  </from>
                  <to>
                    <xdr:col>7</xdr:col>
                    <xdr:colOff>937260</xdr:colOff>
                    <xdr:row>14</xdr:row>
                    <xdr:rowOff>1097280</xdr:rowOff>
                  </to>
                </anchor>
              </controlPr>
            </control>
          </mc:Choice>
        </mc:AlternateContent>
        <mc:AlternateContent xmlns:mc="http://schemas.openxmlformats.org/markup-compatibility/2006">
          <mc:Choice Requires="x14">
            <control shapeId="196639" r:id="rId33" name="Group Box 31">
              <controlPr defaultSize="0" autoFill="0" autoPict="0">
                <anchor moveWithCells="1">
                  <from>
                    <xdr:col>7</xdr:col>
                    <xdr:colOff>0</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96640" r:id="rId34" name="Option Button 32">
              <controlPr defaultSize="0" autoFill="0" autoLine="0" autoPict="0" altText="Case d'option 47">
                <anchor moveWithCells="1">
                  <from>
                    <xdr:col>7</xdr:col>
                    <xdr:colOff>106680</xdr:colOff>
                    <xdr:row>13</xdr:row>
                    <xdr:rowOff>68580</xdr:rowOff>
                  </from>
                  <to>
                    <xdr:col>7</xdr:col>
                    <xdr:colOff>1493520</xdr:colOff>
                    <xdr:row>13</xdr:row>
                    <xdr:rowOff>259080</xdr:rowOff>
                  </to>
                </anchor>
              </controlPr>
            </control>
          </mc:Choice>
        </mc:AlternateContent>
        <mc:AlternateContent xmlns:mc="http://schemas.openxmlformats.org/markup-compatibility/2006">
          <mc:Choice Requires="x14">
            <control shapeId="196641" r:id="rId35" name="Option Button 33">
              <controlPr defaultSize="0" autoFill="0" autoLine="0" autoPict="0">
                <anchor moveWithCells="1">
                  <from>
                    <xdr:col>7</xdr:col>
                    <xdr:colOff>106680</xdr:colOff>
                    <xdr:row>13</xdr:row>
                    <xdr:rowOff>304800</xdr:rowOff>
                  </from>
                  <to>
                    <xdr:col>7</xdr:col>
                    <xdr:colOff>1950720</xdr:colOff>
                    <xdr:row>13</xdr:row>
                    <xdr:rowOff>502920</xdr:rowOff>
                  </to>
                </anchor>
              </controlPr>
            </control>
          </mc:Choice>
        </mc:AlternateContent>
        <mc:AlternateContent xmlns:mc="http://schemas.openxmlformats.org/markup-compatibility/2006">
          <mc:Choice Requires="x14">
            <control shapeId="196642" r:id="rId36" name="Option Button 34">
              <controlPr defaultSize="0" autoFill="0" autoLine="0" autoPict="0">
                <anchor moveWithCells="1">
                  <from>
                    <xdr:col>7</xdr:col>
                    <xdr:colOff>106680</xdr:colOff>
                    <xdr:row>13</xdr:row>
                    <xdr:rowOff>579120</xdr:rowOff>
                  </from>
                  <to>
                    <xdr:col>7</xdr:col>
                    <xdr:colOff>1950720</xdr:colOff>
                    <xdr:row>13</xdr:row>
                    <xdr:rowOff>754380</xdr:rowOff>
                  </to>
                </anchor>
              </controlPr>
            </control>
          </mc:Choice>
        </mc:AlternateContent>
        <mc:AlternateContent xmlns:mc="http://schemas.openxmlformats.org/markup-compatibility/2006">
          <mc:Choice Requires="x14">
            <control shapeId="196643" r:id="rId37" name="Option Button 35">
              <controlPr defaultSize="0" autoFill="0" autoLine="0" autoPict="0">
                <anchor moveWithCells="1">
                  <from>
                    <xdr:col>7</xdr:col>
                    <xdr:colOff>106680</xdr:colOff>
                    <xdr:row>13</xdr:row>
                    <xdr:rowOff>822960</xdr:rowOff>
                  </from>
                  <to>
                    <xdr:col>7</xdr:col>
                    <xdr:colOff>937260</xdr:colOff>
                    <xdr:row>13</xdr:row>
                    <xdr:rowOff>1005840</xdr:rowOff>
                  </to>
                </anchor>
              </controlPr>
            </control>
          </mc:Choice>
        </mc:AlternateContent>
        <mc:AlternateContent xmlns:mc="http://schemas.openxmlformats.org/markup-compatibility/2006">
          <mc:Choice Requires="x14">
            <control shapeId="196644" r:id="rId38" name="Group Box 36">
              <controlPr defaultSize="0" autoFill="0" autoPict="0">
                <anchor moveWithCells="1">
                  <from>
                    <xdr:col>7</xdr:col>
                    <xdr:colOff>0</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96645" r:id="rId39" name="Option Button 37">
              <controlPr defaultSize="0" autoFill="0" autoLine="0" autoPict="0">
                <anchor moveWithCells="1">
                  <from>
                    <xdr:col>7</xdr:col>
                    <xdr:colOff>114300</xdr:colOff>
                    <xdr:row>28</xdr:row>
                    <xdr:rowOff>144780</xdr:rowOff>
                  </from>
                  <to>
                    <xdr:col>7</xdr:col>
                    <xdr:colOff>1950720</xdr:colOff>
                    <xdr:row>28</xdr:row>
                    <xdr:rowOff>320040</xdr:rowOff>
                  </to>
                </anchor>
              </controlPr>
            </control>
          </mc:Choice>
        </mc:AlternateContent>
        <mc:AlternateContent xmlns:mc="http://schemas.openxmlformats.org/markup-compatibility/2006">
          <mc:Choice Requires="x14">
            <control shapeId="196646" r:id="rId40" name="Option Button 38">
              <controlPr defaultSize="0" autoFill="0" autoLine="0" autoPict="0">
                <anchor moveWithCells="1">
                  <from>
                    <xdr:col>7</xdr:col>
                    <xdr:colOff>114300</xdr:colOff>
                    <xdr:row>28</xdr:row>
                    <xdr:rowOff>396240</xdr:rowOff>
                  </from>
                  <to>
                    <xdr:col>7</xdr:col>
                    <xdr:colOff>1950720</xdr:colOff>
                    <xdr:row>28</xdr:row>
                    <xdr:rowOff>586740</xdr:rowOff>
                  </to>
                </anchor>
              </controlPr>
            </control>
          </mc:Choice>
        </mc:AlternateContent>
        <mc:AlternateContent xmlns:mc="http://schemas.openxmlformats.org/markup-compatibility/2006">
          <mc:Choice Requires="x14">
            <control shapeId="196647" r:id="rId41" name="Option Button 39">
              <controlPr defaultSize="0" autoFill="0" autoLine="0" autoPict="0">
                <anchor moveWithCells="1">
                  <from>
                    <xdr:col>7</xdr:col>
                    <xdr:colOff>114300</xdr:colOff>
                    <xdr:row>28</xdr:row>
                    <xdr:rowOff>640080</xdr:rowOff>
                  </from>
                  <to>
                    <xdr:col>7</xdr:col>
                    <xdr:colOff>1950720</xdr:colOff>
                    <xdr:row>28</xdr:row>
                    <xdr:rowOff>830580</xdr:rowOff>
                  </to>
                </anchor>
              </controlPr>
            </control>
          </mc:Choice>
        </mc:AlternateContent>
        <mc:AlternateContent xmlns:mc="http://schemas.openxmlformats.org/markup-compatibility/2006">
          <mc:Choice Requires="x14">
            <control shapeId="196648" r:id="rId42" name="Option Button 40">
              <controlPr defaultSize="0" autoFill="0" autoLine="0" autoPict="0">
                <anchor moveWithCells="1">
                  <from>
                    <xdr:col>7</xdr:col>
                    <xdr:colOff>114300</xdr:colOff>
                    <xdr:row>28</xdr:row>
                    <xdr:rowOff>922020</xdr:rowOff>
                  </from>
                  <to>
                    <xdr:col>7</xdr:col>
                    <xdr:colOff>1950720</xdr:colOff>
                    <xdr:row>28</xdr:row>
                    <xdr:rowOff>1112520</xdr:rowOff>
                  </to>
                </anchor>
              </controlPr>
            </control>
          </mc:Choice>
        </mc:AlternateContent>
        <mc:AlternateContent xmlns:mc="http://schemas.openxmlformats.org/markup-compatibility/2006">
          <mc:Choice Requires="x14">
            <control shapeId="196649" r:id="rId43" name="Group Box 41">
              <controlPr defaultSize="0" autoFill="0" autoPict="0">
                <anchor moveWithCells="1">
                  <from>
                    <xdr:col>7</xdr:col>
                    <xdr:colOff>0</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96650" r:id="rId44" name="Group Box 42">
              <controlPr defaultSize="0" autoFill="0" autoPict="0" altText="">
                <anchor moveWithCells="1">
                  <from>
                    <xdr:col>7</xdr:col>
                    <xdr:colOff>0</xdr:colOff>
                    <xdr:row>32</xdr:row>
                    <xdr:rowOff>0</xdr:rowOff>
                  </from>
                  <to>
                    <xdr:col>8</xdr:col>
                    <xdr:colOff>0</xdr:colOff>
                    <xdr:row>34</xdr:row>
                    <xdr:rowOff>0</xdr:rowOff>
                  </to>
                </anchor>
              </controlPr>
            </control>
          </mc:Choice>
        </mc:AlternateContent>
        <mc:AlternateContent xmlns:mc="http://schemas.openxmlformats.org/markup-compatibility/2006">
          <mc:Choice Requires="x14">
            <control shapeId="196651" r:id="rId45" name="Option Button 43">
              <controlPr defaultSize="0" autoFill="0" autoLine="0" autoPict="0">
                <anchor moveWithCells="1">
                  <from>
                    <xdr:col>7</xdr:col>
                    <xdr:colOff>114300</xdr:colOff>
                    <xdr:row>33</xdr:row>
                    <xdr:rowOff>144780</xdr:rowOff>
                  </from>
                  <to>
                    <xdr:col>7</xdr:col>
                    <xdr:colOff>1950720</xdr:colOff>
                    <xdr:row>33</xdr:row>
                    <xdr:rowOff>320040</xdr:rowOff>
                  </to>
                </anchor>
              </controlPr>
            </control>
          </mc:Choice>
        </mc:AlternateContent>
        <mc:AlternateContent xmlns:mc="http://schemas.openxmlformats.org/markup-compatibility/2006">
          <mc:Choice Requires="x14">
            <control shapeId="196652" r:id="rId46" name="Option Button 44">
              <controlPr defaultSize="0" autoFill="0" autoLine="0" autoPict="0">
                <anchor moveWithCells="1">
                  <from>
                    <xdr:col>7</xdr:col>
                    <xdr:colOff>114300</xdr:colOff>
                    <xdr:row>33</xdr:row>
                    <xdr:rowOff>396240</xdr:rowOff>
                  </from>
                  <to>
                    <xdr:col>7</xdr:col>
                    <xdr:colOff>1950720</xdr:colOff>
                    <xdr:row>33</xdr:row>
                    <xdr:rowOff>586740</xdr:rowOff>
                  </to>
                </anchor>
              </controlPr>
            </control>
          </mc:Choice>
        </mc:AlternateContent>
        <mc:AlternateContent xmlns:mc="http://schemas.openxmlformats.org/markup-compatibility/2006">
          <mc:Choice Requires="x14">
            <control shapeId="196653" r:id="rId47" name="Option Button 45">
              <controlPr defaultSize="0" autoFill="0" autoLine="0" autoPict="0">
                <anchor moveWithCells="1">
                  <from>
                    <xdr:col>7</xdr:col>
                    <xdr:colOff>114300</xdr:colOff>
                    <xdr:row>33</xdr:row>
                    <xdr:rowOff>640080</xdr:rowOff>
                  </from>
                  <to>
                    <xdr:col>7</xdr:col>
                    <xdr:colOff>1950720</xdr:colOff>
                    <xdr:row>33</xdr:row>
                    <xdr:rowOff>830580</xdr:rowOff>
                  </to>
                </anchor>
              </controlPr>
            </control>
          </mc:Choice>
        </mc:AlternateContent>
        <mc:AlternateContent xmlns:mc="http://schemas.openxmlformats.org/markup-compatibility/2006">
          <mc:Choice Requires="x14">
            <control shapeId="196654" r:id="rId48" name="Option Button 46">
              <controlPr defaultSize="0" autoFill="0" autoLine="0" autoPict="0">
                <anchor moveWithCells="1">
                  <from>
                    <xdr:col>7</xdr:col>
                    <xdr:colOff>114300</xdr:colOff>
                    <xdr:row>33</xdr:row>
                    <xdr:rowOff>922020</xdr:rowOff>
                  </from>
                  <to>
                    <xdr:col>7</xdr:col>
                    <xdr:colOff>1950720</xdr:colOff>
                    <xdr:row>33</xdr:row>
                    <xdr:rowOff>1112520</xdr:rowOff>
                  </to>
                </anchor>
              </controlPr>
            </control>
          </mc:Choice>
        </mc:AlternateContent>
        <mc:AlternateContent xmlns:mc="http://schemas.openxmlformats.org/markup-compatibility/2006">
          <mc:Choice Requires="x14">
            <control shapeId="196655" r:id="rId49" name="Group Box 47">
              <controlPr defaultSize="0" autoFill="0" autoPict="0">
                <anchor moveWithCells="1">
                  <from>
                    <xdr:col>7</xdr:col>
                    <xdr:colOff>0</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196656" r:id="rId50" name="Option Button 48">
              <controlPr defaultSize="0" autoFill="0" autoLine="0" autoPict="0" altText="Case d'option 47">
                <anchor moveWithCells="1">
                  <from>
                    <xdr:col>7</xdr:col>
                    <xdr:colOff>106680</xdr:colOff>
                    <xdr:row>32</xdr:row>
                    <xdr:rowOff>68580</xdr:rowOff>
                  </from>
                  <to>
                    <xdr:col>7</xdr:col>
                    <xdr:colOff>1493520</xdr:colOff>
                    <xdr:row>32</xdr:row>
                    <xdr:rowOff>259080</xdr:rowOff>
                  </to>
                </anchor>
              </controlPr>
            </control>
          </mc:Choice>
        </mc:AlternateContent>
        <mc:AlternateContent xmlns:mc="http://schemas.openxmlformats.org/markup-compatibility/2006">
          <mc:Choice Requires="x14">
            <control shapeId="196657" r:id="rId51" name="Option Button 49">
              <controlPr defaultSize="0" autoFill="0" autoLine="0" autoPict="0">
                <anchor moveWithCells="1">
                  <from>
                    <xdr:col>7</xdr:col>
                    <xdr:colOff>106680</xdr:colOff>
                    <xdr:row>32</xdr:row>
                    <xdr:rowOff>304800</xdr:rowOff>
                  </from>
                  <to>
                    <xdr:col>7</xdr:col>
                    <xdr:colOff>1950720</xdr:colOff>
                    <xdr:row>32</xdr:row>
                    <xdr:rowOff>502920</xdr:rowOff>
                  </to>
                </anchor>
              </controlPr>
            </control>
          </mc:Choice>
        </mc:AlternateContent>
        <mc:AlternateContent xmlns:mc="http://schemas.openxmlformats.org/markup-compatibility/2006">
          <mc:Choice Requires="x14">
            <control shapeId="196658" r:id="rId52" name="Option Button 50">
              <controlPr defaultSize="0" autoFill="0" autoLine="0" autoPict="0">
                <anchor moveWithCells="1">
                  <from>
                    <xdr:col>7</xdr:col>
                    <xdr:colOff>106680</xdr:colOff>
                    <xdr:row>32</xdr:row>
                    <xdr:rowOff>579120</xdr:rowOff>
                  </from>
                  <to>
                    <xdr:col>8</xdr:col>
                    <xdr:colOff>0</xdr:colOff>
                    <xdr:row>32</xdr:row>
                    <xdr:rowOff>754380</xdr:rowOff>
                  </to>
                </anchor>
              </controlPr>
            </control>
          </mc:Choice>
        </mc:AlternateContent>
        <mc:AlternateContent xmlns:mc="http://schemas.openxmlformats.org/markup-compatibility/2006">
          <mc:Choice Requires="x14">
            <control shapeId="196659" r:id="rId53" name="Option Button 51">
              <controlPr defaultSize="0" autoFill="0" autoLine="0" autoPict="0">
                <anchor moveWithCells="1">
                  <from>
                    <xdr:col>7</xdr:col>
                    <xdr:colOff>106680</xdr:colOff>
                    <xdr:row>32</xdr:row>
                    <xdr:rowOff>822960</xdr:rowOff>
                  </from>
                  <to>
                    <xdr:col>7</xdr:col>
                    <xdr:colOff>937260</xdr:colOff>
                    <xdr:row>32</xdr:row>
                    <xdr:rowOff>1005840</xdr:rowOff>
                  </to>
                </anchor>
              </controlPr>
            </control>
          </mc:Choice>
        </mc:AlternateContent>
        <mc:AlternateContent xmlns:mc="http://schemas.openxmlformats.org/markup-compatibility/2006">
          <mc:Choice Requires="x14">
            <control shapeId="196660" r:id="rId54" name="Group Box 52">
              <controlPr defaultSize="0" autoFill="0" autoPict="0">
                <anchor moveWithCells="1">
                  <from>
                    <xdr:col>7</xdr:col>
                    <xdr:colOff>0</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96661" r:id="rId55" name="Option Button 53">
              <controlPr defaultSize="0" autoFill="0" autoLine="0" autoPict="0">
                <anchor moveWithCells="1">
                  <from>
                    <xdr:col>7</xdr:col>
                    <xdr:colOff>114300</xdr:colOff>
                    <xdr:row>31</xdr:row>
                    <xdr:rowOff>144780</xdr:rowOff>
                  </from>
                  <to>
                    <xdr:col>7</xdr:col>
                    <xdr:colOff>1950720</xdr:colOff>
                    <xdr:row>31</xdr:row>
                    <xdr:rowOff>320040</xdr:rowOff>
                  </to>
                </anchor>
              </controlPr>
            </control>
          </mc:Choice>
        </mc:AlternateContent>
        <mc:AlternateContent xmlns:mc="http://schemas.openxmlformats.org/markup-compatibility/2006">
          <mc:Choice Requires="x14">
            <control shapeId="196662" r:id="rId56" name="Option Button 54">
              <controlPr defaultSize="0" autoFill="0" autoLine="0" autoPict="0">
                <anchor moveWithCells="1">
                  <from>
                    <xdr:col>7</xdr:col>
                    <xdr:colOff>114300</xdr:colOff>
                    <xdr:row>31</xdr:row>
                    <xdr:rowOff>396240</xdr:rowOff>
                  </from>
                  <to>
                    <xdr:col>7</xdr:col>
                    <xdr:colOff>1950720</xdr:colOff>
                    <xdr:row>31</xdr:row>
                    <xdr:rowOff>586740</xdr:rowOff>
                  </to>
                </anchor>
              </controlPr>
            </control>
          </mc:Choice>
        </mc:AlternateContent>
        <mc:AlternateContent xmlns:mc="http://schemas.openxmlformats.org/markup-compatibility/2006">
          <mc:Choice Requires="x14">
            <control shapeId="196663" r:id="rId57" name="Option Button 55">
              <controlPr defaultSize="0" autoFill="0" autoLine="0" autoPict="0">
                <anchor moveWithCells="1">
                  <from>
                    <xdr:col>7</xdr:col>
                    <xdr:colOff>114300</xdr:colOff>
                    <xdr:row>31</xdr:row>
                    <xdr:rowOff>640080</xdr:rowOff>
                  </from>
                  <to>
                    <xdr:col>7</xdr:col>
                    <xdr:colOff>1950720</xdr:colOff>
                    <xdr:row>31</xdr:row>
                    <xdr:rowOff>830580</xdr:rowOff>
                  </to>
                </anchor>
              </controlPr>
            </control>
          </mc:Choice>
        </mc:AlternateContent>
        <mc:AlternateContent xmlns:mc="http://schemas.openxmlformats.org/markup-compatibility/2006">
          <mc:Choice Requires="x14">
            <control shapeId="196664" r:id="rId58" name="Option Button 56">
              <controlPr defaultSize="0" autoFill="0" autoLine="0" autoPict="0">
                <anchor moveWithCells="1">
                  <from>
                    <xdr:col>7</xdr:col>
                    <xdr:colOff>114300</xdr:colOff>
                    <xdr:row>31</xdr:row>
                    <xdr:rowOff>922020</xdr:rowOff>
                  </from>
                  <to>
                    <xdr:col>7</xdr:col>
                    <xdr:colOff>1950720</xdr:colOff>
                    <xdr:row>31</xdr:row>
                    <xdr:rowOff>1112520</xdr:rowOff>
                  </to>
                </anchor>
              </controlPr>
            </control>
          </mc:Choice>
        </mc:AlternateContent>
        <mc:AlternateContent xmlns:mc="http://schemas.openxmlformats.org/markup-compatibility/2006">
          <mc:Choice Requires="x14">
            <control shapeId="196665" r:id="rId59" name="Group Box 57">
              <controlPr defaultSize="0" autoFill="0" autoPict="0">
                <anchor moveWithCells="1">
                  <from>
                    <xdr:col>7</xdr:col>
                    <xdr:colOff>0</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96666" r:id="rId60" name="Option Button 58">
              <controlPr defaultSize="0" autoFill="0" autoLine="0" autoPict="0" altText="Case d'option 47">
                <anchor moveWithCells="1">
                  <from>
                    <xdr:col>7</xdr:col>
                    <xdr:colOff>106680</xdr:colOff>
                    <xdr:row>30</xdr:row>
                    <xdr:rowOff>68580</xdr:rowOff>
                  </from>
                  <to>
                    <xdr:col>7</xdr:col>
                    <xdr:colOff>1501140</xdr:colOff>
                    <xdr:row>30</xdr:row>
                    <xdr:rowOff>259080</xdr:rowOff>
                  </to>
                </anchor>
              </controlPr>
            </control>
          </mc:Choice>
        </mc:AlternateContent>
        <mc:AlternateContent xmlns:mc="http://schemas.openxmlformats.org/markup-compatibility/2006">
          <mc:Choice Requires="x14">
            <control shapeId="196667" r:id="rId61" name="Option Button 59">
              <controlPr defaultSize="0" autoFill="0" autoLine="0" autoPict="0">
                <anchor moveWithCells="1">
                  <from>
                    <xdr:col>7</xdr:col>
                    <xdr:colOff>106680</xdr:colOff>
                    <xdr:row>30</xdr:row>
                    <xdr:rowOff>304800</xdr:rowOff>
                  </from>
                  <to>
                    <xdr:col>8</xdr:col>
                    <xdr:colOff>0</xdr:colOff>
                    <xdr:row>30</xdr:row>
                    <xdr:rowOff>502920</xdr:rowOff>
                  </to>
                </anchor>
              </controlPr>
            </control>
          </mc:Choice>
        </mc:AlternateContent>
        <mc:AlternateContent xmlns:mc="http://schemas.openxmlformats.org/markup-compatibility/2006">
          <mc:Choice Requires="x14">
            <control shapeId="196668" r:id="rId62" name="Option Button 60">
              <controlPr defaultSize="0" autoFill="0" autoLine="0" autoPict="0">
                <anchor moveWithCells="1">
                  <from>
                    <xdr:col>7</xdr:col>
                    <xdr:colOff>106680</xdr:colOff>
                    <xdr:row>30</xdr:row>
                    <xdr:rowOff>579120</xdr:rowOff>
                  </from>
                  <to>
                    <xdr:col>8</xdr:col>
                    <xdr:colOff>0</xdr:colOff>
                    <xdr:row>30</xdr:row>
                    <xdr:rowOff>754380</xdr:rowOff>
                  </to>
                </anchor>
              </controlPr>
            </control>
          </mc:Choice>
        </mc:AlternateContent>
        <mc:AlternateContent xmlns:mc="http://schemas.openxmlformats.org/markup-compatibility/2006">
          <mc:Choice Requires="x14">
            <control shapeId="196669" r:id="rId63" name="Option Button 61">
              <controlPr defaultSize="0" autoFill="0" autoLine="0" autoPict="0">
                <anchor moveWithCells="1">
                  <from>
                    <xdr:col>7</xdr:col>
                    <xdr:colOff>106680</xdr:colOff>
                    <xdr:row>30</xdr:row>
                    <xdr:rowOff>822960</xdr:rowOff>
                  </from>
                  <to>
                    <xdr:col>7</xdr:col>
                    <xdr:colOff>937260</xdr:colOff>
                    <xdr:row>30</xdr:row>
                    <xdr:rowOff>1005840</xdr:rowOff>
                  </to>
                </anchor>
              </controlPr>
            </control>
          </mc:Choice>
        </mc:AlternateContent>
        <mc:AlternateContent xmlns:mc="http://schemas.openxmlformats.org/markup-compatibility/2006">
          <mc:Choice Requires="x14">
            <control shapeId="196670" r:id="rId64" name="Group Box 62">
              <controlPr defaultSize="0" autoFill="0" autoPict="0">
                <anchor moveWithCells="1">
                  <from>
                    <xdr:col>7</xdr:col>
                    <xdr:colOff>0</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96671" r:id="rId65" name="Option Button 63">
              <controlPr defaultSize="0" autoFill="0" autoLine="0" autoPict="0" altText="Case d'option 47">
                <anchor moveWithCells="1">
                  <from>
                    <xdr:col>7</xdr:col>
                    <xdr:colOff>106680</xdr:colOff>
                    <xdr:row>29</xdr:row>
                    <xdr:rowOff>68580</xdr:rowOff>
                  </from>
                  <to>
                    <xdr:col>7</xdr:col>
                    <xdr:colOff>1493520</xdr:colOff>
                    <xdr:row>29</xdr:row>
                    <xdr:rowOff>259080</xdr:rowOff>
                  </to>
                </anchor>
              </controlPr>
            </control>
          </mc:Choice>
        </mc:AlternateContent>
        <mc:AlternateContent xmlns:mc="http://schemas.openxmlformats.org/markup-compatibility/2006">
          <mc:Choice Requires="x14">
            <control shapeId="196672" r:id="rId66" name="Option Button 64">
              <controlPr defaultSize="0" autoFill="0" autoLine="0" autoPict="0">
                <anchor moveWithCells="1">
                  <from>
                    <xdr:col>7</xdr:col>
                    <xdr:colOff>106680</xdr:colOff>
                    <xdr:row>29</xdr:row>
                    <xdr:rowOff>304800</xdr:rowOff>
                  </from>
                  <to>
                    <xdr:col>7</xdr:col>
                    <xdr:colOff>1950720</xdr:colOff>
                    <xdr:row>29</xdr:row>
                    <xdr:rowOff>502920</xdr:rowOff>
                  </to>
                </anchor>
              </controlPr>
            </control>
          </mc:Choice>
        </mc:AlternateContent>
        <mc:AlternateContent xmlns:mc="http://schemas.openxmlformats.org/markup-compatibility/2006">
          <mc:Choice Requires="x14">
            <control shapeId="196673" r:id="rId67" name="Option Button 65">
              <controlPr defaultSize="0" autoFill="0" autoLine="0" autoPict="0">
                <anchor moveWithCells="1">
                  <from>
                    <xdr:col>7</xdr:col>
                    <xdr:colOff>106680</xdr:colOff>
                    <xdr:row>29</xdr:row>
                    <xdr:rowOff>579120</xdr:rowOff>
                  </from>
                  <to>
                    <xdr:col>7</xdr:col>
                    <xdr:colOff>1950720</xdr:colOff>
                    <xdr:row>29</xdr:row>
                    <xdr:rowOff>754380</xdr:rowOff>
                  </to>
                </anchor>
              </controlPr>
            </control>
          </mc:Choice>
        </mc:AlternateContent>
        <mc:AlternateContent xmlns:mc="http://schemas.openxmlformats.org/markup-compatibility/2006">
          <mc:Choice Requires="x14">
            <control shapeId="196674" r:id="rId68" name="Option Button 66">
              <controlPr defaultSize="0" autoFill="0" autoLine="0" autoPict="0">
                <anchor moveWithCells="1">
                  <from>
                    <xdr:col>7</xdr:col>
                    <xdr:colOff>106680</xdr:colOff>
                    <xdr:row>29</xdr:row>
                    <xdr:rowOff>822960</xdr:rowOff>
                  </from>
                  <to>
                    <xdr:col>7</xdr:col>
                    <xdr:colOff>937260</xdr:colOff>
                    <xdr:row>29</xdr:row>
                    <xdr:rowOff>1005840</xdr:rowOff>
                  </to>
                </anchor>
              </controlPr>
            </control>
          </mc:Choice>
        </mc:AlternateContent>
        <mc:AlternateContent xmlns:mc="http://schemas.openxmlformats.org/markup-compatibility/2006">
          <mc:Choice Requires="x14">
            <control shapeId="196675" r:id="rId69" name="Group Box 67">
              <controlPr defaultSize="0" autoFill="0" autoPict="0">
                <anchor moveWithCells="1">
                  <from>
                    <xdr:col>7</xdr:col>
                    <xdr:colOff>0</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96676" r:id="rId70" name="Option Button 68">
              <controlPr defaultSize="0" autoFill="0" autoLine="0" autoPict="0" altText="Case d'option 47">
                <anchor moveWithCells="1">
                  <from>
                    <xdr:col>7</xdr:col>
                    <xdr:colOff>106680</xdr:colOff>
                    <xdr:row>43</xdr:row>
                    <xdr:rowOff>68580</xdr:rowOff>
                  </from>
                  <to>
                    <xdr:col>7</xdr:col>
                    <xdr:colOff>1493520</xdr:colOff>
                    <xdr:row>43</xdr:row>
                    <xdr:rowOff>259080</xdr:rowOff>
                  </to>
                </anchor>
              </controlPr>
            </control>
          </mc:Choice>
        </mc:AlternateContent>
        <mc:AlternateContent xmlns:mc="http://schemas.openxmlformats.org/markup-compatibility/2006">
          <mc:Choice Requires="x14">
            <control shapeId="196677" r:id="rId71" name="Option Button 69">
              <controlPr defaultSize="0" autoFill="0" autoLine="0" autoPict="0">
                <anchor moveWithCells="1">
                  <from>
                    <xdr:col>7</xdr:col>
                    <xdr:colOff>106680</xdr:colOff>
                    <xdr:row>43</xdr:row>
                    <xdr:rowOff>304800</xdr:rowOff>
                  </from>
                  <to>
                    <xdr:col>7</xdr:col>
                    <xdr:colOff>1950720</xdr:colOff>
                    <xdr:row>43</xdr:row>
                    <xdr:rowOff>502920</xdr:rowOff>
                  </to>
                </anchor>
              </controlPr>
            </control>
          </mc:Choice>
        </mc:AlternateContent>
        <mc:AlternateContent xmlns:mc="http://schemas.openxmlformats.org/markup-compatibility/2006">
          <mc:Choice Requires="x14">
            <control shapeId="196678" r:id="rId72" name="Option Button 70">
              <controlPr defaultSize="0" autoFill="0" autoLine="0" autoPict="0">
                <anchor moveWithCells="1">
                  <from>
                    <xdr:col>7</xdr:col>
                    <xdr:colOff>106680</xdr:colOff>
                    <xdr:row>43</xdr:row>
                    <xdr:rowOff>579120</xdr:rowOff>
                  </from>
                  <to>
                    <xdr:col>7</xdr:col>
                    <xdr:colOff>1950720</xdr:colOff>
                    <xdr:row>43</xdr:row>
                    <xdr:rowOff>754380</xdr:rowOff>
                  </to>
                </anchor>
              </controlPr>
            </control>
          </mc:Choice>
        </mc:AlternateContent>
        <mc:AlternateContent xmlns:mc="http://schemas.openxmlformats.org/markup-compatibility/2006">
          <mc:Choice Requires="x14">
            <control shapeId="196679" r:id="rId73" name="Option Button 71">
              <controlPr defaultSize="0" autoFill="0" autoLine="0" autoPict="0">
                <anchor moveWithCells="1">
                  <from>
                    <xdr:col>7</xdr:col>
                    <xdr:colOff>106680</xdr:colOff>
                    <xdr:row>43</xdr:row>
                    <xdr:rowOff>822960</xdr:rowOff>
                  </from>
                  <to>
                    <xdr:col>7</xdr:col>
                    <xdr:colOff>937260</xdr:colOff>
                    <xdr:row>43</xdr:row>
                    <xdr:rowOff>1005840</xdr:rowOff>
                  </to>
                </anchor>
              </controlPr>
            </control>
          </mc:Choice>
        </mc:AlternateContent>
        <mc:AlternateContent xmlns:mc="http://schemas.openxmlformats.org/markup-compatibility/2006">
          <mc:Choice Requires="x14">
            <control shapeId="196680" r:id="rId74" name="Group Box 72">
              <controlPr defaultSize="0" autoFill="0" autoPict="0">
                <anchor mov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96681" r:id="rId75" name="Option Button 73">
              <controlPr defaultSize="0" autoFill="0" autoLine="0" autoPict="0">
                <anchor moveWithCells="1">
                  <from>
                    <xdr:col>7</xdr:col>
                    <xdr:colOff>114300</xdr:colOff>
                    <xdr:row>44</xdr:row>
                    <xdr:rowOff>167640</xdr:rowOff>
                  </from>
                  <to>
                    <xdr:col>7</xdr:col>
                    <xdr:colOff>1950720</xdr:colOff>
                    <xdr:row>44</xdr:row>
                    <xdr:rowOff>373380</xdr:rowOff>
                  </to>
                </anchor>
              </controlPr>
            </control>
          </mc:Choice>
        </mc:AlternateContent>
        <mc:AlternateContent xmlns:mc="http://schemas.openxmlformats.org/markup-compatibility/2006">
          <mc:Choice Requires="x14">
            <control shapeId="196682" r:id="rId76" name="Option Button 74">
              <controlPr defaultSize="0" autoFill="0" autoLine="0" autoPict="0">
                <anchor moveWithCells="1">
                  <from>
                    <xdr:col>7</xdr:col>
                    <xdr:colOff>114300</xdr:colOff>
                    <xdr:row>44</xdr:row>
                    <xdr:rowOff>457200</xdr:rowOff>
                  </from>
                  <to>
                    <xdr:col>7</xdr:col>
                    <xdr:colOff>1950720</xdr:colOff>
                    <xdr:row>44</xdr:row>
                    <xdr:rowOff>678180</xdr:rowOff>
                  </to>
                </anchor>
              </controlPr>
            </control>
          </mc:Choice>
        </mc:AlternateContent>
        <mc:AlternateContent xmlns:mc="http://schemas.openxmlformats.org/markup-compatibility/2006">
          <mc:Choice Requires="x14">
            <control shapeId="196683" r:id="rId77" name="Option Button 75">
              <controlPr defaultSize="0" autoFill="0" autoLine="0" autoPict="0">
                <anchor moveWithCells="1">
                  <from>
                    <xdr:col>7</xdr:col>
                    <xdr:colOff>114300</xdr:colOff>
                    <xdr:row>44</xdr:row>
                    <xdr:rowOff>739140</xdr:rowOff>
                  </from>
                  <to>
                    <xdr:col>7</xdr:col>
                    <xdr:colOff>1950720</xdr:colOff>
                    <xdr:row>44</xdr:row>
                    <xdr:rowOff>960120</xdr:rowOff>
                  </to>
                </anchor>
              </controlPr>
            </control>
          </mc:Choice>
        </mc:AlternateContent>
        <mc:AlternateContent xmlns:mc="http://schemas.openxmlformats.org/markup-compatibility/2006">
          <mc:Choice Requires="x14">
            <control shapeId="196684" r:id="rId78" name="Option Button 76">
              <controlPr defaultSize="0" autoFill="0" autoLine="0" autoPict="0">
                <anchor moveWithCells="1">
                  <from>
                    <xdr:col>7</xdr:col>
                    <xdr:colOff>114300</xdr:colOff>
                    <xdr:row>44</xdr:row>
                    <xdr:rowOff>1066800</xdr:rowOff>
                  </from>
                  <to>
                    <xdr:col>7</xdr:col>
                    <xdr:colOff>1950720</xdr:colOff>
                    <xdr:row>44</xdr:row>
                    <xdr:rowOff>1287780</xdr:rowOff>
                  </to>
                </anchor>
              </controlPr>
            </control>
          </mc:Choice>
        </mc:AlternateContent>
        <mc:AlternateContent xmlns:mc="http://schemas.openxmlformats.org/markup-compatibility/2006">
          <mc:Choice Requires="x14">
            <control shapeId="196685" r:id="rId79" name="Group Box 77">
              <controlPr defaultSize="0" autoFill="0" autoPict="0">
                <anchor moveWithCells="1">
                  <from>
                    <xdr:col>7</xdr:col>
                    <xdr:colOff>0</xdr:colOff>
                    <xdr:row>44</xdr:row>
                    <xdr:rowOff>0</xdr:rowOff>
                  </from>
                  <to>
                    <xdr:col>8</xdr:col>
                    <xdr:colOff>0</xdr:colOff>
                    <xdr:row>45</xdr:row>
                    <xdr:rowOff>0</xdr:rowOff>
                  </to>
                </anchor>
              </controlPr>
            </control>
          </mc:Choice>
        </mc:AlternateContent>
        <mc:AlternateContent xmlns:mc="http://schemas.openxmlformats.org/markup-compatibility/2006">
          <mc:Choice Requires="x14">
            <control shapeId="196686" r:id="rId80" name="Option Button 78">
              <controlPr defaultSize="0" autoFill="0" autoLine="0" autoPict="0" altText="Case d'option 47">
                <anchor moveWithCells="1">
                  <from>
                    <xdr:col>7</xdr:col>
                    <xdr:colOff>106680</xdr:colOff>
                    <xdr:row>46</xdr:row>
                    <xdr:rowOff>60960</xdr:rowOff>
                  </from>
                  <to>
                    <xdr:col>7</xdr:col>
                    <xdr:colOff>1493520</xdr:colOff>
                    <xdr:row>46</xdr:row>
                    <xdr:rowOff>236220</xdr:rowOff>
                  </to>
                </anchor>
              </controlPr>
            </control>
          </mc:Choice>
        </mc:AlternateContent>
        <mc:AlternateContent xmlns:mc="http://schemas.openxmlformats.org/markup-compatibility/2006">
          <mc:Choice Requires="x14">
            <control shapeId="196687" r:id="rId81" name="Option Button 79">
              <controlPr defaultSize="0" autoFill="0" autoLine="0" autoPict="0">
                <anchor moveWithCells="1">
                  <from>
                    <xdr:col>7</xdr:col>
                    <xdr:colOff>106680</xdr:colOff>
                    <xdr:row>46</xdr:row>
                    <xdr:rowOff>281940</xdr:rowOff>
                  </from>
                  <to>
                    <xdr:col>7</xdr:col>
                    <xdr:colOff>1950720</xdr:colOff>
                    <xdr:row>46</xdr:row>
                    <xdr:rowOff>464820</xdr:rowOff>
                  </to>
                </anchor>
              </controlPr>
            </control>
          </mc:Choice>
        </mc:AlternateContent>
        <mc:AlternateContent xmlns:mc="http://schemas.openxmlformats.org/markup-compatibility/2006">
          <mc:Choice Requires="x14">
            <control shapeId="196688" r:id="rId82" name="Option Button 80">
              <controlPr defaultSize="0" autoFill="0" autoLine="0" autoPict="0">
                <anchor moveWithCells="1">
                  <from>
                    <xdr:col>7</xdr:col>
                    <xdr:colOff>106680</xdr:colOff>
                    <xdr:row>46</xdr:row>
                    <xdr:rowOff>533400</xdr:rowOff>
                  </from>
                  <to>
                    <xdr:col>7</xdr:col>
                    <xdr:colOff>1950720</xdr:colOff>
                    <xdr:row>46</xdr:row>
                    <xdr:rowOff>693420</xdr:rowOff>
                  </to>
                </anchor>
              </controlPr>
            </control>
          </mc:Choice>
        </mc:AlternateContent>
        <mc:AlternateContent xmlns:mc="http://schemas.openxmlformats.org/markup-compatibility/2006">
          <mc:Choice Requires="x14">
            <control shapeId="196689" r:id="rId83" name="Option Button 81">
              <controlPr defaultSize="0" autoFill="0" autoLine="0" autoPict="0">
                <anchor moveWithCells="1">
                  <from>
                    <xdr:col>7</xdr:col>
                    <xdr:colOff>106680</xdr:colOff>
                    <xdr:row>46</xdr:row>
                    <xdr:rowOff>762000</xdr:rowOff>
                  </from>
                  <to>
                    <xdr:col>7</xdr:col>
                    <xdr:colOff>937260</xdr:colOff>
                    <xdr:row>46</xdr:row>
                    <xdr:rowOff>929640</xdr:rowOff>
                  </to>
                </anchor>
              </controlPr>
            </control>
          </mc:Choice>
        </mc:AlternateContent>
        <mc:AlternateContent xmlns:mc="http://schemas.openxmlformats.org/markup-compatibility/2006">
          <mc:Choice Requires="x14">
            <control shapeId="196690" r:id="rId84" name="Group Box 82">
              <controlPr defaultSize="0" autoFill="0" autoPict="0">
                <anchor moveWithCells="1">
                  <from>
                    <xdr:col>7</xdr:col>
                    <xdr:colOff>0</xdr:colOff>
                    <xdr:row>46</xdr:row>
                    <xdr:rowOff>0</xdr:rowOff>
                  </from>
                  <to>
                    <xdr:col>8</xdr:col>
                    <xdr:colOff>0</xdr:colOff>
                    <xdr:row>46</xdr:row>
                    <xdr:rowOff>1524000</xdr:rowOff>
                  </to>
                </anchor>
              </controlPr>
            </control>
          </mc:Choice>
        </mc:AlternateContent>
        <mc:AlternateContent xmlns:mc="http://schemas.openxmlformats.org/markup-compatibility/2006">
          <mc:Choice Requires="x14">
            <control shapeId="196691" r:id="rId85" name="Option Button 83">
              <controlPr defaultSize="0" autoFill="0" autoLine="0" autoPict="0" altText="Case d'option 47">
                <anchor moveWithCells="1">
                  <from>
                    <xdr:col>7</xdr:col>
                    <xdr:colOff>106680</xdr:colOff>
                    <xdr:row>45</xdr:row>
                    <xdr:rowOff>68580</xdr:rowOff>
                  </from>
                  <to>
                    <xdr:col>7</xdr:col>
                    <xdr:colOff>1493520</xdr:colOff>
                    <xdr:row>45</xdr:row>
                    <xdr:rowOff>259080</xdr:rowOff>
                  </to>
                </anchor>
              </controlPr>
            </control>
          </mc:Choice>
        </mc:AlternateContent>
        <mc:AlternateContent xmlns:mc="http://schemas.openxmlformats.org/markup-compatibility/2006">
          <mc:Choice Requires="x14">
            <control shapeId="196692" r:id="rId86" name="Option Button 84">
              <controlPr defaultSize="0" autoFill="0" autoLine="0" autoPict="0">
                <anchor moveWithCells="1">
                  <from>
                    <xdr:col>7</xdr:col>
                    <xdr:colOff>106680</xdr:colOff>
                    <xdr:row>45</xdr:row>
                    <xdr:rowOff>304800</xdr:rowOff>
                  </from>
                  <to>
                    <xdr:col>7</xdr:col>
                    <xdr:colOff>1950720</xdr:colOff>
                    <xdr:row>45</xdr:row>
                    <xdr:rowOff>502920</xdr:rowOff>
                  </to>
                </anchor>
              </controlPr>
            </control>
          </mc:Choice>
        </mc:AlternateContent>
        <mc:AlternateContent xmlns:mc="http://schemas.openxmlformats.org/markup-compatibility/2006">
          <mc:Choice Requires="x14">
            <control shapeId="196693" r:id="rId87" name="Option Button 85">
              <controlPr defaultSize="0" autoFill="0" autoLine="0" autoPict="0">
                <anchor moveWithCells="1">
                  <from>
                    <xdr:col>7</xdr:col>
                    <xdr:colOff>106680</xdr:colOff>
                    <xdr:row>45</xdr:row>
                    <xdr:rowOff>579120</xdr:rowOff>
                  </from>
                  <to>
                    <xdr:col>7</xdr:col>
                    <xdr:colOff>1950720</xdr:colOff>
                    <xdr:row>45</xdr:row>
                    <xdr:rowOff>754380</xdr:rowOff>
                  </to>
                </anchor>
              </controlPr>
            </control>
          </mc:Choice>
        </mc:AlternateContent>
        <mc:AlternateContent xmlns:mc="http://schemas.openxmlformats.org/markup-compatibility/2006">
          <mc:Choice Requires="x14">
            <control shapeId="196694" r:id="rId88" name="Option Button 86">
              <controlPr defaultSize="0" autoFill="0" autoLine="0" autoPict="0">
                <anchor moveWithCells="1">
                  <from>
                    <xdr:col>7</xdr:col>
                    <xdr:colOff>106680</xdr:colOff>
                    <xdr:row>45</xdr:row>
                    <xdr:rowOff>822960</xdr:rowOff>
                  </from>
                  <to>
                    <xdr:col>7</xdr:col>
                    <xdr:colOff>937260</xdr:colOff>
                    <xdr:row>45</xdr:row>
                    <xdr:rowOff>1005840</xdr:rowOff>
                  </to>
                </anchor>
              </controlPr>
            </control>
          </mc:Choice>
        </mc:AlternateContent>
        <mc:AlternateContent xmlns:mc="http://schemas.openxmlformats.org/markup-compatibility/2006">
          <mc:Choice Requires="x14">
            <control shapeId="196695" r:id="rId89" name="Group Box 87">
              <controlPr defaultSize="0" autoFill="0" autoPict="0">
                <anchor mov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96696" r:id="rId90" name="Option Button 88">
              <controlPr defaultSize="0" autoFill="0" autoLine="0" autoPict="0">
                <anchor moveWithCells="1">
                  <from>
                    <xdr:col>7</xdr:col>
                    <xdr:colOff>114300</xdr:colOff>
                    <xdr:row>60</xdr:row>
                    <xdr:rowOff>144780</xdr:rowOff>
                  </from>
                  <to>
                    <xdr:col>7</xdr:col>
                    <xdr:colOff>1950720</xdr:colOff>
                    <xdr:row>60</xdr:row>
                    <xdr:rowOff>320040</xdr:rowOff>
                  </to>
                </anchor>
              </controlPr>
            </control>
          </mc:Choice>
        </mc:AlternateContent>
        <mc:AlternateContent xmlns:mc="http://schemas.openxmlformats.org/markup-compatibility/2006">
          <mc:Choice Requires="x14">
            <control shapeId="196697" r:id="rId91" name="Option Button 89">
              <controlPr defaultSize="0" autoFill="0" autoLine="0" autoPict="0">
                <anchor moveWithCells="1">
                  <from>
                    <xdr:col>7</xdr:col>
                    <xdr:colOff>114300</xdr:colOff>
                    <xdr:row>60</xdr:row>
                    <xdr:rowOff>396240</xdr:rowOff>
                  </from>
                  <to>
                    <xdr:col>7</xdr:col>
                    <xdr:colOff>1950720</xdr:colOff>
                    <xdr:row>60</xdr:row>
                    <xdr:rowOff>586740</xdr:rowOff>
                  </to>
                </anchor>
              </controlPr>
            </control>
          </mc:Choice>
        </mc:AlternateContent>
        <mc:AlternateContent xmlns:mc="http://schemas.openxmlformats.org/markup-compatibility/2006">
          <mc:Choice Requires="x14">
            <control shapeId="196698" r:id="rId92" name="Option Button 90">
              <controlPr defaultSize="0" autoFill="0" autoLine="0" autoPict="0">
                <anchor moveWithCells="1">
                  <from>
                    <xdr:col>7</xdr:col>
                    <xdr:colOff>114300</xdr:colOff>
                    <xdr:row>60</xdr:row>
                    <xdr:rowOff>640080</xdr:rowOff>
                  </from>
                  <to>
                    <xdr:col>7</xdr:col>
                    <xdr:colOff>1950720</xdr:colOff>
                    <xdr:row>60</xdr:row>
                    <xdr:rowOff>830580</xdr:rowOff>
                  </to>
                </anchor>
              </controlPr>
            </control>
          </mc:Choice>
        </mc:AlternateContent>
        <mc:AlternateContent xmlns:mc="http://schemas.openxmlformats.org/markup-compatibility/2006">
          <mc:Choice Requires="x14">
            <control shapeId="196699" r:id="rId93" name="Option Button 91">
              <controlPr defaultSize="0" autoFill="0" autoLine="0" autoPict="0">
                <anchor moveWithCells="1">
                  <from>
                    <xdr:col>7</xdr:col>
                    <xdr:colOff>114300</xdr:colOff>
                    <xdr:row>60</xdr:row>
                    <xdr:rowOff>922020</xdr:rowOff>
                  </from>
                  <to>
                    <xdr:col>7</xdr:col>
                    <xdr:colOff>1950720</xdr:colOff>
                    <xdr:row>60</xdr:row>
                    <xdr:rowOff>1112520</xdr:rowOff>
                  </to>
                </anchor>
              </controlPr>
            </control>
          </mc:Choice>
        </mc:AlternateContent>
        <mc:AlternateContent xmlns:mc="http://schemas.openxmlformats.org/markup-compatibility/2006">
          <mc:Choice Requires="x14">
            <control shapeId="196700" r:id="rId94" name="Group Box 92">
              <controlPr defaultSize="0" autoFill="0" autoPict="0">
                <anchor mov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96701" r:id="rId95" name="Option Button 93">
              <controlPr defaultSize="0" autoFill="0" autoLine="0" autoPict="0" altText="Case d'option 47">
                <anchor moveWithCells="1">
                  <from>
                    <xdr:col>7</xdr:col>
                    <xdr:colOff>106680</xdr:colOff>
                    <xdr:row>59</xdr:row>
                    <xdr:rowOff>68580</xdr:rowOff>
                  </from>
                  <to>
                    <xdr:col>7</xdr:col>
                    <xdr:colOff>1493520</xdr:colOff>
                    <xdr:row>59</xdr:row>
                    <xdr:rowOff>259080</xdr:rowOff>
                  </to>
                </anchor>
              </controlPr>
            </control>
          </mc:Choice>
        </mc:AlternateContent>
        <mc:AlternateContent xmlns:mc="http://schemas.openxmlformats.org/markup-compatibility/2006">
          <mc:Choice Requires="x14">
            <control shapeId="196702" r:id="rId96" name="Option Button 94">
              <controlPr defaultSize="0" autoFill="0" autoLine="0" autoPict="0">
                <anchor moveWithCells="1">
                  <from>
                    <xdr:col>7</xdr:col>
                    <xdr:colOff>106680</xdr:colOff>
                    <xdr:row>59</xdr:row>
                    <xdr:rowOff>304800</xdr:rowOff>
                  </from>
                  <to>
                    <xdr:col>7</xdr:col>
                    <xdr:colOff>1950720</xdr:colOff>
                    <xdr:row>59</xdr:row>
                    <xdr:rowOff>502920</xdr:rowOff>
                  </to>
                </anchor>
              </controlPr>
            </control>
          </mc:Choice>
        </mc:AlternateContent>
        <mc:AlternateContent xmlns:mc="http://schemas.openxmlformats.org/markup-compatibility/2006">
          <mc:Choice Requires="x14">
            <control shapeId="196703" r:id="rId97" name="Option Button 95">
              <controlPr defaultSize="0" autoFill="0" autoLine="0" autoPict="0">
                <anchor moveWithCells="1">
                  <from>
                    <xdr:col>7</xdr:col>
                    <xdr:colOff>106680</xdr:colOff>
                    <xdr:row>59</xdr:row>
                    <xdr:rowOff>579120</xdr:rowOff>
                  </from>
                  <to>
                    <xdr:col>7</xdr:col>
                    <xdr:colOff>1950720</xdr:colOff>
                    <xdr:row>59</xdr:row>
                    <xdr:rowOff>754380</xdr:rowOff>
                  </to>
                </anchor>
              </controlPr>
            </control>
          </mc:Choice>
        </mc:AlternateContent>
        <mc:AlternateContent xmlns:mc="http://schemas.openxmlformats.org/markup-compatibility/2006">
          <mc:Choice Requires="x14">
            <control shapeId="196704" r:id="rId98" name="Option Button 96">
              <controlPr defaultSize="0" autoFill="0" autoLine="0" autoPict="0">
                <anchor moveWithCells="1">
                  <from>
                    <xdr:col>7</xdr:col>
                    <xdr:colOff>106680</xdr:colOff>
                    <xdr:row>59</xdr:row>
                    <xdr:rowOff>822960</xdr:rowOff>
                  </from>
                  <to>
                    <xdr:col>7</xdr:col>
                    <xdr:colOff>937260</xdr:colOff>
                    <xdr:row>59</xdr:row>
                    <xdr:rowOff>1005840</xdr:rowOff>
                  </to>
                </anchor>
              </controlPr>
            </control>
          </mc:Choice>
        </mc:AlternateContent>
        <mc:AlternateContent xmlns:mc="http://schemas.openxmlformats.org/markup-compatibility/2006">
          <mc:Choice Requires="x14">
            <control shapeId="196705" r:id="rId99" name="Group Box 97">
              <controlPr defaultSize="0" autoFill="0" autoPict="0">
                <anchor mov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96706" r:id="rId100" name="Group Box 98">
              <controlPr defaultSize="0" autoFill="0" autoPict="0" altText="">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196707" r:id="rId101" name="Option Button 99">
              <controlPr defaultSize="0" autoFill="0" autoLine="0" autoPict="0">
                <anchor moveWithCells="1">
                  <from>
                    <xdr:col>7</xdr:col>
                    <xdr:colOff>114300</xdr:colOff>
                    <xdr:row>63</xdr:row>
                    <xdr:rowOff>144780</xdr:rowOff>
                  </from>
                  <to>
                    <xdr:col>7</xdr:col>
                    <xdr:colOff>1950720</xdr:colOff>
                    <xdr:row>63</xdr:row>
                    <xdr:rowOff>320040</xdr:rowOff>
                  </to>
                </anchor>
              </controlPr>
            </control>
          </mc:Choice>
        </mc:AlternateContent>
        <mc:AlternateContent xmlns:mc="http://schemas.openxmlformats.org/markup-compatibility/2006">
          <mc:Choice Requires="x14">
            <control shapeId="196708" r:id="rId102" name="Option Button 100">
              <controlPr defaultSize="0" autoFill="0" autoLine="0" autoPict="0">
                <anchor moveWithCells="1">
                  <from>
                    <xdr:col>7</xdr:col>
                    <xdr:colOff>114300</xdr:colOff>
                    <xdr:row>63</xdr:row>
                    <xdr:rowOff>396240</xdr:rowOff>
                  </from>
                  <to>
                    <xdr:col>7</xdr:col>
                    <xdr:colOff>1950720</xdr:colOff>
                    <xdr:row>63</xdr:row>
                    <xdr:rowOff>586740</xdr:rowOff>
                  </to>
                </anchor>
              </controlPr>
            </control>
          </mc:Choice>
        </mc:AlternateContent>
        <mc:AlternateContent xmlns:mc="http://schemas.openxmlformats.org/markup-compatibility/2006">
          <mc:Choice Requires="x14">
            <control shapeId="196709" r:id="rId103" name="Option Button 101">
              <controlPr defaultSize="0" autoFill="0" autoLine="0" autoPict="0">
                <anchor moveWithCells="1">
                  <from>
                    <xdr:col>7</xdr:col>
                    <xdr:colOff>114300</xdr:colOff>
                    <xdr:row>63</xdr:row>
                    <xdr:rowOff>640080</xdr:rowOff>
                  </from>
                  <to>
                    <xdr:col>7</xdr:col>
                    <xdr:colOff>1950720</xdr:colOff>
                    <xdr:row>63</xdr:row>
                    <xdr:rowOff>830580</xdr:rowOff>
                  </to>
                </anchor>
              </controlPr>
            </control>
          </mc:Choice>
        </mc:AlternateContent>
        <mc:AlternateContent xmlns:mc="http://schemas.openxmlformats.org/markup-compatibility/2006">
          <mc:Choice Requires="x14">
            <control shapeId="196710" r:id="rId104" name="Option Button 102">
              <controlPr defaultSize="0" autoFill="0" autoLine="0" autoPict="0">
                <anchor moveWithCells="1">
                  <from>
                    <xdr:col>7</xdr:col>
                    <xdr:colOff>114300</xdr:colOff>
                    <xdr:row>63</xdr:row>
                    <xdr:rowOff>922020</xdr:rowOff>
                  </from>
                  <to>
                    <xdr:col>7</xdr:col>
                    <xdr:colOff>1950720</xdr:colOff>
                    <xdr:row>63</xdr:row>
                    <xdr:rowOff>1112520</xdr:rowOff>
                  </to>
                </anchor>
              </controlPr>
            </control>
          </mc:Choice>
        </mc:AlternateContent>
        <mc:AlternateContent xmlns:mc="http://schemas.openxmlformats.org/markup-compatibility/2006">
          <mc:Choice Requires="x14">
            <control shapeId="196711" r:id="rId105" name="Group Box 103">
              <controlPr defaultSize="0" autoFill="0" autoPict="0">
                <anchor mov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96712" r:id="rId106" name="Option Button 104">
              <controlPr defaultSize="0" autoFill="0" autoLine="0" autoPict="0" altText="Case d'option 47">
                <anchor moveWithCells="1">
                  <from>
                    <xdr:col>7</xdr:col>
                    <xdr:colOff>106680</xdr:colOff>
                    <xdr:row>62</xdr:row>
                    <xdr:rowOff>68580</xdr:rowOff>
                  </from>
                  <to>
                    <xdr:col>7</xdr:col>
                    <xdr:colOff>1493520</xdr:colOff>
                    <xdr:row>62</xdr:row>
                    <xdr:rowOff>259080</xdr:rowOff>
                  </to>
                </anchor>
              </controlPr>
            </control>
          </mc:Choice>
        </mc:AlternateContent>
        <mc:AlternateContent xmlns:mc="http://schemas.openxmlformats.org/markup-compatibility/2006">
          <mc:Choice Requires="x14">
            <control shapeId="196713" r:id="rId107" name="Option Button 105">
              <controlPr defaultSize="0" autoFill="0" autoLine="0" autoPict="0">
                <anchor moveWithCells="1">
                  <from>
                    <xdr:col>7</xdr:col>
                    <xdr:colOff>106680</xdr:colOff>
                    <xdr:row>62</xdr:row>
                    <xdr:rowOff>304800</xdr:rowOff>
                  </from>
                  <to>
                    <xdr:col>7</xdr:col>
                    <xdr:colOff>1950720</xdr:colOff>
                    <xdr:row>62</xdr:row>
                    <xdr:rowOff>502920</xdr:rowOff>
                  </to>
                </anchor>
              </controlPr>
            </control>
          </mc:Choice>
        </mc:AlternateContent>
        <mc:AlternateContent xmlns:mc="http://schemas.openxmlformats.org/markup-compatibility/2006">
          <mc:Choice Requires="x14">
            <control shapeId="196714" r:id="rId108" name="Option Button 106">
              <controlPr defaultSize="0" autoFill="0" autoLine="0" autoPict="0">
                <anchor moveWithCells="1">
                  <from>
                    <xdr:col>7</xdr:col>
                    <xdr:colOff>106680</xdr:colOff>
                    <xdr:row>62</xdr:row>
                    <xdr:rowOff>579120</xdr:rowOff>
                  </from>
                  <to>
                    <xdr:col>7</xdr:col>
                    <xdr:colOff>1950720</xdr:colOff>
                    <xdr:row>62</xdr:row>
                    <xdr:rowOff>754380</xdr:rowOff>
                  </to>
                </anchor>
              </controlPr>
            </control>
          </mc:Choice>
        </mc:AlternateContent>
        <mc:AlternateContent xmlns:mc="http://schemas.openxmlformats.org/markup-compatibility/2006">
          <mc:Choice Requires="x14">
            <control shapeId="196715" r:id="rId109" name="Option Button 107">
              <controlPr defaultSize="0" autoFill="0" autoLine="0" autoPict="0">
                <anchor moveWithCells="1">
                  <from>
                    <xdr:col>7</xdr:col>
                    <xdr:colOff>106680</xdr:colOff>
                    <xdr:row>62</xdr:row>
                    <xdr:rowOff>822960</xdr:rowOff>
                  </from>
                  <to>
                    <xdr:col>7</xdr:col>
                    <xdr:colOff>937260</xdr:colOff>
                    <xdr:row>62</xdr:row>
                    <xdr:rowOff>1005840</xdr:rowOff>
                  </to>
                </anchor>
              </controlPr>
            </control>
          </mc:Choice>
        </mc:AlternateContent>
        <mc:AlternateContent xmlns:mc="http://schemas.openxmlformats.org/markup-compatibility/2006">
          <mc:Choice Requires="x14">
            <control shapeId="196716" r:id="rId110" name="Group Box 108">
              <controlPr defaultSize="0" autoFill="0" autoPict="0">
                <anchor moveWithCells="1">
                  <from>
                    <xdr:col>7</xdr:col>
                    <xdr:colOff>0</xdr:colOff>
                    <xdr:row>62</xdr:row>
                    <xdr:rowOff>0</xdr:rowOff>
                  </from>
                  <to>
                    <xdr:col>8</xdr:col>
                    <xdr:colOff>0</xdr:colOff>
                    <xdr:row>63</xdr:row>
                    <xdr:rowOff>0</xdr:rowOff>
                  </to>
                </anchor>
              </controlPr>
            </control>
          </mc:Choice>
        </mc:AlternateContent>
        <mc:AlternateContent xmlns:mc="http://schemas.openxmlformats.org/markup-compatibility/2006">
          <mc:Choice Requires="x14">
            <control shapeId="196717" r:id="rId111" name="Option Button 109">
              <controlPr defaultSize="0" autoFill="0" autoLine="0" autoPict="0" altText="Case d'option 47">
                <anchor moveWithCells="1">
                  <from>
                    <xdr:col>7</xdr:col>
                    <xdr:colOff>106680</xdr:colOff>
                    <xdr:row>61</xdr:row>
                    <xdr:rowOff>68580</xdr:rowOff>
                  </from>
                  <to>
                    <xdr:col>7</xdr:col>
                    <xdr:colOff>1493520</xdr:colOff>
                    <xdr:row>61</xdr:row>
                    <xdr:rowOff>259080</xdr:rowOff>
                  </to>
                </anchor>
              </controlPr>
            </control>
          </mc:Choice>
        </mc:AlternateContent>
        <mc:AlternateContent xmlns:mc="http://schemas.openxmlformats.org/markup-compatibility/2006">
          <mc:Choice Requires="x14">
            <control shapeId="196718" r:id="rId112" name="Option Button 110">
              <controlPr defaultSize="0" autoFill="0" autoLine="0" autoPict="0">
                <anchor moveWithCells="1">
                  <from>
                    <xdr:col>7</xdr:col>
                    <xdr:colOff>106680</xdr:colOff>
                    <xdr:row>61</xdr:row>
                    <xdr:rowOff>304800</xdr:rowOff>
                  </from>
                  <to>
                    <xdr:col>7</xdr:col>
                    <xdr:colOff>1950720</xdr:colOff>
                    <xdr:row>61</xdr:row>
                    <xdr:rowOff>502920</xdr:rowOff>
                  </to>
                </anchor>
              </controlPr>
            </control>
          </mc:Choice>
        </mc:AlternateContent>
        <mc:AlternateContent xmlns:mc="http://schemas.openxmlformats.org/markup-compatibility/2006">
          <mc:Choice Requires="x14">
            <control shapeId="196719" r:id="rId113" name="Option Button 111">
              <controlPr defaultSize="0" autoFill="0" autoLine="0" autoPict="0">
                <anchor moveWithCells="1">
                  <from>
                    <xdr:col>7</xdr:col>
                    <xdr:colOff>106680</xdr:colOff>
                    <xdr:row>61</xdr:row>
                    <xdr:rowOff>579120</xdr:rowOff>
                  </from>
                  <to>
                    <xdr:col>7</xdr:col>
                    <xdr:colOff>1950720</xdr:colOff>
                    <xdr:row>61</xdr:row>
                    <xdr:rowOff>754380</xdr:rowOff>
                  </to>
                </anchor>
              </controlPr>
            </control>
          </mc:Choice>
        </mc:AlternateContent>
        <mc:AlternateContent xmlns:mc="http://schemas.openxmlformats.org/markup-compatibility/2006">
          <mc:Choice Requires="x14">
            <control shapeId="196720" r:id="rId114" name="Option Button 112">
              <controlPr defaultSize="0" autoFill="0" autoLine="0" autoPict="0">
                <anchor moveWithCells="1">
                  <from>
                    <xdr:col>7</xdr:col>
                    <xdr:colOff>106680</xdr:colOff>
                    <xdr:row>61</xdr:row>
                    <xdr:rowOff>822960</xdr:rowOff>
                  </from>
                  <to>
                    <xdr:col>7</xdr:col>
                    <xdr:colOff>937260</xdr:colOff>
                    <xdr:row>61</xdr:row>
                    <xdr:rowOff>1005840</xdr:rowOff>
                  </to>
                </anchor>
              </controlPr>
            </control>
          </mc:Choice>
        </mc:AlternateContent>
        <mc:AlternateContent xmlns:mc="http://schemas.openxmlformats.org/markup-compatibility/2006">
          <mc:Choice Requires="x14">
            <control shapeId="196721" r:id="rId115" name="Group Box 113">
              <controlPr defaultSize="0" autoFill="0" autoPict="0">
                <anchor mov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96722" r:id="rId116" name="Option Button 114">
              <controlPr defaultSize="0" autoFill="0" autoLine="0" autoPict="0" altText="Case d'option 47">
                <anchor moveWithCells="1">
                  <from>
                    <xdr:col>7</xdr:col>
                    <xdr:colOff>106680</xdr:colOff>
                    <xdr:row>64</xdr:row>
                    <xdr:rowOff>68580</xdr:rowOff>
                  </from>
                  <to>
                    <xdr:col>7</xdr:col>
                    <xdr:colOff>1493520</xdr:colOff>
                    <xdr:row>64</xdr:row>
                    <xdr:rowOff>259080</xdr:rowOff>
                  </to>
                </anchor>
              </controlPr>
            </control>
          </mc:Choice>
        </mc:AlternateContent>
        <mc:AlternateContent xmlns:mc="http://schemas.openxmlformats.org/markup-compatibility/2006">
          <mc:Choice Requires="x14">
            <control shapeId="196723" r:id="rId117" name="Option Button 115">
              <controlPr defaultSize="0" autoFill="0" autoLine="0" autoPict="0">
                <anchor moveWithCells="1">
                  <from>
                    <xdr:col>7</xdr:col>
                    <xdr:colOff>106680</xdr:colOff>
                    <xdr:row>64</xdr:row>
                    <xdr:rowOff>304800</xdr:rowOff>
                  </from>
                  <to>
                    <xdr:col>7</xdr:col>
                    <xdr:colOff>1950720</xdr:colOff>
                    <xdr:row>64</xdr:row>
                    <xdr:rowOff>502920</xdr:rowOff>
                  </to>
                </anchor>
              </controlPr>
            </control>
          </mc:Choice>
        </mc:AlternateContent>
        <mc:AlternateContent xmlns:mc="http://schemas.openxmlformats.org/markup-compatibility/2006">
          <mc:Choice Requires="x14">
            <control shapeId="196724" r:id="rId118" name="Option Button 116">
              <controlPr defaultSize="0" autoFill="0" autoLine="0" autoPict="0">
                <anchor moveWithCells="1">
                  <from>
                    <xdr:col>7</xdr:col>
                    <xdr:colOff>106680</xdr:colOff>
                    <xdr:row>64</xdr:row>
                    <xdr:rowOff>579120</xdr:rowOff>
                  </from>
                  <to>
                    <xdr:col>7</xdr:col>
                    <xdr:colOff>1950720</xdr:colOff>
                    <xdr:row>64</xdr:row>
                    <xdr:rowOff>754380</xdr:rowOff>
                  </to>
                </anchor>
              </controlPr>
            </control>
          </mc:Choice>
        </mc:AlternateContent>
        <mc:AlternateContent xmlns:mc="http://schemas.openxmlformats.org/markup-compatibility/2006">
          <mc:Choice Requires="x14">
            <control shapeId="196725" r:id="rId119" name="Option Button 117">
              <controlPr defaultSize="0" autoFill="0" autoLine="0" autoPict="0">
                <anchor moveWithCells="1">
                  <from>
                    <xdr:col>7</xdr:col>
                    <xdr:colOff>106680</xdr:colOff>
                    <xdr:row>64</xdr:row>
                    <xdr:rowOff>822960</xdr:rowOff>
                  </from>
                  <to>
                    <xdr:col>7</xdr:col>
                    <xdr:colOff>937260</xdr:colOff>
                    <xdr:row>64</xdr:row>
                    <xdr:rowOff>1005840</xdr:rowOff>
                  </to>
                </anchor>
              </controlPr>
            </control>
          </mc:Choice>
        </mc:AlternateContent>
        <mc:AlternateContent xmlns:mc="http://schemas.openxmlformats.org/markup-compatibility/2006">
          <mc:Choice Requires="x14">
            <control shapeId="196726" r:id="rId120" name="Group Box 118">
              <controlPr defaultSize="0" autoFill="0" autoPict="0">
                <anchor mov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196727" r:id="rId121" name="Option Button 119">
              <controlPr defaultSize="0" autoFill="0" autoLine="0" autoPict="0">
                <anchor moveWithCells="1">
                  <from>
                    <xdr:col>7</xdr:col>
                    <xdr:colOff>114300</xdr:colOff>
                    <xdr:row>78</xdr:row>
                    <xdr:rowOff>144780</xdr:rowOff>
                  </from>
                  <to>
                    <xdr:col>7</xdr:col>
                    <xdr:colOff>1950720</xdr:colOff>
                    <xdr:row>78</xdr:row>
                    <xdr:rowOff>320040</xdr:rowOff>
                  </to>
                </anchor>
              </controlPr>
            </control>
          </mc:Choice>
        </mc:AlternateContent>
        <mc:AlternateContent xmlns:mc="http://schemas.openxmlformats.org/markup-compatibility/2006">
          <mc:Choice Requires="x14">
            <control shapeId="196728" r:id="rId122" name="Option Button 120">
              <controlPr defaultSize="0" autoFill="0" autoLine="0" autoPict="0">
                <anchor moveWithCells="1">
                  <from>
                    <xdr:col>7</xdr:col>
                    <xdr:colOff>114300</xdr:colOff>
                    <xdr:row>78</xdr:row>
                    <xdr:rowOff>396240</xdr:rowOff>
                  </from>
                  <to>
                    <xdr:col>7</xdr:col>
                    <xdr:colOff>1950720</xdr:colOff>
                    <xdr:row>78</xdr:row>
                    <xdr:rowOff>586740</xdr:rowOff>
                  </to>
                </anchor>
              </controlPr>
            </control>
          </mc:Choice>
        </mc:AlternateContent>
        <mc:AlternateContent xmlns:mc="http://schemas.openxmlformats.org/markup-compatibility/2006">
          <mc:Choice Requires="x14">
            <control shapeId="196729" r:id="rId123" name="Option Button 121">
              <controlPr defaultSize="0" autoFill="0" autoLine="0" autoPict="0">
                <anchor moveWithCells="1">
                  <from>
                    <xdr:col>7</xdr:col>
                    <xdr:colOff>114300</xdr:colOff>
                    <xdr:row>78</xdr:row>
                    <xdr:rowOff>640080</xdr:rowOff>
                  </from>
                  <to>
                    <xdr:col>7</xdr:col>
                    <xdr:colOff>1950720</xdr:colOff>
                    <xdr:row>78</xdr:row>
                    <xdr:rowOff>830580</xdr:rowOff>
                  </to>
                </anchor>
              </controlPr>
            </control>
          </mc:Choice>
        </mc:AlternateContent>
        <mc:AlternateContent xmlns:mc="http://schemas.openxmlformats.org/markup-compatibility/2006">
          <mc:Choice Requires="x14">
            <control shapeId="196730" r:id="rId124" name="Option Button 122">
              <controlPr defaultSize="0" autoFill="0" autoLine="0" autoPict="0">
                <anchor moveWithCells="1">
                  <from>
                    <xdr:col>7</xdr:col>
                    <xdr:colOff>114300</xdr:colOff>
                    <xdr:row>78</xdr:row>
                    <xdr:rowOff>922020</xdr:rowOff>
                  </from>
                  <to>
                    <xdr:col>7</xdr:col>
                    <xdr:colOff>1950720</xdr:colOff>
                    <xdr:row>78</xdr:row>
                    <xdr:rowOff>1112520</xdr:rowOff>
                  </to>
                </anchor>
              </controlPr>
            </control>
          </mc:Choice>
        </mc:AlternateContent>
        <mc:AlternateContent xmlns:mc="http://schemas.openxmlformats.org/markup-compatibility/2006">
          <mc:Choice Requires="x14">
            <control shapeId="196731" r:id="rId125" name="Group Box 123">
              <controlPr defaultSize="0" autoFill="0" autoPict="0">
                <anchor mov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96732" r:id="rId126" name="Option Button 124">
              <controlPr defaultSize="0" autoFill="0" autoLine="0" autoPict="0" altText="Case d'option 47">
                <anchor moveWithCells="1">
                  <from>
                    <xdr:col>7</xdr:col>
                    <xdr:colOff>106680</xdr:colOff>
                    <xdr:row>77</xdr:row>
                    <xdr:rowOff>68580</xdr:rowOff>
                  </from>
                  <to>
                    <xdr:col>7</xdr:col>
                    <xdr:colOff>1493520</xdr:colOff>
                    <xdr:row>77</xdr:row>
                    <xdr:rowOff>259080</xdr:rowOff>
                  </to>
                </anchor>
              </controlPr>
            </control>
          </mc:Choice>
        </mc:AlternateContent>
        <mc:AlternateContent xmlns:mc="http://schemas.openxmlformats.org/markup-compatibility/2006">
          <mc:Choice Requires="x14">
            <control shapeId="196733" r:id="rId127" name="Option Button 125">
              <controlPr defaultSize="0" autoFill="0" autoLine="0" autoPict="0">
                <anchor moveWithCells="1">
                  <from>
                    <xdr:col>7</xdr:col>
                    <xdr:colOff>106680</xdr:colOff>
                    <xdr:row>77</xdr:row>
                    <xdr:rowOff>304800</xdr:rowOff>
                  </from>
                  <to>
                    <xdr:col>7</xdr:col>
                    <xdr:colOff>1950720</xdr:colOff>
                    <xdr:row>77</xdr:row>
                    <xdr:rowOff>502920</xdr:rowOff>
                  </to>
                </anchor>
              </controlPr>
            </control>
          </mc:Choice>
        </mc:AlternateContent>
        <mc:AlternateContent xmlns:mc="http://schemas.openxmlformats.org/markup-compatibility/2006">
          <mc:Choice Requires="x14">
            <control shapeId="196734" r:id="rId128" name="Option Button 126">
              <controlPr defaultSize="0" autoFill="0" autoLine="0" autoPict="0">
                <anchor moveWithCells="1">
                  <from>
                    <xdr:col>7</xdr:col>
                    <xdr:colOff>106680</xdr:colOff>
                    <xdr:row>77</xdr:row>
                    <xdr:rowOff>579120</xdr:rowOff>
                  </from>
                  <to>
                    <xdr:col>7</xdr:col>
                    <xdr:colOff>1950720</xdr:colOff>
                    <xdr:row>77</xdr:row>
                    <xdr:rowOff>754380</xdr:rowOff>
                  </to>
                </anchor>
              </controlPr>
            </control>
          </mc:Choice>
        </mc:AlternateContent>
        <mc:AlternateContent xmlns:mc="http://schemas.openxmlformats.org/markup-compatibility/2006">
          <mc:Choice Requires="x14">
            <control shapeId="196735" r:id="rId129" name="Option Button 127">
              <controlPr defaultSize="0" autoFill="0" autoLine="0" autoPict="0">
                <anchor moveWithCells="1">
                  <from>
                    <xdr:col>7</xdr:col>
                    <xdr:colOff>106680</xdr:colOff>
                    <xdr:row>77</xdr:row>
                    <xdr:rowOff>822960</xdr:rowOff>
                  </from>
                  <to>
                    <xdr:col>7</xdr:col>
                    <xdr:colOff>937260</xdr:colOff>
                    <xdr:row>77</xdr:row>
                    <xdr:rowOff>1005840</xdr:rowOff>
                  </to>
                </anchor>
              </controlPr>
            </control>
          </mc:Choice>
        </mc:AlternateContent>
        <mc:AlternateContent xmlns:mc="http://schemas.openxmlformats.org/markup-compatibility/2006">
          <mc:Choice Requires="x14">
            <control shapeId="196736" r:id="rId130" name="Group Box 128">
              <controlPr defaultSize="0" autoFill="0" autoPict="0">
                <anchor mov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96737" r:id="rId131" name="Option Button 129">
              <controlPr defaultSize="0" autoFill="0" autoLine="0" autoPict="0">
                <anchor moveWithCells="1">
                  <from>
                    <xdr:col>7</xdr:col>
                    <xdr:colOff>114300</xdr:colOff>
                    <xdr:row>81</xdr:row>
                    <xdr:rowOff>144780</xdr:rowOff>
                  </from>
                  <to>
                    <xdr:col>7</xdr:col>
                    <xdr:colOff>1950720</xdr:colOff>
                    <xdr:row>81</xdr:row>
                    <xdr:rowOff>320040</xdr:rowOff>
                  </to>
                </anchor>
              </controlPr>
            </control>
          </mc:Choice>
        </mc:AlternateContent>
        <mc:AlternateContent xmlns:mc="http://schemas.openxmlformats.org/markup-compatibility/2006">
          <mc:Choice Requires="x14">
            <control shapeId="196738" r:id="rId132" name="Option Button 130">
              <controlPr defaultSize="0" autoFill="0" autoLine="0" autoPict="0">
                <anchor moveWithCells="1">
                  <from>
                    <xdr:col>7</xdr:col>
                    <xdr:colOff>114300</xdr:colOff>
                    <xdr:row>81</xdr:row>
                    <xdr:rowOff>396240</xdr:rowOff>
                  </from>
                  <to>
                    <xdr:col>7</xdr:col>
                    <xdr:colOff>1950720</xdr:colOff>
                    <xdr:row>81</xdr:row>
                    <xdr:rowOff>586740</xdr:rowOff>
                  </to>
                </anchor>
              </controlPr>
            </control>
          </mc:Choice>
        </mc:AlternateContent>
        <mc:AlternateContent xmlns:mc="http://schemas.openxmlformats.org/markup-compatibility/2006">
          <mc:Choice Requires="x14">
            <control shapeId="196739" r:id="rId133" name="Option Button 131">
              <controlPr defaultSize="0" autoFill="0" autoLine="0" autoPict="0">
                <anchor moveWithCells="1">
                  <from>
                    <xdr:col>7</xdr:col>
                    <xdr:colOff>114300</xdr:colOff>
                    <xdr:row>81</xdr:row>
                    <xdr:rowOff>640080</xdr:rowOff>
                  </from>
                  <to>
                    <xdr:col>7</xdr:col>
                    <xdr:colOff>1950720</xdr:colOff>
                    <xdr:row>81</xdr:row>
                    <xdr:rowOff>830580</xdr:rowOff>
                  </to>
                </anchor>
              </controlPr>
            </control>
          </mc:Choice>
        </mc:AlternateContent>
        <mc:AlternateContent xmlns:mc="http://schemas.openxmlformats.org/markup-compatibility/2006">
          <mc:Choice Requires="x14">
            <control shapeId="196740" r:id="rId134" name="Option Button 132">
              <controlPr defaultSize="0" autoFill="0" autoLine="0" autoPict="0">
                <anchor moveWithCells="1">
                  <from>
                    <xdr:col>7</xdr:col>
                    <xdr:colOff>114300</xdr:colOff>
                    <xdr:row>81</xdr:row>
                    <xdr:rowOff>922020</xdr:rowOff>
                  </from>
                  <to>
                    <xdr:col>7</xdr:col>
                    <xdr:colOff>1950720</xdr:colOff>
                    <xdr:row>81</xdr:row>
                    <xdr:rowOff>1112520</xdr:rowOff>
                  </to>
                </anchor>
              </controlPr>
            </control>
          </mc:Choice>
        </mc:AlternateContent>
        <mc:AlternateContent xmlns:mc="http://schemas.openxmlformats.org/markup-compatibility/2006">
          <mc:Choice Requires="x14">
            <control shapeId="196741" r:id="rId135" name="Group Box 133">
              <controlPr defaultSize="0" autoFill="0" autoPict="0">
                <anchor mov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196742" r:id="rId136" name="Option Button 134">
              <controlPr defaultSize="0" autoFill="0" autoLine="0" autoPict="0" altText="Case d'option 47">
                <anchor moveWithCells="1">
                  <from>
                    <xdr:col>7</xdr:col>
                    <xdr:colOff>106680</xdr:colOff>
                    <xdr:row>80</xdr:row>
                    <xdr:rowOff>68580</xdr:rowOff>
                  </from>
                  <to>
                    <xdr:col>7</xdr:col>
                    <xdr:colOff>1493520</xdr:colOff>
                    <xdr:row>80</xdr:row>
                    <xdr:rowOff>259080</xdr:rowOff>
                  </to>
                </anchor>
              </controlPr>
            </control>
          </mc:Choice>
        </mc:AlternateContent>
        <mc:AlternateContent xmlns:mc="http://schemas.openxmlformats.org/markup-compatibility/2006">
          <mc:Choice Requires="x14">
            <control shapeId="196743" r:id="rId137" name="Option Button 135">
              <controlPr defaultSize="0" autoFill="0" autoLine="0" autoPict="0">
                <anchor moveWithCells="1">
                  <from>
                    <xdr:col>7</xdr:col>
                    <xdr:colOff>106680</xdr:colOff>
                    <xdr:row>80</xdr:row>
                    <xdr:rowOff>304800</xdr:rowOff>
                  </from>
                  <to>
                    <xdr:col>7</xdr:col>
                    <xdr:colOff>1950720</xdr:colOff>
                    <xdr:row>80</xdr:row>
                    <xdr:rowOff>502920</xdr:rowOff>
                  </to>
                </anchor>
              </controlPr>
            </control>
          </mc:Choice>
        </mc:AlternateContent>
        <mc:AlternateContent xmlns:mc="http://schemas.openxmlformats.org/markup-compatibility/2006">
          <mc:Choice Requires="x14">
            <control shapeId="196744" r:id="rId138" name="Option Button 136">
              <controlPr defaultSize="0" autoFill="0" autoLine="0" autoPict="0">
                <anchor moveWithCells="1">
                  <from>
                    <xdr:col>7</xdr:col>
                    <xdr:colOff>106680</xdr:colOff>
                    <xdr:row>80</xdr:row>
                    <xdr:rowOff>579120</xdr:rowOff>
                  </from>
                  <to>
                    <xdr:col>7</xdr:col>
                    <xdr:colOff>1950720</xdr:colOff>
                    <xdr:row>80</xdr:row>
                    <xdr:rowOff>754380</xdr:rowOff>
                  </to>
                </anchor>
              </controlPr>
            </control>
          </mc:Choice>
        </mc:AlternateContent>
        <mc:AlternateContent xmlns:mc="http://schemas.openxmlformats.org/markup-compatibility/2006">
          <mc:Choice Requires="x14">
            <control shapeId="196745" r:id="rId139" name="Option Button 137">
              <controlPr defaultSize="0" autoFill="0" autoLine="0" autoPict="0">
                <anchor moveWithCells="1">
                  <from>
                    <xdr:col>7</xdr:col>
                    <xdr:colOff>106680</xdr:colOff>
                    <xdr:row>80</xdr:row>
                    <xdr:rowOff>822960</xdr:rowOff>
                  </from>
                  <to>
                    <xdr:col>7</xdr:col>
                    <xdr:colOff>937260</xdr:colOff>
                    <xdr:row>80</xdr:row>
                    <xdr:rowOff>1005840</xdr:rowOff>
                  </to>
                </anchor>
              </controlPr>
            </control>
          </mc:Choice>
        </mc:AlternateContent>
        <mc:AlternateContent xmlns:mc="http://schemas.openxmlformats.org/markup-compatibility/2006">
          <mc:Choice Requires="x14">
            <control shapeId="196746" r:id="rId140" name="Group Box 138">
              <controlPr defaultSize="0" autoFill="0" autoPict="0">
                <anchor moveWithCells="1">
                  <from>
                    <xdr:col>7</xdr:col>
                    <xdr:colOff>0</xdr:colOff>
                    <xdr:row>80</xdr:row>
                    <xdr:rowOff>0</xdr:rowOff>
                  </from>
                  <to>
                    <xdr:col>8</xdr:col>
                    <xdr:colOff>0</xdr:colOff>
                    <xdr:row>81</xdr:row>
                    <xdr:rowOff>0</xdr:rowOff>
                  </to>
                </anchor>
              </controlPr>
            </control>
          </mc:Choice>
        </mc:AlternateContent>
        <mc:AlternateContent xmlns:mc="http://schemas.openxmlformats.org/markup-compatibility/2006">
          <mc:Choice Requires="x14">
            <control shapeId="196747" r:id="rId141" name="Option Button 139">
              <controlPr defaultSize="0" autoFill="0" autoLine="0" autoPict="0" altText="Case d'option 47">
                <anchor moveWithCells="1">
                  <from>
                    <xdr:col>7</xdr:col>
                    <xdr:colOff>106680</xdr:colOff>
                    <xdr:row>79</xdr:row>
                    <xdr:rowOff>68580</xdr:rowOff>
                  </from>
                  <to>
                    <xdr:col>7</xdr:col>
                    <xdr:colOff>1493520</xdr:colOff>
                    <xdr:row>79</xdr:row>
                    <xdr:rowOff>259080</xdr:rowOff>
                  </to>
                </anchor>
              </controlPr>
            </control>
          </mc:Choice>
        </mc:AlternateContent>
        <mc:AlternateContent xmlns:mc="http://schemas.openxmlformats.org/markup-compatibility/2006">
          <mc:Choice Requires="x14">
            <control shapeId="196748" r:id="rId142" name="Option Button 140">
              <controlPr defaultSize="0" autoFill="0" autoLine="0" autoPict="0">
                <anchor moveWithCells="1">
                  <from>
                    <xdr:col>7</xdr:col>
                    <xdr:colOff>106680</xdr:colOff>
                    <xdr:row>79</xdr:row>
                    <xdr:rowOff>304800</xdr:rowOff>
                  </from>
                  <to>
                    <xdr:col>7</xdr:col>
                    <xdr:colOff>1950720</xdr:colOff>
                    <xdr:row>79</xdr:row>
                    <xdr:rowOff>502920</xdr:rowOff>
                  </to>
                </anchor>
              </controlPr>
            </control>
          </mc:Choice>
        </mc:AlternateContent>
        <mc:AlternateContent xmlns:mc="http://schemas.openxmlformats.org/markup-compatibility/2006">
          <mc:Choice Requires="x14">
            <control shapeId="196749" r:id="rId143" name="Option Button 141">
              <controlPr defaultSize="0" autoFill="0" autoLine="0" autoPict="0">
                <anchor moveWithCells="1">
                  <from>
                    <xdr:col>7</xdr:col>
                    <xdr:colOff>106680</xdr:colOff>
                    <xdr:row>79</xdr:row>
                    <xdr:rowOff>579120</xdr:rowOff>
                  </from>
                  <to>
                    <xdr:col>7</xdr:col>
                    <xdr:colOff>1950720</xdr:colOff>
                    <xdr:row>79</xdr:row>
                    <xdr:rowOff>754380</xdr:rowOff>
                  </to>
                </anchor>
              </controlPr>
            </control>
          </mc:Choice>
        </mc:AlternateContent>
        <mc:AlternateContent xmlns:mc="http://schemas.openxmlformats.org/markup-compatibility/2006">
          <mc:Choice Requires="x14">
            <control shapeId="196750" r:id="rId144" name="Option Button 142">
              <controlPr defaultSize="0" autoFill="0" autoLine="0" autoPict="0">
                <anchor moveWithCells="1">
                  <from>
                    <xdr:col>7</xdr:col>
                    <xdr:colOff>106680</xdr:colOff>
                    <xdr:row>79</xdr:row>
                    <xdr:rowOff>822960</xdr:rowOff>
                  </from>
                  <to>
                    <xdr:col>7</xdr:col>
                    <xdr:colOff>937260</xdr:colOff>
                    <xdr:row>79</xdr:row>
                    <xdr:rowOff>1005840</xdr:rowOff>
                  </to>
                </anchor>
              </controlPr>
            </control>
          </mc:Choice>
        </mc:AlternateContent>
        <mc:AlternateContent xmlns:mc="http://schemas.openxmlformats.org/markup-compatibility/2006">
          <mc:Choice Requires="x14">
            <control shapeId="196751" r:id="rId145" name="Group Box 143">
              <controlPr defaultSize="0" autoFill="0" autoPict="0">
                <anchor mov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96752" r:id="rId146" name="Group Box 144">
              <controlPr defaultSize="0" autoFill="0" autoPict="0">
                <anchor moveWithCells="1">
                  <from>
                    <xdr:col>7</xdr:col>
                    <xdr:colOff>0</xdr:colOff>
                    <xdr:row>31</xdr:row>
                    <xdr:rowOff>0</xdr:rowOff>
                  </from>
                  <to>
                    <xdr:col>8</xdr:col>
                    <xdr:colOff>0</xdr:colOff>
                    <xdr:row>33</xdr:row>
                    <xdr:rowOff>0</xdr:rowOff>
                  </to>
                </anchor>
              </controlPr>
            </control>
          </mc:Choice>
        </mc:AlternateContent>
        <mc:AlternateContent xmlns:mc="http://schemas.openxmlformats.org/markup-compatibility/2006">
          <mc:Choice Requires="x14">
            <control shapeId="196755" r:id="rId147" name="Option Button 145">
              <controlPr defaultSize="0" autoFill="0" autoLine="0" autoPict="0">
                <anchor moveWithCells="1">
                  <from>
                    <xdr:col>7</xdr:col>
                    <xdr:colOff>114300</xdr:colOff>
                    <xdr:row>27</xdr:row>
                    <xdr:rowOff>144780</xdr:rowOff>
                  </from>
                  <to>
                    <xdr:col>7</xdr:col>
                    <xdr:colOff>1950720</xdr:colOff>
                    <xdr:row>27</xdr:row>
                    <xdr:rowOff>320040</xdr:rowOff>
                  </to>
                </anchor>
              </controlPr>
            </control>
          </mc:Choice>
        </mc:AlternateContent>
        <mc:AlternateContent xmlns:mc="http://schemas.openxmlformats.org/markup-compatibility/2006">
          <mc:Choice Requires="x14">
            <control shapeId="196756" r:id="rId148" name="Option Button 146">
              <controlPr defaultSize="0" autoFill="0" autoLine="0" autoPict="0">
                <anchor moveWithCells="1">
                  <from>
                    <xdr:col>7</xdr:col>
                    <xdr:colOff>114300</xdr:colOff>
                    <xdr:row>27</xdr:row>
                    <xdr:rowOff>396240</xdr:rowOff>
                  </from>
                  <to>
                    <xdr:col>7</xdr:col>
                    <xdr:colOff>1950720</xdr:colOff>
                    <xdr:row>27</xdr:row>
                    <xdr:rowOff>586740</xdr:rowOff>
                  </to>
                </anchor>
              </controlPr>
            </control>
          </mc:Choice>
        </mc:AlternateContent>
        <mc:AlternateContent xmlns:mc="http://schemas.openxmlformats.org/markup-compatibility/2006">
          <mc:Choice Requires="x14">
            <control shapeId="196757" r:id="rId149" name="Option Button 147">
              <controlPr defaultSize="0" autoFill="0" autoLine="0" autoPict="0">
                <anchor moveWithCells="1">
                  <from>
                    <xdr:col>7</xdr:col>
                    <xdr:colOff>114300</xdr:colOff>
                    <xdr:row>27</xdr:row>
                    <xdr:rowOff>640080</xdr:rowOff>
                  </from>
                  <to>
                    <xdr:col>7</xdr:col>
                    <xdr:colOff>1950720</xdr:colOff>
                    <xdr:row>27</xdr:row>
                    <xdr:rowOff>830580</xdr:rowOff>
                  </to>
                </anchor>
              </controlPr>
            </control>
          </mc:Choice>
        </mc:AlternateContent>
        <mc:AlternateContent xmlns:mc="http://schemas.openxmlformats.org/markup-compatibility/2006">
          <mc:Choice Requires="x14">
            <control shapeId="196758" r:id="rId150" name="Option Button 148">
              <controlPr defaultSize="0" autoFill="0" autoLine="0" autoPict="0">
                <anchor moveWithCells="1">
                  <from>
                    <xdr:col>7</xdr:col>
                    <xdr:colOff>114300</xdr:colOff>
                    <xdr:row>27</xdr:row>
                    <xdr:rowOff>922020</xdr:rowOff>
                  </from>
                  <to>
                    <xdr:col>7</xdr:col>
                    <xdr:colOff>1950720</xdr:colOff>
                    <xdr:row>27</xdr:row>
                    <xdr:rowOff>1112520</xdr:rowOff>
                  </to>
                </anchor>
              </controlPr>
            </control>
          </mc:Choice>
        </mc:AlternateContent>
        <mc:AlternateContent xmlns:mc="http://schemas.openxmlformats.org/markup-compatibility/2006">
          <mc:Choice Requires="x14">
            <control shapeId="196759" r:id="rId151" name="Group Box 149">
              <controlPr defaultSize="0" autoFill="0" autoPict="0">
                <anchor moveWithCells="1">
                  <from>
                    <xdr:col>7</xdr:col>
                    <xdr:colOff>0</xdr:colOff>
                    <xdr:row>27</xdr:row>
                    <xdr:rowOff>0</xdr:rowOff>
                  </from>
                  <to>
                    <xdr:col>8</xdr:col>
                    <xdr:colOff>0</xdr:colOff>
                    <xdr:row>28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97CC"/>
  </sheetPr>
  <dimension ref="A1:AI65"/>
  <sheetViews>
    <sheetView showGridLines="0" showRowColHeaders="0" zoomScale="53" zoomScaleNormal="53" workbookViewId="0">
      <selection activeCell="N15" sqref="N15"/>
    </sheetView>
  </sheetViews>
  <sheetFormatPr baseColWidth="10" defaultColWidth="8.88671875" defaultRowHeight="14.4" x14ac:dyDescent="0.3"/>
  <cols>
    <col min="1" max="2" width="5.77734375" style="31" customWidth="1"/>
    <col min="3" max="5" width="5.77734375" style="31" hidden="1" customWidth="1"/>
    <col min="6" max="6" width="25.6640625" style="31" bestFit="1" customWidth="1"/>
    <col min="7" max="7" width="73.5546875" style="31" customWidth="1"/>
    <col min="8" max="12" width="5.77734375" style="31" customWidth="1"/>
    <col min="13" max="13" width="8.88671875" style="31" hidden="1" customWidth="1"/>
    <col min="14" max="14" width="50.77734375" style="31" customWidth="1"/>
    <col min="15" max="21" width="4.33203125" style="31" customWidth="1"/>
    <col min="22" max="22" width="3" style="31" customWidth="1"/>
    <col min="23" max="23" width="23.88671875" style="31" customWidth="1"/>
    <col min="24" max="24" width="59.77734375" style="31" customWidth="1"/>
    <col min="25" max="25" width="4" style="31" customWidth="1"/>
    <col min="26" max="27" width="17.109375" style="31" customWidth="1"/>
    <col min="28" max="28" width="5.77734375" style="31" customWidth="1"/>
    <col min="29" max="29" width="7.88671875" style="31" customWidth="1"/>
    <col min="30" max="30" width="2.44140625" style="31" customWidth="1"/>
    <col min="31" max="31" width="19" style="31" customWidth="1"/>
    <col min="32" max="34" width="5.77734375" style="31" customWidth="1"/>
    <col min="35" max="16384" width="8.88671875" style="31"/>
  </cols>
  <sheetData>
    <row r="1" spans="1:35" ht="45" customHeight="1" x14ac:dyDescent="0.45">
      <c r="A1" s="260"/>
      <c r="B1" s="261" t="s">
        <v>504</v>
      </c>
      <c r="C1" s="260"/>
      <c r="D1" s="260"/>
      <c r="E1" s="262"/>
      <c r="F1" s="262"/>
      <c r="G1" s="262"/>
      <c r="H1" s="262"/>
      <c r="I1" s="262"/>
      <c r="J1" s="263"/>
      <c r="K1" s="264"/>
      <c r="L1" s="262"/>
      <c r="M1" s="262"/>
      <c r="N1" s="265"/>
      <c r="O1" s="265"/>
      <c r="P1" s="265" t="str">
        <f>VLOOKUP($E$27,BDD!$A$2:$N$567,3,FALSE)</f>
        <v>Stratégies</v>
      </c>
      <c r="Q1" s="268"/>
      <c r="R1" s="269"/>
      <c r="S1" s="269"/>
      <c r="T1" s="269"/>
      <c r="U1" s="269"/>
      <c r="V1" s="269"/>
      <c r="W1" s="269"/>
      <c r="X1" s="269"/>
      <c r="Y1" s="269"/>
      <c r="Z1" s="269"/>
      <c r="AA1" s="269"/>
      <c r="AB1" s="269"/>
      <c r="AC1" s="269"/>
      <c r="AD1" s="269"/>
      <c r="AE1" s="269"/>
      <c r="AF1" s="269"/>
      <c r="AG1" s="269"/>
      <c r="AH1" s="269"/>
      <c r="AI1" s="30"/>
    </row>
    <row r="2" spans="1:35" ht="45" customHeight="1" x14ac:dyDescent="0.3">
      <c r="A2" s="268"/>
      <c r="B2" s="268"/>
      <c r="C2" s="268"/>
      <c r="D2" s="268"/>
      <c r="E2" s="268"/>
      <c r="F2" s="268"/>
      <c r="G2" s="268"/>
      <c r="H2" s="268"/>
      <c r="I2" s="268"/>
      <c r="J2" s="268"/>
      <c r="K2" s="268"/>
      <c r="L2" s="268"/>
      <c r="M2" s="268"/>
      <c r="N2" s="270"/>
      <c r="O2" s="270"/>
      <c r="P2" s="270" t="str">
        <f>VLOOKUP($E$27,BDD!$A$2:$N$567,4,FALSE)</f>
        <v>Mettre le numérique au service de la réalisation des enjeux stratégiques de l’organisation.</v>
      </c>
      <c r="Q2" s="268"/>
      <c r="R2" s="271"/>
      <c r="S2" s="271"/>
      <c r="T2" s="271"/>
      <c r="U2" s="271"/>
      <c r="V2" s="271"/>
      <c r="W2" s="271"/>
      <c r="X2" s="271"/>
      <c r="Y2" s="271"/>
      <c r="Z2" s="271"/>
      <c r="AA2" s="271"/>
      <c r="AB2" s="271"/>
      <c r="AC2" s="271"/>
      <c r="AD2" s="271"/>
      <c r="AE2" s="271"/>
      <c r="AF2" s="271"/>
      <c r="AG2" s="271"/>
      <c r="AH2" s="271"/>
      <c r="AI2" s="30"/>
    </row>
    <row r="3" spans="1:35" ht="45" customHeight="1" thickBot="1" x14ac:dyDescent="0.35">
      <c r="A3" s="267"/>
      <c r="B3" s="30"/>
      <c r="C3" s="30"/>
      <c r="D3" s="30"/>
      <c r="E3" s="30"/>
      <c r="F3" s="30"/>
      <c r="G3" s="32"/>
      <c r="H3" s="32"/>
      <c r="I3" s="32"/>
      <c r="J3" s="32"/>
      <c r="K3" s="32"/>
      <c r="L3" s="32"/>
      <c r="M3" s="32"/>
      <c r="N3" s="30"/>
      <c r="O3" s="30"/>
      <c r="P3" s="30"/>
      <c r="Q3" s="30"/>
      <c r="R3" s="30"/>
      <c r="S3" s="30"/>
      <c r="T3" s="30"/>
      <c r="U3" s="30"/>
      <c r="V3" s="30"/>
      <c r="W3" s="33"/>
      <c r="X3" s="30"/>
      <c r="Y3" s="30"/>
      <c r="Z3" s="30"/>
      <c r="AA3" s="30"/>
      <c r="AB3" s="30"/>
      <c r="AC3" s="30"/>
      <c r="AD3" s="30"/>
      <c r="AE3" s="30"/>
      <c r="AF3" s="30"/>
      <c r="AG3" s="30"/>
      <c r="AH3" s="267"/>
      <c r="AI3" s="30"/>
    </row>
    <row r="4" spans="1:35" ht="26.4" thickBot="1" x14ac:dyDescent="0.55000000000000004">
      <c r="A4" s="267"/>
      <c r="B4" s="30"/>
      <c r="C4" s="30"/>
      <c r="D4" s="30"/>
      <c r="E4" s="30"/>
      <c r="F4" s="30"/>
      <c r="G4" s="36" t="s">
        <v>1</v>
      </c>
      <c r="H4" s="34"/>
      <c r="I4" s="32"/>
      <c r="J4" s="34"/>
      <c r="K4" s="34"/>
      <c r="L4" s="34"/>
      <c r="M4" s="34"/>
      <c r="N4" s="30"/>
      <c r="O4" s="30"/>
      <c r="P4" s="30"/>
      <c r="Q4" s="30"/>
      <c r="R4" s="30"/>
      <c r="S4" s="30"/>
      <c r="T4" s="30"/>
      <c r="U4" s="30"/>
      <c r="V4" s="30"/>
      <c r="W4" s="320" t="s">
        <v>0</v>
      </c>
      <c r="X4" s="30"/>
      <c r="Y4" s="30"/>
      <c r="Z4" s="30"/>
      <c r="AA4" s="417"/>
      <c r="AB4" s="418" t="s">
        <v>1079</v>
      </c>
      <c r="AD4" s="30"/>
      <c r="AE4" s="30"/>
      <c r="AF4" s="35"/>
      <c r="AG4" s="35"/>
      <c r="AH4" s="291"/>
      <c r="AI4" s="30"/>
    </row>
    <row r="5" spans="1:35" ht="30" customHeight="1" thickBot="1" x14ac:dyDescent="0.35">
      <c r="A5" s="267"/>
      <c r="B5" s="30"/>
      <c r="C5" s="30"/>
      <c r="D5" s="30"/>
      <c r="E5" s="30"/>
      <c r="F5" s="30"/>
      <c r="G5" s="196" t="str">
        <f>IF(VLOOKUP($E27,BDD!$A$2:$N$567,13,FALSE)=0,"",VLOOKUP($E27,BDD!$A$2:$N$567,13,FALSE))</f>
        <v>Favoriser et sécuriser la stratégie de l’organisation grâce aux possibilités offertes par le numérique.</v>
      </c>
      <c r="H5" s="37"/>
      <c r="I5" s="32"/>
      <c r="K5" s="37"/>
      <c r="L5" s="568"/>
      <c r="M5" s="568"/>
      <c r="N5" s="569"/>
      <c r="O5" s="569"/>
      <c r="P5" s="569"/>
      <c r="Q5" s="569"/>
      <c r="R5" s="569"/>
      <c r="S5" s="569"/>
      <c r="T5" s="569"/>
      <c r="U5" s="569"/>
      <c r="V5" s="569"/>
      <c r="W5" s="570"/>
      <c r="X5" s="569"/>
      <c r="Y5" s="569"/>
      <c r="Z5" s="569"/>
      <c r="AA5" s="569"/>
      <c r="AB5" s="569"/>
      <c r="AC5" s="30"/>
      <c r="AD5" s="30"/>
      <c r="AE5" s="30"/>
      <c r="AF5" s="30"/>
      <c r="AG5" s="30"/>
      <c r="AH5" s="267"/>
      <c r="AI5" s="30"/>
    </row>
    <row r="6" spans="1:35" ht="41.4" x14ac:dyDescent="0.3">
      <c r="A6" s="290"/>
      <c r="B6" s="38"/>
      <c r="C6" s="38"/>
      <c r="D6" s="38"/>
      <c r="E6" s="38"/>
      <c r="F6" s="38"/>
      <c r="G6" s="196" t="str">
        <f>IF(VLOOKUP($E28,BDD!$A$2:$N$567,13,FALSE)=0,"",VLOOKUP($E28,BDD!$A$2:$N$567,13,FALSE))</f>
        <v>Aligner la stratégie de l’organisation avec les opportunités offertes par le numérique en identifiant et en priorisant les initiatives de transformation technologique permettant l’évolution des processus, services et produits.</v>
      </c>
      <c r="H6" s="39"/>
      <c r="I6" s="32"/>
      <c r="K6" s="39"/>
      <c r="L6" s="452"/>
      <c r="M6" s="453"/>
      <c r="N6" s="454"/>
      <c r="O6" s="455"/>
      <c r="P6" s="455"/>
      <c r="Q6" s="455"/>
      <c r="R6" s="455"/>
      <c r="S6" s="455"/>
      <c r="T6" s="455"/>
      <c r="U6" s="455"/>
      <c r="V6" s="455"/>
      <c r="W6" s="455"/>
      <c r="X6" s="455"/>
      <c r="Y6" s="455"/>
      <c r="Z6" s="455"/>
      <c r="AA6" s="455"/>
      <c r="AB6" s="456"/>
      <c r="AC6" s="35"/>
      <c r="AD6" s="35"/>
      <c r="AE6" s="35"/>
      <c r="AF6" s="32"/>
      <c r="AG6" s="32"/>
      <c r="AH6" s="292"/>
      <c r="AI6" s="38"/>
    </row>
    <row r="7" spans="1:35" ht="42" thickBot="1" x14ac:dyDescent="0.35">
      <c r="A7" s="290"/>
      <c r="B7" s="38"/>
      <c r="C7" s="38"/>
      <c r="D7" s="38"/>
      <c r="E7" s="38"/>
      <c r="F7" s="38"/>
      <c r="G7" s="196" t="str">
        <f>IF(VLOOKUP($E29,BDD!$A$2:$N$567,13,FALSE)=0,"",VLOOKUP($E29,BDD!$A$2:$N$567,13,FALSE))</f>
        <v>Assurer la cohérence entre les évolutions numériques et les enjeux stratégiques de l’organisation, en garantissant pérennité, robustesse et adaptabilité sur plusieurs horizons de temps.</v>
      </c>
      <c r="H7" s="39"/>
      <c r="I7" s="32"/>
      <c r="K7" s="39"/>
      <c r="L7" s="457"/>
      <c r="M7" s="458"/>
      <c r="N7" s="420" t="s">
        <v>2</v>
      </c>
      <c r="O7" s="421" t="s">
        <v>3</v>
      </c>
      <c r="P7" s="421" t="s">
        <v>4</v>
      </c>
      <c r="Q7" s="421" t="s">
        <v>5</v>
      </c>
      <c r="R7" s="421" t="s">
        <v>6</v>
      </c>
      <c r="S7" s="421" t="s">
        <v>7</v>
      </c>
      <c r="T7" s="421" t="s">
        <v>8</v>
      </c>
      <c r="U7" s="421" t="s">
        <v>9</v>
      </c>
      <c r="V7" s="459"/>
      <c r="W7" s="460" t="s">
        <v>10</v>
      </c>
      <c r="X7" s="461" t="s">
        <v>11</v>
      </c>
      <c r="Y7" s="462"/>
      <c r="Z7" s="463" t="s">
        <v>12</v>
      </c>
      <c r="AA7" s="464" t="s">
        <v>13</v>
      </c>
      <c r="AB7" s="465"/>
      <c r="AC7" s="40"/>
      <c r="AD7" s="637" t="s">
        <v>14</v>
      </c>
      <c r="AE7" s="41" t="s">
        <v>15</v>
      </c>
      <c r="AF7" s="32"/>
      <c r="AG7" s="32"/>
      <c r="AH7" s="292"/>
      <c r="AI7" s="38"/>
    </row>
    <row r="8" spans="1:35" ht="41.4" x14ac:dyDescent="0.3">
      <c r="A8" s="290"/>
      <c r="B8" s="38"/>
      <c r="C8" s="38"/>
      <c r="D8" s="38"/>
      <c r="E8" s="38"/>
      <c r="F8" s="38"/>
      <c r="G8" s="196" t="str">
        <f>IF(VLOOKUP($E30,BDD!$A$2:$N$567,13,FALSE)=0,"",VLOOKUP($E30,BDD!$A$2:$N$567,13,FALSE))</f>
        <v/>
      </c>
      <c r="H8" s="39"/>
      <c r="I8" s="32"/>
      <c r="K8" s="39"/>
      <c r="L8" s="457"/>
      <c r="M8" s="466" t="str">
        <f>IF(LEFT(RIGHT($B$1,2),1)=" ",RIGHT($B$1,1),RIGHT($B$1,2))&amp;1</f>
        <v>11</v>
      </c>
      <c r="N8" s="422" t="str">
        <f>RIGHT(M8,1)&amp;" : "&amp;VLOOKUP($M8&amp;"1",BDD!$A$2:$N$567,6,FALSE)</f>
        <v>1 : Organisation</v>
      </c>
      <c r="O8" s="423" t="str">
        <f>IF(VLOOKUP($M8&amp;RIGHT(O$7,1),BDD!$A$1:$S$428,15,FALSE)=4,"NE",IF(VLOOKUP($M8&amp;RIGHT(O$7,1),BDD!$A$1:$S$428,15,FALSE)=0,"NE",VLOOKUP($M8&amp;RIGHT(O$7,1),BDD!$A$1:$S$428,15,FALSE)))</f>
        <v>NE</v>
      </c>
      <c r="P8" s="423" t="str">
        <f>IF(VLOOKUP($M8&amp;RIGHT(P$7,1),BDD!$A$1:$S$428,15,FALSE)=4,"NE",IF(VLOOKUP($M8&amp;RIGHT(P$7,1),BDD!$A$1:$S$428,15,FALSE)=0,"NE",VLOOKUP($M8&amp;RIGHT(P$7,1),BDD!$A$1:$S$428,15,FALSE)))</f>
        <v>NE</v>
      </c>
      <c r="Q8" s="423" t="str">
        <f>IF(VLOOKUP($M8&amp;RIGHT(Q$7,1),BDD!$A$1:$S$428,15,FALSE)=4,"NE",IF(VLOOKUP($M8&amp;RIGHT(Q$7,1),BDD!$A$1:$S$428,15,FALSE)=0,"NE",VLOOKUP($M8&amp;RIGHT(Q$7,1),BDD!$A$1:$S$428,15,FALSE)))</f>
        <v>NE</v>
      </c>
      <c r="R8" s="423" t="str">
        <f>IF(VLOOKUP($M8&amp;RIGHT(R$7,1),BDD!$A$1:$S$428,15,FALSE)=4,"NE",IF(VLOOKUP($M8&amp;RIGHT(R$7,1),BDD!$A$1:$S$428,15,FALSE)=0,"NE",VLOOKUP($M8&amp;RIGHT(R$7,1),BDD!$A$1:$S$428,15,FALSE)))</f>
        <v>NE</v>
      </c>
      <c r="S8" s="423" t="str">
        <f>IF(VLOOKUP($M8&amp;RIGHT(S$7,1),BDD!$A$1:$S$428,15,FALSE)=4,"NE",IF(VLOOKUP($M8&amp;RIGHT(S$7,1),BDD!$A$1:$S$428,15,FALSE)=0,"NE",VLOOKUP($M8&amp;RIGHT(S$7,1),BDD!$A$1:$S$428,15,FALSE)))</f>
        <v>NE</v>
      </c>
      <c r="T8" s="423" t="str">
        <f>IF(VLOOKUP($M8&amp;RIGHT(T$7,1),BDD!$A$1:$S$428,15,FALSE)=4,"NE",IF(VLOOKUP($M8&amp;RIGHT(T$7,1),BDD!$A$1:$S$428,15,FALSE)=0,"NE",VLOOKUP($M8&amp;RIGHT(T$7,1),BDD!$A$1:$S$428,15,FALSE)))</f>
        <v>NE</v>
      </c>
      <c r="U8" s="423" t="str">
        <f>IF(VLOOKUP($M8&amp;RIGHT(U$7,1),BDD!$A$1:$S$428,15,FALSE)=4,"NE",IF(VLOOKUP($M8&amp;RIGHT(U$7,1),BDD!$A$1:$S$428,15,FALSE)=0,"NE",VLOOKUP($M8&amp;RIGHT(U$7,1),BDD!$A$1:$S$428,15,FALSE)))</f>
        <v>NE</v>
      </c>
      <c r="V8" s="459"/>
      <c r="W8" s="502" t="s">
        <v>16</v>
      </c>
      <c r="X8" s="442"/>
      <c r="Y8" s="467"/>
      <c r="Z8" s="468">
        <f>O25</f>
        <v>0</v>
      </c>
      <c r="AA8" s="469">
        <f>S25</f>
        <v>0</v>
      </c>
      <c r="AB8" s="465"/>
      <c r="AC8" s="40"/>
      <c r="AD8" s="638"/>
      <c r="AE8" s="44" t="s">
        <v>17</v>
      </c>
      <c r="AF8" s="32"/>
      <c r="AG8" s="32"/>
      <c r="AH8" s="292"/>
      <c r="AI8" s="38"/>
    </row>
    <row r="9" spans="1:35" ht="30" customHeight="1" x14ac:dyDescent="0.3">
      <c r="A9" s="290"/>
      <c r="B9" s="38"/>
      <c r="C9" s="38"/>
      <c r="D9" s="38"/>
      <c r="E9" s="38"/>
      <c r="F9" s="38"/>
      <c r="G9" s="196" t="str">
        <f>IF(VLOOKUP($E31,BDD!$A$2:$N$567,13,FALSE)=0,"",VLOOKUP($E31,BDD!$A$2:$N$567,13,FALSE))</f>
        <v/>
      </c>
      <c r="H9" s="39"/>
      <c r="I9" s="32"/>
      <c r="K9" s="39"/>
      <c r="L9" s="457"/>
      <c r="M9" s="466" t="str">
        <f>IF(LEFT(RIGHT($B$1,2),1)=" ",RIGHT($B$1,1),RIGHT($B$1,2))&amp;2</f>
        <v>12</v>
      </c>
      <c r="N9" s="424" t="str">
        <f>RIGHT(M9,1)&amp;" : "&amp;VLOOKUP($M9&amp;"1",BDD!$A$2:$N$567,6,FALSE)</f>
        <v>2 : Contenu Stratégique</v>
      </c>
      <c r="O9" s="425" t="str">
        <f>IF(VLOOKUP($M9&amp;RIGHT(O$7,1),BDD!$A$1:$S$428,15,FALSE)=4,"NE",IF(VLOOKUP($M9&amp;RIGHT(O$7,1),BDD!$A$1:$S$428,15,FALSE)=0,"NE",VLOOKUP($M9&amp;RIGHT(O$7,1),BDD!$A$1:$S$428,15,FALSE)))</f>
        <v>NE</v>
      </c>
      <c r="P9" s="425" t="str">
        <f>IF(VLOOKUP($M9&amp;RIGHT(P$7,1),BDD!$A$1:$S$428,15,FALSE)=4,"NE",IF(VLOOKUP($M9&amp;RIGHT(P$7,1),BDD!$A$1:$S$428,15,FALSE)=0,"NE",VLOOKUP($M9&amp;RIGHT(P$7,1),BDD!$A$1:$S$428,15,FALSE)))</f>
        <v>NE</v>
      </c>
      <c r="Q9" s="425" t="str">
        <f>IF(VLOOKUP($M9&amp;RIGHT(Q$7,1),BDD!$A$1:$S$428,15,FALSE)=4,"NE",IF(VLOOKUP($M9&amp;RIGHT(Q$7,1),BDD!$A$1:$S$428,15,FALSE)=0,"NE",VLOOKUP($M9&amp;RIGHT(Q$7,1),BDD!$A$1:$S$428,15,FALSE)))</f>
        <v>NE</v>
      </c>
      <c r="R9" s="425" t="str">
        <f>IF(VLOOKUP($M9&amp;RIGHT(R$7,1),BDD!$A$1:$S$428,15,FALSE)=4,"NE",IF(VLOOKUP($M9&amp;RIGHT(R$7,1),BDD!$A$1:$S$428,15,FALSE)=0,"NE",VLOOKUP($M9&amp;RIGHT(R$7,1),BDD!$A$1:$S$428,15,FALSE)))</f>
        <v>NE</v>
      </c>
      <c r="S9" s="425" t="str">
        <f>IF(VLOOKUP($M9&amp;RIGHT(S$7,1),BDD!$A$1:$S$428,15,FALSE)=4,"NE",IF(VLOOKUP($M9&amp;RIGHT(S$7,1),BDD!$A$1:$S$428,15,FALSE)=0,"NE",VLOOKUP($M9&amp;RIGHT(S$7,1),BDD!$A$1:$S$428,15,FALSE)))</f>
        <v>NE</v>
      </c>
      <c r="T9" s="425" t="str">
        <f>IF(VLOOKUP($M9&amp;RIGHT(T$7,1),BDD!$A$1:$S$428,15,FALSE)=4,"NE",IF(VLOOKUP($M9&amp;RIGHT(T$7,1),BDD!$A$1:$S$428,15,FALSE)=0,"NE",VLOOKUP($M9&amp;RIGHT(T$7,1),BDD!$A$1:$S$428,15,FALSE)))</f>
        <v>NE</v>
      </c>
      <c r="U9" s="470" t="str">
        <f>IF(VLOOKUP($M9&amp;RIGHT(U$7,1),BDD!$A$1:$S$428,15,FALSE)=4,"NE",IF(VLOOKUP($M9&amp;RIGHT(U$7,1),BDD!$A$1:$S$428,15,FALSE)=0,"NE",VLOOKUP($M9&amp;RIGHT(U$7,1),BDD!$A$1:$S$428,15,FALSE)))</f>
        <v>NE</v>
      </c>
      <c r="V9" s="459"/>
      <c r="W9" s="443" t="s">
        <v>16</v>
      </c>
      <c r="X9" s="444"/>
      <c r="Y9" s="471"/>
      <c r="Z9" s="472">
        <f>O34</f>
        <v>0</v>
      </c>
      <c r="AA9" s="473">
        <f>S34</f>
        <v>0</v>
      </c>
      <c r="AB9" s="465"/>
      <c r="AC9" s="40"/>
      <c r="AD9" s="638"/>
      <c r="AE9" s="48" t="s">
        <v>18</v>
      </c>
      <c r="AF9" s="32"/>
      <c r="AG9" s="32"/>
      <c r="AH9" s="292"/>
      <c r="AI9" s="38"/>
    </row>
    <row r="10" spans="1:35" ht="30" customHeight="1" x14ac:dyDescent="0.3">
      <c r="A10" s="290"/>
      <c r="B10" s="38"/>
      <c r="C10" s="38"/>
      <c r="D10" s="38"/>
      <c r="E10" s="38"/>
      <c r="F10" s="38"/>
      <c r="G10" s="31" t="str">
        <f>IF(VLOOKUP($E32,BDD!$A$2:$N$567,13,FALSE)=0,"",VLOOKUP($E32,BDD!$A$2:$N$567,13,FALSE))</f>
        <v/>
      </c>
      <c r="H10" s="39"/>
      <c r="I10" s="32"/>
      <c r="K10" s="39"/>
      <c r="L10" s="457"/>
      <c r="M10" s="466" t="str">
        <f>IF(LEFT(RIGHT($B$1,2),1)=" ",RIGHT($B$1,1),RIGHT($B$1,2))&amp;3</f>
        <v>13</v>
      </c>
      <c r="N10" s="422" t="str">
        <f>RIGHT(M10,1)&amp;" : "&amp;VLOOKUP($M10&amp;"1",BDD!$A$2:$N$567,6,FALSE)</f>
        <v>3 : Communication</v>
      </c>
      <c r="O10" s="423" t="str">
        <f>IF(VLOOKUP($M10&amp;RIGHT(O$7,1),BDD!$A$1:$S$428,15,FALSE)=4,"NE",IF(VLOOKUP($M10&amp;RIGHT(O$7,1),BDD!$A$1:$S$428,15,FALSE)=0,"NE",VLOOKUP($M10&amp;RIGHT(O$7,1),BDD!$A$1:$S$428,15,FALSE)))</f>
        <v>NE</v>
      </c>
      <c r="P10" s="423" t="str">
        <f>IF(VLOOKUP($M10&amp;RIGHT(P$7,1),BDD!$A$1:$S$428,15,FALSE)=4,"NE",IF(VLOOKUP($M10&amp;RIGHT(P$7,1),BDD!$A$1:$S$428,15,FALSE)=0,"NE",VLOOKUP($M10&amp;RIGHT(P$7,1),BDD!$A$1:$S$428,15,FALSE)))</f>
        <v>NE</v>
      </c>
      <c r="Q10" s="423" t="str">
        <f>IF(VLOOKUP($M10&amp;RIGHT(Q$7,1),BDD!$A$1:$S$428,15,FALSE)=4,"NE",IF(VLOOKUP($M10&amp;RIGHT(Q$7,1),BDD!$A$1:$S$428,15,FALSE)=0,"NE",VLOOKUP($M10&amp;RIGHT(Q$7,1),BDD!$A$1:$S$428,15,FALSE)))</f>
        <v>NE</v>
      </c>
      <c r="R10" s="428" t="str">
        <f>IF(VLOOKUP($M10&amp;RIGHT(R$7,1),BDD!$A$1:$S$428,15,FALSE)=4,"NE",IF(VLOOKUP($M10&amp;RIGHT(R$7,1),BDD!$A$1:$S$428,15,FALSE)=0,"NE",VLOOKUP($M10&amp;RIGHT(R$7,1),BDD!$A$1:$S$428,15,FALSE)))</f>
        <v>NE</v>
      </c>
      <c r="S10" s="475"/>
      <c r="T10" s="475"/>
      <c r="U10" s="430"/>
      <c r="V10" s="459"/>
      <c r="W10" s="445" t="s">
        <v>16</v>
      </c>
      <c r="X10" s="446"/>
      <c r="Y10" s="467"/>
      <c r="Z10" s="468">
        <f>O43</f>
        <v>0</v>
      </c>
      <c r="AA10" s="469">
        <f>S43</f>
        <v>0</v>
      </c>
      <c r="AB10" s="465"/>
      <c r="AC10" s="40"/>
      <c r="AD10" s="638"/>
      <c r="AE10" s="53" t="s">
        <v>19</v>
      </c>
      <c r="AF10" s="51"/>
      <c r="AG10" s="52"/>
      <c r="AH10" s="293"/>
      <c r="AI10" s="38"/>
    </row>
    <row r="11" spans="1:35" ht="30" customHeight="1" x14ac:dyDescent="0.3">
      <c r="A11" s="267"/>
      <c r="B11" s="30"/>
      <c r="C11" s="30"/>
      <c r="D11" s="30"/>
      <c r="E11" s="30"/>
      <c r="F11" s="30"/>
      <c r="G11" s="31" t="str">
        <f>IF(VLOOKUP($E33,BDD!$A$2:$N$567,13,FALSE)=0,"",VLOOKUP($E33,BDD!$A$2:$N$567,13,FALSE))</f>
        <v/>
      </c>
      <c r="H11" s="52"/>
      <c r="I11" s="32"/>
      <c r="K11" s="52"/>
      <c r="L11" s="476"/>
      <c r="M11" s="477" t="str">
        <f>IF(LEFT(RIGHT($B$1,2),1)=" ",RIGHT($B$1,1),RIGHT($B$1,2))&amp;4</f>
        <v>14</v>
      </c>
      <c r="N11" s="424" t="str">
        <f>RIGHT(M11,1)&amp;" : "&amp;VLOOKUP($M11&amp;"1",BDD!$A$2:$N$567,6,FALSE)</f>
        <v>4 : Indicateurs</v>
      </c>
      <c r="O11" s="425" t="str">
        <f>IF(VLOOKUP($M11&amp;RIGHT(O$7,1),BDD!$A$1:$S$428,15,FALSE)=4,"NE",IF(VLOOKUP($M11&amp;RIGHT(O$7,1),BDD!$A$1:$S$428,15,FALSE)=0,"NE",VLOOKUP($M11&amp;RIGHT(O$7,1),BDD!$A$1:$S$428,15,FALSE)))</f>
        <v>NE</v>
      </c>
      <c r="P11" s="425" t="str">
        <f>IF(VLOOKUP($M11&amp;RIGHT(P$7,1),BDD!$A$1:$S$428,15,FALSE)=4,"NE",IF(VLOOKUP($M11&amp;RIGHT(P$7,1),BDD!$A$1:$S$428,15,FALSE)=0,"NE",VLOOKUP($M11&amp;RIGHT(P$7,1),BDD!$A$1:$S$428,15,FALSE)))</f>
        <v>NE</v>
      </c>
      <c r="Q11" s="425" t="str">
        <f>IF(VLOOKUP($M11&amp;RIGHT(Q$7,1),BDD!$A$1:$S$428,15,FALSE)=4,"NE",IF(VLOOKUP($M11&amp;RIGHT(Q$7,1),BDD!$A$1:$S$428,15,FALSE)=0,"NE",VLOOKUP($M11&amp;RIGHT(Q$7,1),BDD!$A$1:$S$428,15,FALSE)))</f>
        <v>NE</v>
      </c>
      <c r="R11" s="425" t="str">
        <f>IF(VLOOKUP($M11&amp;RIGHT(R$7,1),BDD!$A$1:$S$428,15,FALSE)=4,"NE",IF(VLOOKUP($M11&amp;RIGHT(R$7,1),BDD!$A$1:$S$428,15,FALSE)=0,"NE",VLOOKUP($M11&amp;RIGHT(R$7,1),BDD!$A$1:$S$428,15,FALSE)))</f>
        <v>NE</v>
      </c>
      <c r="S11" s="425" t="str">
        <f>IF(VLOOKUP($M11&amp;RIGHT(S$7,1),BDD!$A$1:$S$428,15,FALSE)=4,"NE",IF(VLOOKUP($M11&amp;RIGHT(S$7,1),BDD!$A$1:$S$428,15,FALSE)=0,"NE",VLOOKUP($M11&amp;RIGHT(S$7,1),BDD!$A$1:$S$428,15,FALSE)))</f>
        <v>NE</v>
      </c>
      <c r="T11" s="425" t="str">
        <f>IF(VLOOKUP($M11&amp;RIGHT(T$7,1),BDD!$A$1:$S$428,15,FALSE)=4,"NE",IF(VLOOKUP($M11&amp;RIGHT(T$7,1),BDD!$A$1:$S$428,15,FALSE)=0,"NE",VLOOKUP($M11&amp;RIGHT(T$7,1),BDD!$A$1:$S$428,15,FALSE)))</f>
        <v>NE</v>
      </c>
      <c r="U11" s="427"/>
      <c r="V11" s="459"/>
      <c r="W11" s="443" t="s">
        <v>16</v>
      </c>
      <c r="X11" s="444"/>
      <c r="Y11" s="467"/>
      <c r="Z11" s="472">
        <f>O49</f>
        <v>0</v>
      </c>
      <c r="AA11" s="473">
        <f>S49</f>
        <v>0</v>
      </c>
      <c r="AB11" s="465"/>
      <c r="AC11" s="40"/>
      <c r="AD11" s="212"/>
      <c r="AF11" s="51"/>
      <c r="AG11" s="52"/>
      <c r="AH11" s="293"/>
      <c r="AI11" s="30"/>
    </row>
    <row r="12" spans="1:35" ht="30" customHeight="1" thickBot="1" x14ac:dyDescent="0.35">
      <c r="A12" s="267"/>
      <c r="B12" s="30"/>
      <c r="C12" s="30"/>
      <c r="D12" s="30"/>
      <c r="E12" s="30"/>
      <c r="F12" s="30"/>
      <c r="G12" s="54" t="s">
        <v>20</v>
      </c>
      <c r="H12" s="32"/>
      <c r="I12" s="32"/>
      <c r="K12" s="32"/>
      <c r="L12" s="478"/>
      <c r="M12" s="479" t="str">
        <f>IF(LEFT(RIGHT($B$1,2),1)=" ",RIGHT($B$1,1),RIGHT($B$1,2))&amp;5</f>
        <v>15</v>
      </c>
      <c r="N12" s="422" t="str">
        <f>RIGHT(M12,1)&amp;" : "&amp;VLOOKUP($M12&amp;"1",BDD!$A$2:$N$567,6,FALSE)</f>
        <v>5 : Pilotage</v>
      </c>
      <c r="O12" s="423" t="str">
        <f>IF(VLOOKUP($M12&amp;RIGHT(O$7,1),BDD!$A$1:$S$428,15,FALSE)=4,"NE",IF(VLOOKUP($M12&amp;RIGHT(O$7,1),BDD!$A$1:$S$428,15,FALSE)=0,"NE",VLOOKUP($M12&amp;RIGHT(O$7,1),BDD!$A$1:$S$428,15,FALSE)))</f>
        <v>NE</v>
      </c>
      <c r="P12" s="423" t="str">
        <f>IF(VLOOKUP($M12&amp;RIGHT(P$7,1),BDD!$A$1:$S$428,15,FALSE)=4,"NE",IF(VLOOKUP($M12&amp;RIGHT(P$7,1),BDD!$A$1:$S$428,15,FALSE)=0,"NE",VLOOKUP($M12&amp;RIGHT(P$7,1),BDD!$A$1:$S$428,15,FALSE)))</f>
        <v>NE</v>
      </c>
      <c r="Q12" s="423" t="str">
        <f>IF(VLOOKUP($M12&amp;RIGHT(Q$7,1),BDD!$A$1:$S$428,15,FALSE)=4,"NE",IF(VLOOKUP($M12&amp;RIGHT(Q$7,1),BDD!$A$1:$S$428,15,FALSE)=0,"NE",VLOOKUP($M12&amp;RIGHT(Q$7,1),BDD!$A$1:$S$428,15,FALSE)))</f>
        <v>NE</v>
      </c>
      <c r="R12" s="423" t="str">
        <f>IF(VLOOKUP($M12&amp;RIGHT(R$7,1),BDD!$A$1:$S$428,15,FALSE)=4,"NE",IF(VLOOKUP($M12&amp;RIGHT(R$7,1),BDD!$A$1:$S$428,15,FALSE)=0,"NE",VLOOKUP($M12&amp;RIGHT(R$7,1),BDD!$A$1:$S$428,15,FALSE)))</f>
        <v>NE</v>
      </c>
      <c r="S12" s="423" t="str">
        <f>IF(VLOOKUP($M12&amp;RIGHT(S$7,1),BDD!$A$1:$S$428,15,FALSE)=4,"NE",IF(VLOOKUP($M12&amp;RIGHT(S$7,1),BDD!$A$1:$S$428,15,FALSE)=0,"NE",VLOOKUP($M12&amp;RIGHT(S$7,1),BDD!$A$1:$S$428,15,FALSE)))</f>
        <v>NE</v>
      </c>
      <c r="T12" s="475"/>
      <c r="U12" s="430"/>
      <c r="V12" s="459"/>
      <c r="W12" s="503" t="s">
        <v>16</v>
      </c>
      <c r="X12" s="501"/>
      <c r="Y12" s="467"/>
      <c r="Z12" s="468">
        <f>O57</f>
        <v>0</v>
      </c>
      <c r="AA12" s="469">
        <f>S57</f>
        <v>0</v>
      </c>
      <c r="AB12" s="465"/>
      <c r="AC12" s="40"/>
      <c r="AD12" s="213"/>
      <c r="AF12" s="55"/>
      <c r="AG12" s="30"/>
      <c r="AH12" s="267"/>
      <c r="AI12" s="30"/>
    </row>
    <row r="13" spans="1:35" ht="30" customHeight="1" x14ac:dyDescent="0.3">
      <c r="A13" s="267"/>
      <c r="B13" s="30"/>
      <c r="C13" s="30"/>
      <c r="D13" s="30"/>
      <c r="E13" s="30"/>
      <c r="F13" s="30"/>
      <c r="G13" s="197" t="str">
        <f>IF(VLOOKUP($E27,BDD!$A$2:$N$567,14,FALSE)=0,"",VLOOKUP($E27,BDD!$A$2:$N$567,14,FALSE))</f>
        <v>Perte de compétitivité due à une faible exploitation des opportunités technologiques.</v>
      </c>
      <c r="H13" s="34"/>
      <c r="I13" s="32"/>
      <c r="K13" s="34"/>
      <c r="L13" s="480"/>
      <c r="M13" s="481"/>
      <c r="N13" s="482"/>
      <c r="O13" s="482"/>
      <c r="P13" s="482"/>
      <c r="Q13" s="482"/>
      <c r="R13" s="482"/>
      <c r="S13" s="482"/>
      <c r="T13" s="482"/>
      <c r="U13" s="482"/>
      <c r="V13" s="482"/>
      <c r="W13" s="483"/>
      <c r="X13" s="484"/>
      <c r="Y13" s="484"/>
      <c r="Z13" s="484"/>
      <c r="AA13" s="484"/>
      <c r="AB13" s="485"/>
      <c r="AC13" s="55"/>
      <c r="AD13" s="30"/>
      <c r="AE13" s="55"/>
      <c r="AF13" s="56"/>
      <c r="AG13" s="40"/>
      <c r="AH13" s="294"/>
      <c r="AI13" s="30"/>
    </row>
    <row r="14" spans="1:35" ht="37.799999999999997" customHeight="1" thickBot="1" x14ac:dyDescent="0.35">
      <c r="A14" s="267"/>
      <c r="B14" s="30"/>
      <c r="C14" s="30"/>
      <c r="D14" s="30"/>
      <c r="E14" s="30"/>
      <c r="F14" s="30"/>
      <c r="G14" s="197" t="str">
        <f>IF(VLOOKUP($E28,BDD!$A$2:$N$567,14,FALSE)=0,"",VLOOKUP($E28,BDD!$A$2:$N$567,14,FALSE))</f>
        <v>Perte de compétitivité due à une intégration insuffisante ou inadaptée des projets de transformation numérique.</v>
      </c>
      <c r="H14" s="57"/>
      <c r="I14" s="32"/>
      <c r="K14" s="57"/>
      <c r="L14" s="486"/>
      <c r="M14" s="481"/>
      <c r="N14" s="504" t="str">
        <f>"Evaluation globale du vecteur "&amp;RIGHT(B1,2)</f>
        <v>Evaluation globale du vecteur  1</v>
      </c>
      <c r="O14" s="488"/>
      <c r="P14" s="488"/>
      <c r="Q14" s="488"/>
      <c r="R14" s="488"/>
      <c r="S14" s="488"/>
      <c r="T14" s="488"/>
      <c r="U14" s="488"/>
      <c r="V14" s="488"/>
      <c r="W14" s="489"/>
      <c r="X14" s="484"/>
      <c r="Y14" s="467"/>
      <c r="Z14" s="490" t="s">
        <v>642</v>
      </c>
      <c r="AA14" s="491" t="s">
        <v>643</v>
      </c>
      <c r="AB14" s="485"/>
      <c r="AC14" s="30"/>
      <c r="AD14" s="56"/>
      <c r="AE14" s="56"/>
      <c r="AF14" s="30"/>
      <c r="AG14" s="30"/>
      <c r="AH14" s="267"/>
      <c r="AI14" s="30"/>
    </row>
    <row r="15" spans="1:35" ht="30" customHeight="1" thickBot="1" x14ac:dyDescent="0.35">
      <c r="A15" s="267"/>
      <c r="B15" s="30"/>
      <c r="C15" s="30"/>
      <c r="D15" s="30"/>
      <c r="E15" s="30"/>
      <c r="F15" s="30"/>
      <c r="G15" s="197" t="str">
        <f>IF(VLOOKUP($E29,BDD!$A$2:$N$567,14,FALSE)=0,"",VLOOKUP($E29,BDD!$A$2:$N$567,14,FALSE))</f>
        <v>Désalignement des investissements numériques avec la stratégie de l’organisation.</v>
      </c>
      <c r="H15" s="58"/>
      <c r="I15" s="32"/>
      <c r="K15" s="58"/>
      <c r="L15" s="478"/>
      <c r="M15" s="481"/>
      <c r="N15" s="451"/>
      <c r="O15" s="492"/>
      <c r="P15" s="492"/>
      <c r="Q15" s="492"/>
      <c r="R15" s="492"/>
      <c r="S15" s="492"/>
      <c r="T15" s="492"/>
      <c r="U15" s="492"/>
      <c r="V15" s="492"/>
      <c r="W15" s="449" t="s">
        <v>16</v>
      </c>
      <c r="X15" s="450"/>
      <c r="Y15" s="484"/>
      <c r="Z15" s="493">
        <f>O22</f>
        <v>0</v>
      </c>
      <c r="AA15" s="494">
        <f>SUM($W$27:$W$65)</f>
        <v>0</v>
      </c>
      <c r="AB15" s="485"/>
      <c r="AC15" s="30"/>
      <c r="AD15" s="30"/>
      <c r="AE15" s="30"/>
      <c r="AF15" s="30"/>
      <c r="AG15" s="30"/>
      <c r="AH15" s="267"/>
      <c r="AI15" s="30"/>
    </row>
    <row r="16" spans="1:35" ht="30" customHeight="1" thickBot="1" x14ac:dyDescent="0.35">
      <c r="A16" s="267"/>
      <c r="B16" s="30"/>
      <c r="C16" s="30"/>
      <c r="D16" s="30"/>
      <c r="E16" s="30"/>
      <c r="F16" s="30"/>
      <c r="G16" s="197" t="str">
        <f>IF(VLOOKUP($E30,BDD!$A$2:$N$567,14,FALSE)=0,"",VLOOKUP($E30,BDD!$A$2:$N$567,14,FALSE))</f>
        <v>Mauvaise anticipation des vulnérabilités numériques de l’organisation.</v>
      </c>
      <c r="H16" s="58"/>
      <c r="I16" s="32"/>
      <c r="K16" s="32"/>
      <c r="L16" s="495"/>
      <c r="M16" s="496"/>
      <c r="N16" s="497"/>
      <c r="O16" s="497"/>
      <c r="P16" s="497"/>
      <c r="Q16" s="497"/>
      <c r="R16" s="497"/>
      <c r="S16" s="497"/>
      <c r="T16" s="497"/>
      <c r="U16" s="497"/>
      <c r="V16" s="497"/>
      <c r="W16" s="498"/>
      <c r="X16" s="497"/>
      <c r="Y16" s="497"/>
      <c r="Z16" s="497"/>
      <c r="AA16" s="497"/>
      <c r="AB16" s="499"/>
      <c r="AC16" s="30"/>
      <c r="AD16" s="30"/>
      <c r="AE16" s="30"/>
      <c r="AF16" s="30"/>
      <c r="AG16" s="30"/>
      <c r="AH16" s="267"/>
      <c r="AI16" s="30"/>
    </row>
    <row r="17" spans="1:35" ht="56.4" customHeight="1" x14ac:dyDescent="0.3">
      <c r="A17" s="267"/>
      <c r="B17" s="30"/>
      <c r="C17" s="30"/>
      <c r="D17" s="30"/>
      <c r="E17" s="30"/>
      <c r="F17" s="30"/>
      <c r="G17" s="197" t="str">
        <f>IF(VLOOKUP($E31,BDD!$A$2:$N$567,14,FALSE)=0,"",VLOOKUP($E31,BDD!$A$2:$N$567,14,FALSE))</f>
        <v/>
      </c>
      <c r="H17" s="58"/>
      <c r="I17" s="32"/>
      <c r="K17" s="58"/>
      <c r="L17" s="571"/>
      <c r="M17" s="572"/>
      <c r="N17" s="569"/>
      <c r="O17" s="569"/>
      <c r="P17" s="569"/>
      <c r="Q17" s="569"/>
      <c r="R17" s="569"/>
      <c r="S17" s="569"/>
      <c r="T17" s="569"/>
      <c r="U17" s="569"/>
      <c r="V17" s="569"/>
      <c r="W17" s="569"/>
      <c r="X17" s="569"/>
      <c r="Y17" s="569"/>
      <c r="Z17" s="569"/>
      <c r="AA17" s="569"/>
      <c r="AB17" s="569"/>
      <c r="AC17" s="30"/>
      <c r="AD17" s="30"/>
      <c r="AE17" s="30"/>
      <c r="AF17" s="30"/>
      <c r="AG17" s="30"/>
      <c r="AH17" s="267"/>
      <c r="AI17" s="30"/>
    </row>
    <row r="18" spans="1:35" ht="56.4" hidden="1" customHeight="1" x14ac:dyDescent="0.3">
      <c r="A18" s="267"/>
      <c r="B18" s="30"/>
      <c r="C18" s="30"/>
      <c r="D18" s="30"/>
      <c r="E18" s="30"/>
      <c r="F18" s="30"/>
      <c r="G18" s="197"/>
      <c r="H18" s="58"/>
      <c r="I18" s="32"/>
      <c r="K18" s="58"/>
      <c r="L18" s="571"/>
      <c r="M18" s="572"/>
      <c r="N18" s="569"/>
      <c r="O18" s="569"/>
      <c r="P18" s="569"/>
      <c r="Q18" s="569"/>
      <c r="R18" s="569"/>
      <c r="S18" s="569"/>
      <c r="T18" s="569"/>
      <c r="U18" s="569"/>
      <c r="V18" s="569"/>
      <c r="W18" s="569"/>
      <c r="X18" s="569"/>
      <c r="Y18" s="569"/>
      <c r="Z18" s="569"/>
      <c r="AA18" s="569"/>
      <c r="AB18" s="569"/>
      <c r="AC18" s="30"/>
      <c r="AD18" s="30"/>
      <c r="AE18" s="30"/>
      <c r="AF18" s="30"/>
      <c r="AG18" s="30"/>
      <c r="AH18" s="267"/>
      <c r="AI18" s="30"/>
    </row>
    <row r="19" spans="1:35" ht="56.4" hidden="1" customHeight="1" x14ac:dyDescent="0.3">
      <c r="A19" s="267"/>
      <c r="B19" s="30"/>
      <c r="C19" s="30"/>
      <c r="D19" s="30"/>
      <c r="E19" s="30"/>
      <c r="F19" s="30"/>
      <c r="G19" s="197"/>
      <c r="H19" s="58"/>
      <c r="I19" s="32"/>
      <c r="K19" s="58"/>
      <c r="L19" s="58"/>
      <c r="M19" s="32"/>
      <c r="N19" s="30"/>
      <c r="O19" s="30"/>
      <c r="P19" s="30"/>
      <c r="Q19" s="30"/>
      <c r="R19" s="30"/>
      <c r="S19" s="30"/>
      <c r="T19" s="30"/>
      <c r="U19" s="30"/>
      <c r="V19" s="30"/>
      <c r="W19" s="30"/>
      <c r="X19" s="30"/>
      <c r="Y19" s="30"/>
      <c r="Z19" s="30"/>
      <c r="AA19" s="30"/>
      <c r="AB19" s="30"/>
      <c r="AC19" s="30"/>
      <c r="AD19" s="30"/>
      <c r="AE19" s="30"/>
      <c r="AF19" s="30"/>
      <c r="AG19" s="30"/>
      <c r="AH19" s="267"/>
      <c r="AI19" s="30"/>
    </row>
    <row r="20" spans="1:35" ht="30" customHeight="1" x14ac:dyDescent="0.3">
      <c r="A20" s="267"/>
      <c r="B20" s="30"/>
      <c r="C20" s="30"/>
      <c r="D20" s="30"/>
      <c r="E20" s="30"/>
      <c r="F20" s="30"/>
      <c r="G20" s="197"/>
      <c r="H20" s="58"/>
      <c r="I20" s="32"/>
      <c r="K20" s="58"/>
      <c r="L20" s="58"/>
      <c r="M20" s="32"/>
      <c r="N20" s="237" t="s">
        <v>855</v>
      </c>
      <c r="O20" s="641">
        <f>COUNTIF(N27:N100,"Non renseigné")</f>
        <v>29</v>
      </c>
      <c r="P20" s="642"/>
      <c r="Q20" s="642"/>
      <c r="R20" s="643"/>
      <c r="S20" s="30"/>
      <c r="T20" s="30"/>
      <c r="U20" s="30"/>
      <c r="V20" s="30"/>
      <c r="W20" s="30"/>
      <c r="X20" s="30"/>
      <c r="Y20" s="30"/>
      <c r="Z20" s="30"/>
      <c r="AA20" s="30"/>
      <c r="AB20" s="30"/>
      <c r="AC20" s="30"/>
      <c r="AD20" s="30"/>
      <c r="AE20" s="30"/>
      <c r="AF20" s="30"/>
      <c r="AG20" s="30"/>
      <c r="AH20" s="267"/>
      <c r="AI20" s="30"/>
    </row>
    <row r="21" spans="1:35" ht="30" customHeight="1" x14ac:dyDescent="0.3">
      <c r="A21" s="267"/>
      <c r="B21" s="30"/>
      <c r="C21" s="30"/>
      <c r="D21" s="30"/>
      <c r="E21" s="30"/>
      <c r="G21" s="197" t="str">
        <f>IF(VLOOKUP($E32,BDD!$A$2:$N$567,14,FALSE)=0,"",VLOOKUP($E32,BDD!$A$2:$N$567,14,FALSE))</f>
        <v/>
      </c>
      <c r="H21" s="58"/>
      <c r="I21" s="58"/>
      <c r="K21" s="58"/>
      <c r="L21" s="58"/>
      <c r="M21" s="32"/>
      <c r="N21" s="237" t="s">
        <v>853</v>
      </c>
      <c r="O21" s="641">
        <f>COUNTIF($N$27:$N$78,"Non évalué")</f>
        <v>0</v>
      </c>
      <c r="P21" s="642"/>
      <c r="Q21" s="642"/>
      <c r="R21" s="643"/>
      <c r="S21" s="30"/>
      <c r="T21" s="30"/>
      <c r="U21" s="30"/>
      <c r="V21" s="30"/>
      <c r="W21" s="30"/>
      <c r="X21" s="30"/>
      <c r="Y21" s="30"/>
      <c r="Z21" s="30"/>
      <c r="AA21" s="30"/>
      <c r="AB21" s="30"/>
      <c r="AC21" s="30"/>
      <c r="AD21" s="30"/>
      <c r="AE21" s="30"/>
      <c r="AF21" s="30"/>
      <c r="AG21" s="30"/>
      <c r="AH21" s="267"/>
      <c r="AI21" s="30"/>
    </row>
    <row r="22" spans="1:35" ht="50.4" customHeight="1" x14ac:dyDescent="0.3">
      <c r="A22" s="267"/>
      <c r="B22" s="30"/>
      <c r="C22" s="30"/>
      <c r="D22" s="30"/>
      <c r="E22" s="30"/>
      <c r="F22" s="416"/>
      <c r="G22" s="197" t="str">
        <f>IF(VLOOKUP($E33,BDD!$A$2:$N$567,14,FALSE)=0,"",VLOOKUP($E33,BDD!$A$2:$N$567,14,FALSE))</f>
        <v/>
      </c>
      <c r="H22" s="30"/>
      <c r="I22" s="30"/>
      <c r="J22" s="30"/>
      <c r="K22" s="30"/>
      <c r="L22" s="32"/>
      <c r="M22" s="32"/>
      <c r="N22" s="214" t="s">
        <v>551</v>
      </c>
      <c r="O22" s="639">
        <v>0</v>
      </c>
      <c r="P22" s="640"/>
      <c r="Q22" s="640"/>
      <c r="R22" s="640"/>
      <c r="S22" s="30"/>
      <c r="T22" s="30"/>
      <c r="U22" s="30"/>
      <c r="V22" s="30"/>
      <c r="W22" s="30"/>
      <c r="X22" s="30" t="s">
        <v>164</v>
      </c>
      <c r="Y22" s="30"/>
      <c r="Z22" s="30"/>
      <c r="AA22" s="30"/>
      <c r="AB22" s="30"/>
      <c r="AC22" s="30"/>
      <c r="AD22" s="30"/>
      <c r="AE22" s="30"/>
      <c r="AF22" s="30"/>
      <c r="AG22" s="30"/>
      <c r="AH22" s="267" t="s">
        <v>164</v>
      </c>
      <c r="AI22" s="30"/>
    </row>
    <row r="23" spans="1:35" ht="30" customHeight="1" x14ac:dyDescent="0.3">
      <c r="A23" s="267"/>
      <c r="B23" s="30"/>
      <c r="D23" s="30"/>
      <c r="E23" s="30"/>
      <c r="F23" s="30"/>
      <c r="G23" s="30"/>
      <c r="H23" s="59" t="s">
        <v>21</v>
      </c>
      <c r="I23" s="240"/>
      <c r="J23" s="60"/>
      <c r="K23" s="60"/>
      <c r="L23" s="61"/>
      <c r="M23" s="62"/>
      <c r="N23" s="30"/>
      <c r="O23" s="415"/>
      <c r="P23" s="30"/>
      <c r="Q23" s="30"/>
      <c r="R23" s="30"/>
      <c r="S23" s="30"/>
      <c r="T23" s="30"/>
      <c r="U23" s="30"/>
      <c r="V23" s="30"/>
      <c r="W23" s="30"/>
      <c r="X23" s="30"/>
      <c r="Y23" s="30"/>
      <c r="Z23" s="30"/>
      <c r="AA23" s="30"/>
      <c r="AB23" s="30"/>
      <c r="AC23" s="30"/>
      <c r="AD23" s="30"/>
      <c r="AE23" s="30"/>
      <c r="AF23" s="30"/>
      <c r="AG23" s="30"/>
      <c r="AH23" s="267"/>
      <c r="AI23" s="30"/>
    </row>
    <row r="24" spans="1:35" ht="39.6" customHeight="1" x14ac:dyDescent="0.3">
      <c r="A24" s="267"/>
      <c r="B24" s="30"/>
      <c r="C24" s="30" t="s">
        <v>93</v>
      </c>
      <c r="D24" s="33" t="s">
        <v>62</v>
      </c>
      <c r="E24" s="33" t="s">
        <v>497</v>
      </c>
      <c r="F24" s="30"/>
      <c r="G24" s="237" t="s">
        <v>561</v>
      </c>
      <c r="H24" s="237" t="s">
        <v>22</v>
      </c>
      <c r="I24" s="237" t="s">
        <v>23</v>
      </c>
      <c r="J24" s="237" t="s">
        <v>24</v>
      </c>
      <c r="K24" s="237" t="s">
        <v>25</v>
      </c>
      <c r="L24" s="238" t="s">
        <v>26</v>
      </c>
      <c r="M24" s="239"/>
      <c r="N24" s="237" t="s">
        <v>82</v>
      </c>
      <c r="O24" s="644" t="s">
        <v>12</v>
      </c>
      <c r="P24" s="645"/>
      <c r="Q24" s="645"/>
      <c r="R24" s="645"/>
      <c r="S24" s="645" t="s">
        <v>13</v>
      </c>
      <c r="T24" s="645"/>
      <c r="U24" s="645"/>
      <c r="V24" s="646"/>
      <c r="W24" s="30"/>
      <c r="X24" s="30"/>
      <c r="Y24" s="30"/>
      <c r="Z24" s="30"/>
      <c r="AA24" s="30"/>
      <c r="AB24" s="30"/>
      <c r="AC24" s="30"/>
      <c r="AD24" s="30"/>
      <c r="AE24" s="30"/>
      <c r="AF24" s="30"/>
      <c r="AG24" s="30"/>
      <c r="AH24" s="267"/>
      <c r="AI24" s="30"/>
    </row>
    <row r="25" spans="1:35" ht="30" customHeight="1" x14ac:dyDescent="0.3">
      <c r="A25" s="267"/>
      <c r="B25" s="30"/>
      <c r="C25" s="30" t="str">
        <f>IF(LEFT(RIGHT($B$1,2),1)=" ",RIGHT($B$1,1),RIGHT($B$1,2))</f>
        <v>1</v>
      </c>
      <c r="D25" s="32">
        <f>IF(LEFT(F25,5)="Bonne",B23+1,D24)</f>
        <v>1</v>
      </c>
      <c r="E25" s="32"/>
      <c r="F25" s="191" t="s">
        <v>499</v>
      </c>
      <c r="G25" s="192" t="str">
        <f>VLOOKUP(E27,BDD!$A$2:$N$567,6,FALSE)</f>
        <v>Organisation</v>
      </c>
      <c r="H25" s="190"/>
      <c r="I25" s="135"/>
      <c r="J25" s="135"/>
      <c r="K25" s="135"/>
      <c r="L25" s="136"/>
      <c r="M25" s="137"/>
      <c r="N25" s="138"/>
      <c r="O25" s="630">
        <v>0</v>
      </c>
      <c r="P25" s="630"/>
      <c r="Q25" s="630"/>
      <c r="R25" s="630"/>
      <c r="S25" s="632">
        <f>SUMIFS(S:S,$D:$D,D25,$N:$N,"Exigences"&amp;"*")</f>
        <v>0</v>
      </c>
      <c r="T25" s="632"/>
      <c r="U25" s="632"/>
      <c r="V25" s="633"/>
      <c r="W25" s="30"/>
      <c r="X25" s="30"/>
      <c r="Y25" s="30"/>
      <c r="Z25" s="30"/>
      <c r="AA25" s="30"/>
      <c r="AB25" s="30"/>
      <c r="AC25" s="30"/>
      <c r="AD25" s="30"/>
      <c r="AE25" s="30"/>
      <c r="AF25" s="30"/>
      <c r="AG25" s="30"/>
      <c r="AH25" s="267"/>
      <c r="AI25" s="30"/>
    </row>
    <row r="26" spans="1:35" ht="30" customHeight="1" x14ac:dyDescent="0.3">
      <c r="A26" s="267"/>
      <c r="B26" s="30"/>
      <c r="C26" s="30" t="str">
        <f t="shared" ref="C26:C63" si="0">IF(LEFT(RIGHT($B$1,2),1)=" ",RIGHT($B$1,1),RIGHT($B$1,2))</f>
        <v>1</v>
      </c>
      <c r="D26" s="32">
        <f>IF(LEFT(F26,5)="Bonne",D24+1,D25)</f>
        <v>1</v>
      </c>
      <c r="F26" s="211" t="s">
        <v>550</v>
      </c>
      <c r="G26" s="193" t="str">
        <f>VLOOKUP(E28,BDD!$A$2:$N$567,7,FALSE)</f>
        <v>La DSI participe à l'élaboration de la stratégie de l'entreprise.</v>
      </c>
      <c r="H26" s="139"/>
      <c r="I26" s="139"/>
      <c r="J26" s="139"/>
      <c r="K26" s="139"/>
      <c r="L26" s="140"/>
      <c r="M26" s="141"/>
      <c r="N26" s="142"/>
      <c r="O26" s="631"/>
      <c r="P26" s="631"/>
      <c r="Q26" s="631"/>
      <c r="R26" s="631"/>
      <c r="S26" s="634"/>
      <c r="T26" s="634"/>
      <c r="U26" s="634"/>
      <c r="V26" s="635"/>
      <c r="W26" s="30"/>
      <c r="X26" s="30"/>
      <c r="Y26" s="30"/>
      <c r="Z26" s="30"/>
      <c r="AA26" s="30"/>
      <c r="AB26" s="30"/>
      <c r="AC26" s="30"/>
      <c r="AD26" s="30"/>
      <c r="AE26" s="30"/>
      <c r="AF26" s="30"/>
      <c r="AG26" s="30"/>
      <c r="AH26" s="267"/>
      <c r="AI26" s="30"/>
    </row>
    <row r="27" spans="1:35" ht="30" customHeight="1" x14ac:dyDescent="0.3">
      <c r="A27" s="267"/>
      <c r="B27" s="30"/>
      <c r="C27" s="30" t="str">
        <f t="shared" si="0"/>
        <v>1</v>
      </c>
      <c r="D27" s="32">
        <f>IF(LEFT(F27,5)="Bonne",D25+1,D26)</f>
        <v>1</v>
      </c>
      <c r="E27" s="32" t="str">
        <f>C27&amp;D27&amp;RIGHT(F27,1)</f>
        <v>111</v>
      </c>
      <c r="F27" s="143" t="s">
        <v>27</v>
      </c>
      <c r="G27" s="144" t="str">
        <f>VLOOKUP(E27,BDD!$A$2:$N$567,MATCH(G$24,BDD!$A$1:$P$1,0),FALSE)</f>
        <v>La DSI contribue à l’élaboration du plan stratégique et du business plan de l’organisation.</v>
      </c>
      <c r="H27" s="149" t="str">
        <f>IF(VLOOKUP($E27,BDD!$A$2:$N$567,MATCH($H$23,BDD!$A$1:$P$1,0),FALSE)=H$24,V1_Stratégie!H$24,"")</f>
        <v/>
      </c>
      <c r="I27" s="150" t="str">
        <f>IF(VLOOKUP($E27,BDD!$A$2:$N$567,MATCH($H$23,BDD!$A$1:$P$1,0),FALSE)=I$24,V1_Stratégie!I$24,"")</f>
        <v/>
      </c>
      <c r="J27" s="150" t="str">
        <f>IF(VLOOKUP($E27,BDD!$A$2:$N$567,MATCH($H$23,BDD!$A$1:$P$1,0),FALSE)=J$24,V1_Stratégie!J$24,"")</f>
        <v/>
      </c>
      <c r="K27" s="150" t="str">
        <f>IF(VLOOKUP($E27,BDD!$A$2:$N$567,MATCH($H$23,BDD!$A$1:$P$1,0),FALSE)=K$24,V1_Stratégie!K$24,"")</f>
        <v/>
      </c>
      <c r="L27" s="151" t="str">
        <f>IF(VLOOKUP($E27,BDD!$A$2:$N$567,MATCH($H$23,BDD!$A$1:$P$1,0),FALSE)=L$24,V1_Stratégie!L$24,"")</f>
        <v>N5</v>
      </c>
      <c r="M27" s="63">
        <f t="shared" ref="M27:M33" si="1">IF(N27="Exigences partiellement respectées",1,IF(N27="Exigences respectées",2,0))</f>
        <v>0</v>
      </c>
      <c r="N27" s="144" t="str">
        <f>VLOOKUP(VLOOKUP(E27,BDD!$A$2:$P$428,15,FALSE),Suppl!$D$64:$E$68,2,FALSE)</f>
        <v>Non renseigné</v>
      </c>
      <c r="O27" s="626"/>
      <c r="P27" s="626"/>
      <c r="Q27" s="626"/>
      <c r="R27" s="626"/>
      <c r="S27" s="627">
        <f>IF(N27=Suppl!$E$65,0,IF(N27=Suppl!$E$66,1/2/(COUNTIFS($D:$D,D27,$N:$N,"Exigences"&amp;"*",G:G,"&lt;&gt;0")+COUNTIFS($D:$D,D27,$N:$N,"Non"&amp;"*",G:G,"&lt;&gt;0")),IF(N27=Suppl!$E$67,1/(COUNTIFS($D:$D,D27,$N:$N,"Exigences"&amp;"*",G:G,"&lt;&gt;0")+COUNTIFS($D:$D,D27,$N:$N,"Non"&amp;"*",G:G,"&lt;&gt;0")),0)))</f>
        <v>0</v>
      </c>
      <c r="T27" s="627"/>
      <c r="U27" s="627"/>
      <c r="V27" s="628"/>
      <c r="W27" s="356">
        <f>IFERROR(IF(N27=Suppl!$E$65,0,IF(N27=Suppl!$E$66,1/2/(COUNTIFS($N:$N,"Exigences"&amp;"*")+COUNTIFS($N:$N,"Non"&amp;"*")),IF(N27=Suppl!$E$67,1/(COUNTIFS($N:$N,"Exigences"&amp;"*")+COUNTIFS($N:$N,"Non"&amp;"*")),0))),0)</f>
        <v>0</v>
      </c>
      <c r="X27" s="30"/>
      <c r="Y27" s="30"/>
      <c r="Z27" s="30"/>
      <c r="AA27" s="30"/>
      <c r="AB27" s="30"/>
      <c r="AC27" s="30"/>
      <c r="AD27" s="30"/>
      <c r="AE27" s="30"/>
      <c r="AF27" s="30"/>
      <c r="AG27" s="30"/>
      <c r="AH27" s="267"/>
      <c r="AI27" s="30"/>
    </row>
    <row r="28" spans="1:35" ht="30" customHeight="1" x14ac:dyDescent="0.3">
      <c r="A28" s="267"/>
      <c r="B28" s="30"/>
      <c r="C28" s="30" t="str">
        <f t="shared" si="0"/>
        <v>1</v>
      </c>
      <c r="D28" s="32">
        <f t="shared" ref="D28:D63" si="2">IF(LEFT(F28,5)="Bonne",D26+1,D27)</f>
        <v>1</v>
      </c>
      <c r="E28" s="32" t="str">
        <f t="shared" ref="E28:E33" si="3">C28&amp;D28&amp;RIGHT(F28,1)</f>
        <v>112</v>
      </c>
      <c r="F28" s="145" t="s">
        <v>28</v>
      </c>
      <c r="G28" s="146" t="str">
        <f>VLOOKUP(E28,BDD!$A$2:$N$567,MATCH(G$24,BDD!$A$1:$P$1,0),FALSE)</f>
        <v>La DSI a mis en place un dispositif de veille technologique.</v>
      </c>
      <c r="H28" s="149" t="str">
        <f>IF(VLOOKUP($E28,BDD!$A$2:$N$567,MATCH($H$23,BDD!$A$1:$P$1,0),FALSE)=H$24,V1_Stratégie!H$24,"")</f>
        <v/>
      </c>
      <c r="I28" s="150" t="str">
        <f>IF(VLOOKUP($E28,BDD!$A$2:$N$567,MATCH($H$23,BDD!$A$1:$P$1,0),FALSE)=I$24,V1_Stratégie!I$24,"")</f>
        <v>N2</v>
      </c>
      <c r="J28" s="150" t="str">
        <f>IF(VLOOKUP($E28,BDD!$A$2:$N$567,MATCH($H$23,BDD!$A$1:$P$1,0),FALSE)=J$24,V1_Stratégie!J$24,"")</f>
        <v/>
      </c>
      <c r="K28" s="150" t="str">
        <f>IF(VLOOKUP($E28,BDD!$A$2:$N$567,MATCH($H$23,BDD!$A$1:$P$1,0),FALSE)=K$24,V1_Stratégie!K$24,"")</f>
        <v/>
      </c>
      <c r="L28" s="151" t="str">
        <f>IF(VLOOKUP($E28,BDD!$A$2:$N$567,MATCH($H$23,BDD!$A$1:$P$1,0),FALSE)=L$24,V1_Stratégie!L$24,"")</f>
        <v/>
      </c>
      <c r="M28" s="63">
        <f t="shared" si="1"/>
        <v>0</v>
      </c>
      <c r="N28" s="146" t="str">
        <f>VLOOKUP(VLOOKUP(E28,BDD!$A$2:$P$428,15,FALSE),Suppl!$D$64:$E$68,2,FALSE)</f>
        <v>Non renseigné</v>
      </c>
      <c r="O28" s="629"/>
      <c r="P28" s="629"/>
      <c r="Q28" s="629"/>
      <c r="R28" s="629"/>
      <c r="S28" s="627">
        <f>IF(N28=Suppl!$E$65,0,IF(N28=Suppl!$E$66,1/2/(COUNTIFS($D:$D,D28,$N:$N,"Exigences"&amp;"*",G:G,"&lt;&gt;0")+COUNTIFS($D:$D,D28,$N:$N,"Non"&amp;"*",G:G,"&lt;&gt;0")),IF(N28=Suppl!$E$67,1/(COUNTIFS($D:$D,D28,$N:$N,"Exigences"&amp;"*",G:G,"&lt;&gt;0")+COUNTIFS($D:$D,D28,$N:$N,"Non"&amp;"*",G:G,"&lt;&gt;0")),0)))</f>
        <v>0</v>
      </c>
      <c r="T28" s="627"/>
      <c r="U28" s="627"/>
      <c r="V28" s="628"/>
      <c r="W28" s="356">
        <f>IFERROR(IF(N28=Suppl!$E$65,0,IF(N28=Suppl!$E$66,1/2/(COUNTIFS($N:$N,"Exigences"&amp;"*")+COUNTIFS($N:$N,"Non"&amp;"*")),IF(N28=Suppl!$E$67,1/(COUNTIFS($N:$N,"Exigences"&amp;"*")+COUNTIFS($N:$N,"Non"&amp;"*")),0))),0)</f>
        <v>0</v>
      </c>
      <c r="X28" s="30"/>
      <c r="Y28" s="30"/>
      <c r="Z28" s="30"/>
      <c r="AA28" s="30"/>
      <c r="AB28" s="30"/>
      <c r="AC28" s="30"/>
      <c r="AD28" s="30"/>
      <c r="AE28" s="30"/>
      <c r="AF28" s="30"/>
      <c r="AG28" s="30"/>
      <c r="AH28" s="267"/>
      <c r="AI28" s="30"/>
    </row>
    <row r="29" spans="1:35" ht="30" customHeight="1" x14ac:dyDescent="0.3">
      <c r="A29" s="267"/>
      <c r="B29" s="30"/>
      <c r="C29" s="30" t="str">
        <f t="shared" si="0"/>
        <v>1</v>
      </c>
      <c r="D29" s="32">
        <f>IF(LEFT(F29,5)="Bonne",D27+1,D28)</f>
        <v>1</v>
      </c>
      <c r="E29" s="32" t="str">
        <f t="shared" si="3"/>
        <v>113</v>
      </c>
      <c r="F29" s="143" t="s">
        <v>30</v>
      </c>
      <c r="G29" s="144" t="str">
        <f>VLOOKUP(E29,BDD!$A$2:$N$567,MATCH(G$24,BDD!$A$1:$P$1,0),FALSE)</f>
        <v>Les résultats de la veille sont partagés avec les responsables impliqués dans l’élaboration de la stratégie de l’organisation.</v>
      </c>
      <c r="H29" s="149" t="str">
        <f>IF(VLOOKUP($E29,BDD!$A$2:$N$567,MATCH($H$23,BDD!$A$1:$P$1,0),FALSE)=H$24,V1_Stratégie!H$24,"")</f>
        <v/>
      </c>
      <c r="I29" s="150" t="str">
        <f>IF(VLOOKUP($E29,BDD!$A$2:$N$567,MATCH($H$23,BDD!$A$1:$P$1,0),FALSE)=I$24,V1_Stratégie!I$24,"")</f>
        <v/>
      </c>
      <c r="J29" s="150" t="str">
        <f>IF(VLOOKUP($E29,BDD!$A$2:$N$567,MATCH($H$23,BDD!$A$1:$P$1,0),FALSE)=J$24,V1_Stratégie!J$24,"")</f>
        <v>N3</v>
      </c>
      <c r="K29" s="150" t="str">
        <f>IF(VLOOKUP($E29,BDD!$A$2:$N$567,MATCH($H$23,BDD!$A$1:$P$1,0),FALSE)=K$24,V1_Stratégie!K$24,"")</f>
        <v/>
      </c>
      <c r="L29" s="151" t="str">
        <f>IF(VLOOKUP($E29,BDD!$A$2:$N$567,MATCH($H$23,BDD!$A$1:$P$1,0),FALSE)=L$24,V1_Stratégie!L$24,"")</f>
        <v/>
      </c>
      <c r="M29" s="63">
        <f t="shared" si="1"/>
        <v>0</v>
      </c>
      <c r="N29" s="144" t="str">
        <f>VLOOKUP(VLOOKUP(E29,BDD!$A$2:$P$428,15,FALSE),Suppl!$D$64:$E$68,2,FALSE)</f>
        <v>Non renseigné</v>
      </c>
      <c r="O29" s="629"/>
      <c r="P29" s="629"/>
      <c r="Q29" s="629"/>
      <c r="R29" s="629"/>
      <c r="S29" s="627">
        <f>IF(N29=Suppl!$E$65,0,IF(N29=Suppl!$E$66,1/2/(COUNTIFS($D:$D,D29,$N:$N,"Exigences"&amp;"*",G:G,"&lt;&gt;0")+COUNTIFS($D:$D,D29,$N:$N,"Non"&amp;"*",G:G,"&lt;&gt;0")),IF(N29=Suppl!$E$67,1/(COUNTIFS($D:$D,D29,$N:$N,"Exigences"&amp;"*",G:G,"&lt;&gt;0")+COUNTIFS($D:$D,D29,$N:$N,"Non"&amp;"*",G:G,"&lt;&gt;0")),0)))</f>
        <v>0</v>
      </c>
      <c r="T29" s="627"/>
      <c r="U29" s="627"/>
      <c r="V29" s="628"/>
      <c r="W29" s="356">
        <f>IFERROR(IF(N29=Suppl!$E$65,0,IF(N29=Suppl!$E$66,1/2/(COUNTIFS($N:$N,"Exigences"&amp;"*")+COUNTIFS($N:$N,"Non"&amp;"*")),IF(N29=Suppl!$E$67,1/(COUNTIFS($N:$N,"Exigences"&amp;"*")+COUNTIFS($N:$N,"Non"&amp;"*")),0))),0)</f>
        <v>0</v>
      </c>
      <c r="X29" s="30"/>
      <c r="Y29" s="30"/>
      <c r="Z29" s="30"/>
      <c r="AA29" s="30"/>
      <c r="AB29" s="30"/>
      <c r="AC29" s="30"/>
      <c r="AD29" s="30"/>
      <c r="AE29" s="30"/>
      <c r="AF29" s="30"/>
      <c r="AG29" s="30"/>
      <c r="AH29" s="267"/>
      <c r="AI29" s="30"/>
    </row>
    <row r="30" spans="1:35" ht="30" customHeight="1" x14ac:dyDescent="0.3">
      <c r="A30" s="267"/>
      <c r="B30" s="30"/>
      <c r="C30" s="30" t="str">
        <f t="shared" si="0"/>
        <v>1</v>
      </c>
      <c r="D30" s="32">
        <f t="shared" si="2"/>
        <v>1</v>
      </c>
      <c r="E30" s="32" t="str">
        <f t="shared" si="3"/>
        <v>114</v>
      </c>
      <c r="F30" s="145" t="s">
        <v>32</v>
      </c>
      <c r="G30" s="146" t="str">
        <f>VLOOKUP(E30,BDD!$A$2:$N$567,MATCH(G$24,BDD!$A$1:$P$1,0),FALSE)</f>
        <v>En collaboration avec les métiers, la DSI a élaboré le volet numérique du plan stratégique de l’organisation.</v>
      </c>
      <c r="H30" s="149" t="str">
        <f>IF(VLOOKUP($E30,BDD!$A$2:$N$567,MATCH($H$23,BDD!$A$1:$P$1,0),FALSE)=H$24,V1_Stratégie!H$24,"")</f>
        <v/>
      </c>
      <c r="I30" s="150" t="str">
        <f>IF(VLOOKUP($E30,BDD!$A$2:$N$567,MATCH($H$23,BDD!$A$1:$P$1,0),FALSE)=I$24,V1_Stratégie!I$24,"")</f>
        <v/>
      </c>
      <c r="J30" s="150" t="str">
        <f>IF(VLOOKUP($E30,BDD!$A$2:$N$567,MATCH($H$23,BDD!$A$1:$P$1,0),FALSE)=J$24,V1_Stratégie!J$24,"")</f>
        <v>N3</v>
      </c>
      <c r="K30" s="150" t="str">
        <f>IF(VLOOKUP($E30,BDD!$A$2:$N$567,MATCH($H$23,BDD!$A$1:$P$1,0),FALSE)=K$24,V1_Stratégie!K$24,"")</f>
        <v/>
      </c>
      <c r="L30" s="151" t="str">
        <f>IF(VLOOKUP($E30,BDD!$A$2:$N$567,MATCH($H$23,BDD!$A$1:$P$1,0),FALSE)=L$24,V1_Stratégie!L$24,"")</f>
        <v/>
      </c>
      <c r="M30" s="63">
        <f t="shared" si="1"/>
        <v>0</v>
      </c>
      <c r="N30" s="146" t="str">
        <f>VLOOKUP(VLOOKUP(E30,BDD!$A$2:$P$428,15,FALSE),Suppl!$D$64:$E$68,2,FALSE)</f>
        <v>Non renseigné</v>
      </c>
      <c r="O30" s="629"/>
      <c r="P30" s="629"/>
      <c r="Q30" s="629"/>
      <c r="R30" s="629"/>
      <c r="S30" s="627">
        <f>IF(N30=Suppl!$E$65,0,IF(N30=Suppl!$E$66,1/2/(COUNTIFS($D:$D,D30,$N:$N,"Exigences"&amp;"*",G:G,"&lt;&gt;0")+COUNTIFS($D:$D,D30,$N:$N,"Non"&amp;"*",G:G,"&lt;&gt;0")),IF(N30=Suppl!$E$67,1/(COUNTIFS($D:$D,D30,$N:$N,"Exigences"&amp;"*",G:G,"&lt;&gt;0")+COUNTIFS($D:$D,D30,$N:$N,"Non"&amp;"*",G:G,"&lt;&gt;0")),0)))</f>
        <v>0</v>
      </c>
      <c r="T30" s="627"/>
      <c r="U30" s="627"/>
      <c r="V30" s="628"/>
      <c r="W30" s="356">
        <f>IFERROR(IF(N30=Suppl!$E$65,0,IF(N30=Suppl!$E$66,1/2/(COUNTIFS($N:$N,"Exigences"&amp;"*")+COUNTIFS($N:$N,"Non"&amp;"*")),IF(N30=Suppl!$E$67,1/(COUNTIFS($N:$N,"Exigences"&amp;"*")+COUNTIFS($N:$N,"Non"&amp;"*")),0))),0)</f>
        <v>0</v>
      </c>
      <c r="X30" s="30"/>
      <c r="Y30" s="30"/>
      <c r="Z30" s="30"/>
      <c r="AA30" s="30"/>
      <c r="AB30" s="30"/>
      <c r="AC30" s="30"/>
      <c r="AD30" s="30"/>
      <c r="AE30" s="30"/>
      <c r="AF30" s="30"/>
      <c r="AG30" s="30"/>
      <c r="AH30" s="267"/>
      <c r="AI30" s="30"/>
    </row>
    <row r="31" spans="1:35" ht="30" customHeight="1" x14ac:dyDescent="0.3">
      <c r="A31" s="267"/>
      <c r="B31" s="30"/>
      <c r="C31" s="30" t="str">
        <f t="shared" si="0"/>
        <v>1</v>
      </c>
      <c r="D31" s="32">
        <f t="shared" si="2"/>
        <v>1</v>
      </c>
      <c r="E31" s="32" t="str">
        <f t="shared" si="3"/>
        <v>115</v>
      </c>
      <c r="F31" s="143" t="s">
        <v>33</v>
      </c>
      <c r="G31" s="144" t="str">
        <f>VLOOKUP(E31,BDD!$A$2:$N$567,MATCH(G$24,BDD!$A$1:$P$1,0),FALSE)</f>
        <v>La DSI décline le plan stratégique de l'organisation sous forme de plan de route numérique.</v>
      </c>
      <c r="H31" s="149" t="str">
        <f>IF(VLOOKUP($E31,BDD!$A$2:$N$567,MATCH($H$23,BDD!$A$1:$P$1,0),FALSE)=H$24,V1_Stratégie!H$24,"")</f>
        <v>N1</v>
      </c>
      <c r="I31" s="150" t="str">
        <f>IF(VLOOKUP($E31,BDD!$A$2:$N$567,MATCH($H$23,BDD!$A$1:$P$1,0),FALSE)=I$24,V1_Stratégie!I$24,"")</f>
        <v/>
      </c>
      <c r="J31" s="150" t="str">
        <f>IF(VLOOKUP($E31,BDD!$A$2:$N$567,MATCH($H$23,BDD!$A$1:$P$1,0),FALSE)=J$24,V1_Stratégie!J$24,"")</f>
        <v/>
      </c>
      <c r="K31" s="150" t="str">
        <f>IF(VLOOKUP($E31,BDD!$A$2:$N$567,MATCH($H$23,BDD!$A$1:$P$1,0),FALSE)=K$24,V1_Stratégie!K$24,"")</f>
        <v/>
      </c>
      <c r="L31" s="151" t="str">
        <f>IF(VLOOKUP($E31,BDD!$A$2:$N$567,MATCH($H$23,BDD!$A$1:$P$1,0),FALSE)=L$24,V1_Stratégie!L$24,"")</f>
        <v/>
      </c>
      <c r="M31" s="63">
        <f t="shared" si="1"/>
        <v>0</v>
      </c>
      <c r="N31" s="144" t="str">
        <f>VLOOKUP(VLOOKUP(E31,BDD!$A$2:$P$428,15,FALSE),Suppl!$D$64:$E$68,2,FALSE)</f>
        <v>Non renseigné</v>
      </c>
      <c r="O31" s="629"/>
      <c r="P31" s="629"/>
      <c r="Q31" s="629"/>
      <c r="R31" s="629"/>
      <c r="S31" s="627">
        <f>IF(N31=Suppl!$E$65,0,IF(N31=Suppl!$E$66,1/2/(COUNTIFS($D:$D,D31,$N:$N,"Exigences"&amp;"*",G:G,"&lt;&gt;0")+COUNTIFS($D:$D,D31,$N:$N,"Non"&amp;"*",G:G,"&lt;&gt;0")),IF(N31=Suppl!$E$67,1/(COUNTIFS($D:$D,D31,$N:$N,"Exigences"&amp;"*",G:G,"&lt;&gt;0")+COUNTIFS($D:$D,D31,$N:$N,"Non"&amp;"*",G:G,"&lt;&gt;0")),0)))</f>
        <v>0</v>
      </c>
      <c r="T31" s="627"/>
      <c r="U31" s="627"/>
      <c r="V31" s="628"/>
      <c r="W31" s="356">
        <f>IFERROR(IF(N31=Suppl!$E$65,0,IF(N31=Suppl!$E$66,1/2/(COUNTIFS($N:$N,"Exigences"&amp;"*")+COUNTIFS($N:$N,"Non"&amp;"*")),IF(N31=Suppl!$E$67,1/(COUNTIFS($N:$N,"Exigences"&amp;"*")+COUNTIFS($N:$N,"Non"&amp;"*")),0))),0)</f>
        <v>0</v>
      </c>
      <c r="X31" s="30"/>
      <c r="Y31" s="30"/>
      <c r="Z31" s="30"/>
      <c r="AA31" s="30"/>
      <c r="AB31" s="30"/>
      <c r="AC31" s="30"/>
      <c r="AD31" s="30"/>
      <c r="AE31" s="30"/>
      <c r="AF31" s="30"/>
      <c r="AG31" s="30"/>
      <c r="AH31" s="267"/>
      <c r="AI31" s="30"/>
    </row>
    <row r="32" spans="1:35" ht="30" customHeight="1" x14ac:dyDescent="0.3">
      <c r="A32" s="267"/>
      <c r="B32" s="30"/>
      <c r="C32" s="30" t="str">
        <f t="shared" si="0"/>
        <v>1</v>
      </c>
      <c r="D32" s="32">
        <f t="shared" si="2"/>
        <v>1</v>
      </c>
      <c r="E32" s="32" t="str">
        <f t="shared" si="3"/>
        <v>116</v>
      </c>
      <c r="F32" s="147" t="s">
        <v>34</v>
      </c>
      <c r="G32" s="148" t="str">
        <f>VLOOKUP(E32,BDD!$A$2:$N$567,MATCH(G$24,BDD!$A$1:$P$1,0),FALSE)</f>
        <v>Le volet numérique est cohérent et intégré au plan stratégique de l’organisation au même titre que ceux des autres fonctions de l’organisation.</v>
      </c>
      <c r="H32" s="149" t="str">
        <f>IF(VLOOKUP($E32,BDD!$A$2:$N$567,MATCH($H$23,BDD!$A$1:$P$1,0),FALSE)=H$24,V1_Stratégie!H$24,"")</f>
        <v/>
      </c>
      <c r="I32" s="150" t="str">
        <f>IF(VLOOKUP($E32,BDD!$A$2:$N$567,MATCH($H$23,BDD!$A$1:$P$1,0),FALSE)=I$24,V1_Stratégie!I$24,"")</f>
        <v/>
      </c>
      <c r="J32" s="150" t="str">
        <f>IF(VLOOKUP($E32,BDD!$A$2:$N$567,MATCH($H$23,BDD!$A$1:$P$1,0),FALSE)=J$24,V1_Stratégie!J$24,"")</f>
        <v>N3</v>
      </c>
      <c r="K32" s="150" t="str">
        <f>IF(VLOOKUP($E32,BDD!$A$2:$N$567,MATCH($H$23,BDD!$A$1:$P$1,0),FALSE)=K$24,V1_Stratégie!K$24,"")</f>
        <v/>
      </c>
      <c r="L32" s="151" t="str">
        <f>IF(VLOOKUP($E32,BDD!$A$2:$N$567,MATCH($H$23,BDD!$A$1:$P$1,0),FALSE)=L$24,V1_Stratégie!L$24,"")</f>
        <v/>
      </c>
      <c r="M32" s="63">
        <f t="shared" si="1"/>
        <v>0</v>
      </c>
      <c r="N32" s="148" t="str">
        <f>VLOOKUP(VLOOKUP(E32,BDD!$A$2:$P$428,15,FALSE),Suppl!$D$64:$E$68,2,FALSE)</f>
        <v>Non renseigné</v>
      </c>
      <c r="O32" s="629"/>
      <c r="P32" s="629"/>
      <c r="Q32" s="629"/>
      <c r="R32" s="629"/>
      <c r="S32" s="627">
        <f>IF(N32=Suppl!$E$65,0,IF(N32=Suppl!$E$66,1/2/(COUNTIFS($D:$D,D32,$N:$N,"Exigences"&amp;"*",G:G,"&lt;&gt;0")+COUNTIFS($D:$D,D32,$N:$N,"Non"&amp;"*",G:G,"&lt;&gt;0")),IF(N32=Suppl!$E$67,1/(COUNTIFS($D:$D,D32,$N:$N,"Exigences"&amp;"*",G:G,"&lt;&gt;0")+COUNTIFS($D:$D,D32,$N:$N,"Non"&amp;"*",G:G,"&lt;&gt;0")),0)))</f>
        <v>0</v>
      </c>
      <c r="T32" s="627"/>
      <c r="U32" s="627"/>
      <c r="V32" s="628"/>
      <c r="W32" s="356">
        <f>IFERROR(IF(N32=Suppl!$E$65,0,IF(N32=Suppl!$E$66,1/2/(COUNTIFS($N:$N,"Exigences"&amp;"*")+COUNTIFS($N:$N,"Non"&amp;"*")),IF(N32=Suppl!$E$67,1/(COUNTIFS($N:$N,"Exigences"&amp;"*")+COUNTIFS($N:$N,"Non"&amp;"*")),0))),0)</f>
        <v>0</v>
      </c>
      <c r="X32" s="30"/>
      <c r="Y32" s="30"/>
      <c r="Z32" s="30"/>
      <c r="AA32" s="30"/>
      <c r="AB32" s="30"/>
      <c r="AC32" s="30"/>
      <c r="AD32" s="30"/>
      <c r="AE32" s="30"/>
      <c r="AF32" s="30"/>
      <c r="AG32" s="30"/>
      <c r="AH32" s="267"/>
      <c r="AI32" s="30"/>
    </row>
    <row r="33" spans="1:35" ht="30" customHeight="1" x14ac:dyDescent="0.3">
      <c r="A33" s="267"/>
      <c r="B33" s="30"/>
      <c r="C33" s="30" t="str">
        <f t="shared" si="0"/>
        <v>1</v>
      </c>
      <c r="D33" s="32">
        <f t="shared" si="2"/>
        <v>1</v>
      </c>
      <c r="E33" s="32" t="str">
        <f t="shared" si="3"/>
        <v>117</v>
      </c>
      <c r="F33" s="143" t="s">
        <v>36</v>
      </c>
      <c r="G33" s="144" t="str">
        <f>VLOOKUP(E33,BDD!$A$2:$N$567,MATCH(G$24,BDD!$A$1:$P$1,0),FALSE)</f>
        <v>Les sujets de transformation numérique bénéficient d’un sponsoring au plus haut niveau de l’organisation.</v>
      </c>
      <c r="H33" s="149" t="str">
        <f>IF(VLOOKUP($E33,BDD!$A$2:$N$567,MATCH($H$23,BDD!$A$1:$P$1,0),FALSE)=H$24,V1_Stratégie!H$24,"")</f>
        <v/>
      </c>
      <c r="I33" s="150" t="str">
        <f>IF(VLOOKUP($E33,BDD!$A$2:$N$567,MATCH($H$23,BDD!$A$1:$P$1,0),FALSE)=I$24,V1_Stratégie!I$24,"")</f>
        <v/>
      </c>
      <c r="J33" s="150" t="str">
        <f>IF(VLOOKUP($E33,BDD!$A$2:$N$567,MATCH($H$23,BDD!$A$1:$P$1,0),FALSE)=J$24,V1_Stratégie!J$24,"")</f>
        <v/>
      </c>
      <c r="K33" s="150" t="str">
        <f>IF(VLOOKUP($E33,BDD!$A$2:$N$567,MATCH($H$23,BDD!$A$1:$P$1,0),FALSE)=K$24,V1_Stratégie!K$24,"")</f>
        <v>N4</v>
      </c>
      <c r="L33" s="151" t="str">
        <f>IF(VLOOKUP($E33,BDD!$A$2:$N$567,MATCH($H$23,BDD!$A$1:$P$1,0),FALSE)=L$24,V1_Stratégie!L$24,"")</f>
        <v/>
      </c>
      <c r="M33" s="63">
        <f t="shared" si="1"/>
        <v>0</v>
      </c>
      <c r="N33" s="144" t="str">
        <f>VLOOKUP(VLOOKUP(E33,BDD!$A$2:$P$428,15,FALSE),Suppl!$D$64:$E$68,2,FALSE)</f>
        <v>Non renseigné</v>
      </c>
      <c r="O33" s="636"/>
      <c r="P33" s="636"/>
      <c r="Q33" s="636"/>
      <c r="R33" s="636"/>
      <c r="S33" s="627">
        <f>IF(N33=Suppl!$E$65,0,IF(N33=Suppl!$E$66,1/2/(COUNTIFS($D:$D,D33,$N:$N,"Exigences"&amp;"*",G:G,"&lt;&gt;0")+COUNTIFS($D:$D,D33,$N:$N,"Non"&amp;"*",G:G,"&lt;&gt;0")),IF(N33=Suppl!$E$67,1/(COUNTIFS($D:$D,D33,$N:$N,"Exigences"&amp;"*",G:G,"&lt;&gt;0")+COUNTIFS($D:$D,D33,$N:$N,"Non"&amp;"*",G:G,"&lt;&gt;0")),0)))</f>
        <v>0</v>
      </c>
      <c r="T33" s="627"/>
      <c r="U33" s="627"/>
      <c r="V33" s="628"/>
      <c r="W33" s="356">
        <f>IFERROR(IF(N33=Suppl!$E$65,0,IF(N33=Suppl!$E$66,1/2/(COUNTIFS($N:$N,"Exigences"&amp;"*")+COUNTIFS($N:$N,"Non"&amp;"*")),IF(N33=Suppl!$E$67,1/(COUNTIFS($N:$N,"Exigences"&amp;"*")+COUNTIFS($N:$N,"Non"&amp;"*")),0))),0)</f>
        <v>0</v>
      </c>
      <c r="X33" s="30"/>
      <c r="Y33" s="30"/>
      <c r="Z33" s="30"/>
      <c r="AA33" s="30"/>
      <c r="AB33" s="30"/>
      <c r="AC33" s="30"/>
      <c r="AD33" s="30"/>
      <c r="AE33" s="30"/>
      <c r="AF33" s="30"/>
      <c r="AG33" s="30"/>
      <c r="AH33" s="267"/>
      <c r="AI33" s="30"/>
    </row>
    <row r="34" spans="1:35" ht="30" customHeight="1" x14ac:dyDescent="0.3">
      <c r="A34" s="267"/>
      <c r="B34" s="30"/>
      <c r="C34" s="30" t="str">
        <f t="shared" si="0"/>
        <v>1</v>
      </c>
      <c r="D34" s="32">
        <f>IF(LEFT(F34,5)="Bonne",D32+1,D33)</f>
        <v>2</v>
      </c>
      <c r="E34" s="32"/>
      <c r="F34" s="191" t="s">
        <v>500</v>
      </c>
      <c r="G34" s="192" t="str">
        <f>VLOOKUP(E36,BDD!$A$2:$N$567,6,FALSE)</f>
        <v>Contenu Stratégique</v>
      </c>
      <c r="H34" s="190" t="str">
        <f>VLOOKUP(E36,BDD!$A$2:$N$567,6,FALSE)</f>
        <v>Contenu Stratégique</v>
      </c>
      <c r="I34" s="135"/>
      <c r="J34" s="135"/>
      <c r="K34" s="135"/>
      <c r="L34" s="136"/>
      <c r="M34" s="137"/>
      <c r="N34" s="138"/>
      <c r="O34" s="630">
        <v>0</v>
      </c>
      <c r="P34" s="630"/>
      <c r="Q34" s="630"/>
      <c r="R34" s="630"/>
      <c r="S34" s="632">
        <f>SUMIFS(S:S,$D:$D,D34,$N:$N,"Exigences"&amp;"*")</f>
        <v>0</v>
      </c>
      <c r="T34" s="632"/>
      <c r="U34" s="632"/>
      <c r="V34" s="633"/>
      <c r="W34" s="356">
        <f>IFERROR(IF(N34=Suppl!$E$65,0,IF(N34=Suppl!$E$66,1/2/(COUNTIFS($N:$N,"Exigences"&amp;"*")+COUNTIFS($N:$N,"Non"&amp;"*")),IF(N34=Suppl!$E$67,1/(COUNTIFS($N:$N,"Exigences"&amp;"*")+COUNTIFS($N:$N,"Non"&amp;"*")),0))),0)</f>
        <v>0</v>
      </c>
      <c r="X34" s="30"/>
      <c r="Y34" s="30"/>
      <c r="Z34" s="30"/>
      <c r="AA34" s="30"/>
      <c r="AB34" s="30"/>
      <c r="AC34" s="30"/>
      <c r="AD34" s="30"/>
      <c r="AE34" s="30"/>
      <c r="AF34" s="30"/>
      <c r="AG34" s="30"/>
      <c r="AH34" s="267"/>
      <c r="AI34" s="30"/>
    </row>
    <row r="35" spans="1:35" ht="30" customHeight="1" x14ac:dyDescent="0.3">
      <c r="A35" s="267"/>
      <c r="B35" s="30"/>
      <c r="C35" s="30" t="str">
        <f t="shared" si="0"/>
        <v>1</v>
      </c>
      <c r="D35" s="32">
        <f>IF(LEFT(F35,5)="Bonne",D33+1,D34)</f>
        <v>2</v>
      </c>
      <c r="E35" s="32"/>
      <c r="F35" s="211" t="s">
        <v>550</v>
      </c>
      <c r="G35" s="193" t="str">
        <f>VLOOKUP(E37,BDD!$A$2:$N$567,7,FALSE)</f>
        <v xml:space="preserve">Le volet numérique du plan stratégique intègre les cibles métiers et technologiques ainsi que la planification des ressources nécessaires à leur atteinte. </v>
      </c>
      <c r="H35" s="139"/>
      <c r="I35" s="139"/>
      <c r="J35" s="139"/>
      <c r="K35" s="139"/>
      <c r="L35" s="140"/>
      <c r="M35" s="141"/>
      <c r="N35" s="142"/>
      <c r="O35" s="631"/>
      <c r="P35" s="631"/>
      <c r="Q35" s="631"/>
      <c r="R35" s="631"/>
      <c r="S35" s="634"/>
      <c r="T35" s="634"/>
      <c r="U35" s="634"/>
      <c r="V35" s="635"/>
      <c r="W35" s="356">
        <f>IFERROR(IF(N35=Suppl!$E$65,0,IF(N35=Suppl!$E$66,1/2/(COUNTIFS($N:$N,"Exigences"&amp;"*")+COUNTIFS($N:$N,"Non"&amp;"*")),IF(N35=Suppl!$E$67,1/(COUNTIFS($N:$N,"Exigences"&amp;"*")+COUNTIFS($N:$N,"Non"&amp;"*")),0))),0)</f>
        <v>0</v>
      </c>
      <c r="X35" s="30"/>
      <c r="Y35" s="30"/>
      <c r="Z35" s="30"/>
      <c r="AA35" s="30"/>
      <c r="AB35" s="30"/>
      <c r="AC35" s="30"/>
      <c r="AD35" s="30"/>
      <c r="AE35" s="30"/>
      <c r="AF35" s="30"/>
      <c r="AG35" s="30"/>
      <c r="AH35" s="267"/>
      <c r="AI35" s="30"/>
    </row>
    <row r="36" spans="1:35" ht="41.4" x14ac:dyDescent="0.3">
      <c r="A36" s="267"/>
      <c r="B36" s="30"/>
      <c r="C36" s="30" t="str">
        <f t="shared" si="0"/>
        <v>1</v>
      </c>
      <c r="D36" s="32">
        <f t="shared" si="2"/>
        <v>2</v>
      </c>
      <c r="E36" s="32" t="str">
        <f t="shared" ref="E36:E42" si="4">C36&amp;D36&amp;RIGHT(F36,1)</f>
        <v>121</v>
      </c>
      <c r="F36" s="143" t="s">
        <v>27</v>
      </c>
      <c r="G36" s="144" t="s">
        <v>39</v>
      </c>
      <c r="H36" s="149" t="str">
        <f>IF(VLOOKUP($E36,BDD!$A$2:$N$567,MATCH($H$23,BDD!$A$1:$P$1,0),FALSE)=H$24,V1_Stratégie!H$24,"")</f>
        <v/>
      </c>
      <c r="I36" s="150" t="str">
        <f>IF(VLOOKUP($E36,BDD!$A$2:$N$567,MATCH($H$23,BDD!$A$1:$P$1,0),FALSE)=I$24,V1_Stratégie!I$24,"")</f>
        <v/>
      </c>
      <c r="J36" s="150" t="str">
        <f>IF(VLOOKUP($E36,BDD!$A$2:$N$567,MATCH($H$23,BDD!$A$1:$P$1,0),FALSE)=J$24,V1_Stratégie!J$24,"")</f>
        <v>N3</v>
      </c>
      <c r="K36" s="150" t="str">
        <f>IF(VLOOKUP($E36,BDD!$A$2:$N$567,MATCH($H$23,BDD!$A$1:$P$1,0),FALSE)=K$24,V1_Stratégie!K$24,"")</f>
        <v/>
      </c>
      <c r="L36" s="151" t="str">
        <f>IF(VLOOKUP($E36,BDD!$A$2:$N$567,MATCH($H$23,BDD!$A$1:$P$1,0),FALSE)=L$24,V1_Stratégie!L$24,"")</f>
        <v/>
      </c>
      <c r="M36" s="63">
        <f>IF(N36="Exigences partiellement respectées",1,IF(N36="Exigences respectées",2,0))</f>
        <v>0</v>
      </c>
      <c r="N36" s="144" t="str">
        <f>VLOOKUP(VLOOKUP(E36,BDD!$A$2:$P$428,15,FALSE),Suppl!$D$64:$E$68,2,FALSE)</f>
        <v>Non renseigné</v>
      </c>
      <c r="O36" s="626"/>
      <c r="P36" s="626"/>
      <c r="Q36" s="626"/>
      <c r="R36" s="626"/>
      <c r="S36" s="627">
        <f>IF(N36=Suppl!$E$65,0,IF(N36=Suppl!$E$66,1/2/(COUNTIFS($D:$D,D36,$N:$N,"Exigences"&amp;"*",G:G,"&lt;&gt;0")+COUNTIFS($D:$D,D36,$N:$N,"Non"&amp;"*",G:G,"&lt;&gt;0")),IF(N36=Suppl!$E$67,1/(COUNTIFS($D:$D,D36,$N:$N,"Exigences"&amp;"*",G:G,"&lt;&gt;0")+COUNTIFS($D:$D,D36,$N:$N,"Non"&amp;"*",G:G,"&lt;&gt;0")),0)))</f>
        <v>0</v>
      </c>
      <c r="T36" s="627"/>
      <c r="U36" s="627"/>
      <c r="V36" s="628"/>
      <c r="W36" s="356">
        <f>IFERROR(IF(N36=Suppl!$E$65,0,IF(N36=Suppl!$E$66,1/2/(COUNTIFS($N:$N,"Exigences"&amp;"*")+COUNTIFS($N:$N,"Non"&amp;"*")),IF(N36=Suppl!$E$67,1/(COUNTIFS($N:$N,"Exigences"&amp;"*")+COUNTIFS($N:$N,"Non"&amp;"*")),0))),0)</f>
        <v>0</v>
      </c>
      <c r="X36" s="30"/>
      <c r="Y36" s="30"/>
      <c r="Z36" s="30"/>
      <c r="AA36" s="30"/>
      <c r="AB36" s="30"/>
      <c r="AC36" s="30"/>
      <c r="AD36" s="30"/>
      <c r="AE36" s="30"/>
      <c r="AF36" s="30"/>
      <c r="AG36" s="30"/>
      <c r="AH36" s="267"/>
      <c r="AI36" s="30"/>
    </row>
    <row r="37" spans="1:35" ht="30" customHeight="1" x14ac:dyDescent="0.3">
      <c r="A37" s="267"/>
      <c r="B37" s="30"/>
      <c r="C37" s="30" t="str">
        <f t="shared" si="0"/>
        <v>1</v>
      </c>
      <c r="D37" s="32">
        <f t="shared" si="2"/>
        <v>2</v>
      </c>
      <c r="E37" s="32" t="str">
        <f t="shared" si="4"/>
        <v>122</v>
      </c>
      <c r="F37" s="145" t="s">
        <v>28</v>
      </c>
      <c r="G37" s="146" t="s">
        <v>40</v>
      </c>
      <c r="H37" s="149" t="str">
        <f>IF(VLOOKUP($E37,BDD!$A$2:$N$567,MATCH($H$23,BDD!$A$1:$P$1,0),FALSE)=H$24,V1_Stratégie!H$24,"")</f>
        <v/>
      </c>
      <c r="I37" s="150" t="str">
        <f>IF(VLOOKUP($E37,BDD!$A$2:$N$567,MATCH($H$23,BDD!$A$1:$P$1,0),FALSE)=I$24,V1_Stratégie!I$24,"")</f>
        <v>N2</v>
      </c>
      <c r="J37" s="150" t="str">
        <f>IF(VLOOKUP($E37,BDD!$A$2:$N$567,MATCH($H$23,BDD!$A$1:$P$1,0),FALSE)=J$24,V1_Stratégie!J$24,"")</f>
        <v/>
      </c>
      <c r="K37" s="150" t="str">
        <f>IF(VLOOKUP($E37,BDD!$A$2:$N$567,MATCH($H$23,BDD!$A$1:$P$1,0),FALSE)=K$24,V1_Stratégie!K$24,"")</f>
        <v/>
      </c>
      <c r="L37" s="151" t="str">
        <f>IF(VLOOKUP($E37,BDD!$A$2:$N$567,MATCH($H$23,BDD!$A$1:$P$1,0),FALSE)=L$24,V1_Stratégie!L$24,"")</f>
        <v/>
      </c>
      <c r="M37" s="63">
        <f t="shared" ref="M37:M42" si="5">IF(N37="Exigences partiellement respectées",1,IF(N37="Exigences respectées",2,0))</f>
        <v>0</v>
      </c>
      <c r="N37" s="146" t="str">
        <f>VLOOKUP(VLOOKUP(E37,BDD!$A$2:$P$428,15,FALSE),Suppl!$D$64:$E$68,2,FALSE)</f>
        <v>Non renseigné</v>
      </c>
      <c r="O37" s="629"/>
      <c r="P37" s="629"/>
      <c r="Q37" s="629"/>
      <c r="R37" s="629"/>
      <c r="S37" s="627">
        <f>IF(N37=Suppl!$E$65,0,IF(N37=Suppl!$E$66,1/2/(COUNTIFS($D:$D,D37,$N:$N,"Exigences"&amp;"*",G:G,"&lt;&gt;0")+COUNTIFS($D:$D,D37,$N:$N,"Non"&amp;"*",G:G,"&lt;&gt;0")),IF(N37=Suppl!$E$67,1/(COUNTIFS($D:$D,D37,$N:$N,"Exigences"&amp;"*",G:G,"&lt;&gt;0")+COUNTIFS($D:$D,D37,$N:$N,"Non"&amp;"*",G:G,"&lt;&gt;0")),0)))</f>
        <v>0</v>
      </c>
      <c r="T37" s="627"/>
      <c r="U37" s="627"/>
      <c r="V37" s="628"/>
      <c r="W37" s="356">
        <f>IFERROR(IF(N37=Suppl!$E$65,0,IF(N37=Suppl!$E$66,1/2/(COUNTIFS($N:$N,"Exigences"&amp;"*")+COUNTIFS($N:$N,"Non"&amp;"*")),IF(N37=Suppl!$E$67,1/(COUNTIFS($N:$N,"Exigences"&amp;"*")+COUNTIFS($N:$N,"Non"&amp;"*")),0))),0)</f>
        <v>0</v>
      </c>
      <c r="X37" s="30"/>
      <c r="Y37" s="30"/>
      <c r="Z37" s="30"/>
      <c r="AA37" s="30"/>
      <c r="AB37" s="30"/>
      <c r="AC37" s="30"/>
      <c r="AD37" s="30"/>
      <c r="AE37" s="30"/>
      <c r="AF37" s="30"/>
      <c r="AG37" s="30"/>
      <c r="AH37" s="267"/>
      <c r="AI37" s="30"/>
    </row>
    <row r="38" spans="1:35" ht="30" customHeight="1" x14ac:dyDescent="0.3">
      <c r="A38" s="267"/>
      <c r="B38" s="30"/>
      <c r="C38" s="30" t="str">
        <f t="shared" si="0"/>
        <v>1</v>
      </c>
      <c r="D38" s="32">
        <f t="shared" si="2"/>
        <v>2</v>
      </c>
      <c r="E38" s="32" t="str">
        <f t="shared" si="4"/>
        <v>123</v>
      </c>
      <c r="F38" s="143" t="s">
        <v>30</v>
      </c>
      <c r="G38" s="144" t="s">
        <v>41</v>
      </c>
      <c r="H38" s="149" t="str">
        <f>IF(VLOOKUP($E38,BDD!$A$2:$N$567,MATCH($H$23,BDD!$A$1:$P$1,0),FALSE)=H$24,V1_Stratégie!H$24,"")</f>
        <v>N1</v>
      </c>
      <c r="I38" s="150" t="str">
        <f>IF(VLOOKUP($E38,BDD!$A$2:$N$567,MATCH($H$23,BDD!$A$1:$P$1,0),FALSE)=I$24,V1_Stratégie!I$24,"")</f>
        <v/>
      </c>
      <c r="J38" s="150" t="str">
        <f>IF(VLOOKUP($E38,BDD!$A$2:$N$567,MATCH($H$23,BDD!$A$1:$P$1,0),FALSE)=J$24,V1_Stratégie!J$24,"")</f>
        <v/>
      </c>
      <c r="K38" s="150" t="str">
        <f>IF(VLOOKUP($E38,BDD!$A$2:$N$567,MATCH($H$23,BDD!$A$1:$P$1,0),FALSE)=K$24,V1_Stratégie!K$24,"")</f>
        <v/>
      </c>
      <c r="L38" s="151" t="str">
        <f>IF(VLOOKUP($E38,BDD!$A$2:$N$567,MATCH($H$23,BDD!$A$1:$P$1,0),FALSE)=L$24,V1_Stratégie!L$24,"")</f>
        <v/>
      </c>
      <c r="M38" s="63">
        <f t="shared" si="5"/>
        <v>0</v>
      </c>
      <c r="N38" s="144" t="str">
        <f>VLOOKUP(VLOOKUP(E38,BDD!$A$2:$P$428,15,FALSE),Suppl!$D$64:$E$68,2,FALSE)</f>
        <v>Non renseigné</v>
      </c>
      <c r="O38" s="629"/>
      <c r="P38" s="629"/>
      <c r="Q38" s="629"/>
      <c r="R38" s="629"/>
      <c r="S38" s="627">
        <f>IF(N38=Suppl!$E$65,0,IF(N38=Suppl!$E$66,1/2/(COUNTIFS($D:$D,D38,$N:$N,"Exigences"&amp;"*",G:G,"&lt;&gt;0")+COUNTIFS($D:$D,D38,$N:$N,"Non"&amp;"*",G:G,"&lt;&gt;0")),IF(N38=Suppl!$E$67,1/(COUNTIFS($D:$D,D38,$N:$N,"Exigences"&amp;"*",G:G,"&lt;&gt;0")+COUNTIFS($D:$D,D38,$N:$N,"Non"&amp;"*",G:G,"&lt;&gt;0")),0)))</f>
        <v>0</v>
      </c>
      <c r="T38" s="627"/>
      <c r="U38" s="627"/>
      <c r="V38" s="628"/>
      <c r="W38" s="356">
        <f>IFERROR(IF(N38=Suppl!$E$65,0,IF(N38=Suppl!$E$66,1/2/(COUNTIFS($N:$N,"Exigences"&amp;"*")+COUNTIFS($N:$N,"Non"&amp;"*")),IF(N38=Suppl!$E$67,1/(COUNTIFS($N:$N,"Exigences"&amp;"*")+COUNTIFS($N:$N,"Non"&amp;"*")),0))),0)</f>
        <v>0</v>
      </c>
      <c r="X38" s="30"/>
      <c r="Y38" s="30"/>
      <c r="Z38" s="30"/>
      <c r="AA38" s="30"/>
      <c r="AB38" s="30"/>
      <c r="AC38" s="30"/>
      <c r="AD38" s="30"/>
      <c r="AE38" s="30"/>
      <c r="AF38" s="30"/>
      <c r="AG38" s="30"/>
      <c r="AH38" s="267"/>
      <c r="AI38" s="30"/>
    </row>
    <row r="39" spans="1:35" ht="41.4" x14ac:dyDescent="0.3">
      <c r="A39" s="267"/>
      <c r="B39" s="30"/>
      <c r="C39" s="30" t="str">
        <f t="shared" si="0"/>
        <v>1</v>
      </c>
      <c r="D39" s="32">
        <f t="shared" si="2"/>
        <v>2</v>
      </c>
      <c r="E39" s="32" t="str">
        <f t="shared" si="4"/>
        <v>124</v>
      </c>
      <c r="F39" s="145" t="s">
        <v>32</v>
      </c>
      <c r="G39" s="146" t="s">
        <v>42</v>
      </c>
      <c r="H39" s="149" t="str">
        <f>IF(VLOOKUP($E39,BDD!$A$2:$N$567,MATCH($H$23,BDD!$A$1:$P$1,0),FALSE)=H$24,V1_Stratégie!H$24,"")</f>
        <v/>
      </c>
      <c r="I39" s="150" t="str">
        <f>IF(VLOOKUP($E39,BDD!$A$2:$N$567,MATCH($H$23,BDD!$A$1:$P$1,0),FALSE)=I$24,V1_Stratégie!I$24,"")</f>
        <v/>
      </c>
      <c r="J39" s="150" t="str">
        <f>IF(VLOOKUP($E39,BDD!$A$2:$N$567,MATCH($H$23,BDD!$A$1:$P$1,0),FALSE)=J$24,V1_Stratégie!J$24,"")</f>
        <v/>
      </c>
      <c r="K39" s="150" t="str">
        <f>IF(VLOOKUP($E39,BDD!$A$2:$N$567,MATCH($H$23,BDD!$A$1:$P$1,0),FALSE)=K$24,V1_Stratégie!K$24,"")</f>
        <v>N4</v>
      </c>
      <c r="L39" s="151" t="str">
        <f>IF(VLOOKUP($E39,BDD!$A$2:$N$567,MATCH($H$23,BDD!$A$1:$P$1,0),FALSE)=L$24,V1_Stratégie!L$24,"")</f>
        <v/>
      </c>
      <c r="M39" s="63">
        <f t="shared" si="5"/>
        <v>0</v>
      </c>
      <c r="N39" s="146" t="str">
        <f>VLOOKUP(VLOOKUP(E39,BDD!$A$2:$P$428,15,FALSE),Suppl!$D$64:$E$68,2,FALSE)</f>
        <v>Non renseigné</v>
      </c>
      <c r="O39" s="629"/>
      <c r="P39" s="629"/>
      <c r="Q39" s="629"/>
      <c r="R39" s="629"/>
      <c r="S39" s="627">
        <f>IF(N39=Suppl!$E$65,0,IF(N39=Suppl!$E$66,1/2/(COUNTIFS($D:$D,D39,$N:$N,"Exigences"&amp;"*",G:G,"&lt;&gt;0")+COUNTIFS($D:$D,D39,$N:$N,"Non"&amp;"*",G:G,"&lt;&gt;0")),IF(N39=Suppl!$E$67,1/(COUNTIFS($D:$D,D39,$N:$N,"Exigences"&amp;"*",G:G,"&lt;&gt;0")+COUNTIFS($D:$D,D39,$N:$N,"Non"&amp;"*",G:G,"&lt;&gt;0")),0)))</f>
        <v>0</v>
      </c>
      <c r="T39" s="627"/>
      <c r="U39" s="627"/>
      <c r="V39" s="628"/>
      <c r="W39" s="356">
        <f>IFERROR(IF(N39=Suppl!$E$65,0,IF(N39=Suppl!$E$66,1/2/(COUNTIFS($N:$N,"Exigences"&amp;"*")+COUNTIFS($N:$N,"Non"&amp;"*")),IF(N39=Suppl!$E$67,1/(COUNTIFS($N:$N,"Exigences"&amp;"*")+COUNTIFS($N:$N,"Non"&amp;"*")),0))),0)</f>
        <v>0</v>
      </c>
      <c r="X39" s="30"/>
      <c r="Y39" s="30"/>
      <c r="Z39" s="30"/>
      <c r="AA39" s="30"/>
      <c r="AB39" s="30"/>
      <c r="AC39" s="30"/>
      <c r="AD39" s="30"/>
      <c r="AE39" s="30"/>
      <c r="AF39" s="30"/>
      <c r="AG39" s="30"/>
      <c r="AH39" s="267"/>
      <c r="AI39" s="30"/>
    </row>
    <row r="40" spans="1:35" ht="41.4" x14ac:dyDescent="0.3">
      <c r="A40" s="267"/>
      <c r="B40" s="30"/>
      <c r="C40" s="30" t="str">
        <f t="shared" si="0"/>
        <v>1</v>
      </c>
      <c r="D40" s="32">
        <f t="shared" si="2"/>
        <v>2</v>
      </c>
      <c r="E40" s="32" t="str">
        <f t="shared" si="4"/>
        <v>125</v>
      </c>
      <c r="F40" s="143" t="s">
        <v>33</v>
      </c>
      <c r="G40" s="144" t="s">
        <v>43</v>
      </c>
      <c r="H40" s="149" t="str">
        <f>IF(VLOOKUP($E40,BDD!$A$2:$N$567,MATCH($H$23,BDD!$A$1:$P$1,0),FALSE)=H$24,V1_Stratégie!H$24,"")</f>
        <v/>
      </c>
      <c r="I40" s="150" t="str">
        <f>IF(VLOOKUP($E40,BDD!$A$2:$N$567,MATCH($H$23,BDD!$A$1:$P$1,0),FALSE)=I$24,V1_Stratégie!I$24,"")</f>
        <v/>
      </c>
      <c r="J40" s="150" t="str">
        <f>IF(VLOOKUP($E40,BDD!$A$2:$N$567,MATCH($H$23,BDD!$A$1:$P$1,0),FALSE)=J$24,V1_Stratégie!J$24,"")</f>
        <v>N3</v>
      </c>
      <c r="K40" s="150" t="str">
        <f>IF(VLOOKUP($E40,BDD!$A$2:$N$567,MATCH($H$23,BDD!$A$1:$P$1,0),FALSE)=K$24,V1_Stratégie!K$24,"")</f>
        <v/>
      </c>
      <c r="L40" s="151" t="str">
        <f>IF(VLOOKUP($E40,BDD!$A$2:$N$567,MATCH($H$23,BDD!$A$1:$P$1,0),FALSE)=L$24,V1_Stratégie!L$24,"")</f>
        <v/>
      </c>
      <c r="M40" s="63">
        <f t="shared" si="5"/>
        <v>0</v>
      </c>
      <c r="N40" s="144" t="str">
        <f>VLOOKUP(VLOOKUP(E40,BDD!$A$2:$P$428,15,FALSE),Suppl!$D$64:$E$68,2,FALSE)</f>
        <v>Non renseigné</v>
      </c>
      <c r="O40" s="629"/>
      <c r="P40" s="629"/>
      <c r="Q40" s="629"/>
      <c r="R40" s="629"/>
      <c r="S40" s="627">
        <f>IF(N40=Suppl!$E$65,0,IF(N40=Suppl!$E$66,1/2/(COUNTIFS($D:$D,D40,$N:$N,"Exigences"&amp;"*",G:G,"&lt;&gt;0")+COUNTIFS($D:$D,D40,$N:$N,"Non"&amp;"*",G:G,"&lt;&gt;0")),IF(N40=Suppl!$E$67,1/(COUNTIFS($D:$D,D40,$N:$N,"Exigences"&amp;"*",G:G,"&lt;&gt;0")+COUNTIFS($D:$D,D40,$N:$N,"Non"&amp;"*",G:G,"&lt;&gt;0")),0)))</f>
        <v>0</v>
      </c>
      <c r="T40" s="627"/>
      <c r="U40" s="627"/>
      <c r="V40" s="628"/>
      <c r="W40" s="356">
        <f>IFERROR(IF(N40=Suppl!$E$65,0,IF(N40=Suppl!$E$66,1/2/(COUNTIFS($N:$N,"Exigences"&amp;"*")+COUNTIFS($N:$N,"Non"&amp;"*")),IF(N40=Suppl!$E$67,1/(COUNTIFS($N:$N,"Exigences"&amp;"*")+COUNTIFS($N:$N,"Non"&amp;"*")),0))),0)</f>
        <v>0</v>
      </c>
      <c r="X40" s="30"/>
      <c r="Y40" s="30"/>
      <c r="Z40" s="30"/>
      <c r="AA40" s="30"/>
      <c r="AB40" s="30"/>
      <c r="AC40" s="30"/>
      <c r="AD40" s="30"/>
      <c r="AE40" s="30"/>
      <c r="AF40" s="30"/>
      <c r="AG40" s="30"/>
      <c r="AH40" s="267"/>
      <c r="AI40" s="30"/>
    </row>
    <row r="41" spans="1:35" ht="30" customHeight="1" x14ac:dyDescent="0.3">
      <c r="A41" s="267"/>
      <c r="B41" s="30"/>
      <c r="C41" s="30" t="str">
        <f t="shared" si="0"/>
        <v>1</v>
      </c>
      <c r="D41" s="32">
        <f t="shared" si="2"/>
        <v>2</v>
      </c>
      <c r="E41" s="32" t="str">
        <f t="shared" si="4"/>
        <v>126</v>
      </c>
      <c r="F41" s="147" t="s">
        <v>34</v>
      </c>
      <c r="G41" s="148" t="s">
        <v>44</v>
      </c>
      <c r="H41" s="149" t="str">
        <f>IF(VLOOKUP($E41,BDD!$A$2:$N$567,MATCH($H$23,BDD!$A$1:$P$1,0),FALSE)=H$24,V1_Stratégie!H$24,"")</f>
        <v/>
      </c>
      <c r="I41" s="150" t="str">
        <f>IF(VLOOKUP($E41,BDD!$A$2:$N$567,MATCH($H$23,BDD!$A$1:$P$1,0),FALSE)=I$24,V1_Stratégie!I$24,"")</f>
        <v/>
      </c>
      <c r="J41" s="150" t="str">
        <f>IF(VLOOKUP($E41,BDD!$A$2:$N$567,MATCH($H$23,BDD!$A$1:$P$1,0),FALSE)=J$24,V1_Stratégie!J$24,"")</f>
        <v/>
      </c>
      <c r="K41" s="150" t="str">
        <f>IF(VLOOKUP($E41,BDD!$A$2:$N$567,MATCH($H$23,BDD!$A$1:$P$1,0),FALSE)=K$24,V1_Stratégie!K$24,"")</f>
        <v>N4</v>
      </c>
      <c r="L41" s="151" t="str">
        <f>IF(VLOOKUP($E41,BDD!$A$2:$N$567,MATCH($H$23,BDD!$A$1:$P$1,0),FALSE)=L$24,V1_Stratégie!L$24,"")</f>
        <v/>
      </c>
      <c r="M41" s="63">
        <f t="shared" si="5"/>
        <v>0</v>
      </c>
      <c r="N41" s="148" t="str">
        <f>VLOOKUP(VLOOKUP(E41,BDD!$A$2:$P$428,15,FALSE),Suppl!$D$64:$E$68,2,FALSE)</f>
        <v>Non renseigné</v>
      </c>
      <c r="O41" s="629"/>
      <c r="P41" s="629"/>
      <c r="Q41" s="629"/>
      <c r="R41" s="629"/>
      <c r="S41" s="627">
        <f>IF(N41=Suppl!$E$65,0,IF(N41=Suppl!$E$66,1/2/(COUNTIFS($D:$D,D41,$N:$N,"Exigences"&amp;"*",G:G,"&lt;&gt;0")+COUNTIFS($D:$D,D41,$N:$N,"Non"&amp;"*",G:G,"&lt;&gt;0")),IF(N41=Suppl!$E$67,1/(COUNTIFS($D:$D,D41,$N:$N,"Exigences"&amp;"*",G:G,"&lt;&gt;0")+COUNTIFS($D:$D,D41,$N:$N,"Non"&amp;"*",G:G,"&lt;&gt;0")),0)))</f>
        <v>0</v>
      </c>
      <c r="T41" s="627"/>
      <c r="U41" s="627"/>
      <c r="V41" s="628"/>
      <c r="W41" s="356">
        <f>IFERROR(IF(N41=Suppl!$E$65,0,IF(N41=Suppl!$E$66,1/2/(COUNTIFS($N:$N,"Exigences"&amp;"*")+COUNTIFS($N:$N,"Non"&amp;"*")),IF(N41=Suppl!$E$67,1/(COUNTIFS($N:$N,"Exigences"&amp;"*")+COUNTIFS($N:$N,"Non"&amp;"*")),0))),0)</f>
        <v>0</v>
      </c>
      <c r="X41" s="30"/>
      <c r="Y41" s="30"/>
      <c r="Z41" s="30"/>
      <c r="AA41" s="30"/>
      <c r="AB41" s="30"/>
      <c r="AC41" s="30"/>
      <c r="AD41" s="30"/>
      <c r="AE41" s="30"/>
      <c r="AF41" s="30"/>
      <c r="AG41" s="30"/>
      <c r="AH41" s="267"/>
      <c r="AI41" s="30"/>
    </row>
    <row r="42" spans="1:35" ht="41.4" x14ac:dyDescent="0.3">
      <c r="A42" s="267"/>
      <c r="B42" s="30"/>
      <c r="C42" s="30" t="str">
        <f t="shared" si="0"/>
        <v>1</v>
      </c>
      <c r="D42" s="32">
        <f t="shared" si="2"/>
        <v>2</v>
      </c>
      <c r="E42" s="32" t="str">
        <f t="shared" si="4"/>
        <v>127</v>
      </c>
      <c r="F42" s="143" t="s">
        <v>36</v>
      </c>
      <c r="G42" s="144" t="s">
        <v>45</v>
      </c>
      <c r="H42" s="149" t="str">
        <f>IF(VLOOKUP($E42,BDD!$A$2:$N$567,MATCH($H$23,BDD!$A$1:$P$1,0),FALSE)=H$24,V1_Stratégie!H$24,"")</f>
        <v/>
      </c>
      <c r="I42" s="150" t="str">
        <f>IF(VLOOKUP($E42,BDD!$A$2:$N$567,MATCH($H$23,BDD!$A$1:$P$1,0),FALSE)=I$24,V1_Stratégie!I$24,"")</f>
        <v/>
      </c>
      <c r="J42" s="150" t="str">
        <f>IF(VLOOKUP($E42,BDD!$A$2:$N$567,MATCH($H$23,BDD!$A$1:$P$1,0),FALSE)=J$24,V1_Stratégie!J$24,"")</f>
        <v/>
      </c>
      <c r="K42" s="150" t="str">
        <f>IF(VLOOKUP($E42,BDD!$A$2:$N$567,MATCH($H$23,BDD!$A$1:$P$1,0),FALSE)=K$24,V1_Stratégie!K$24,"")</f>
        <v>N4</v>
      </c>
      <c r="L42" s="151" t="str">
        <f>IF(VLOOKUP($E42,BDD!$A$2:$N$567,MATCH($H$23,BDD!$A$1:$P$1,0),FALSE)=L$24,V1_Stratégie!L$24,"")</f>
        <v/>
      </c>
      <c r="M42" s="63">
        <f t="shared" si="5"/>
        <v>0</v>
      </c>
      <c r="N42" s="144" t="str">
        <f>VLOOKUP(VLOOKUP(E42,BDD!$A$2:$P$428,15,FALSE),Suppl!$D$64:$E$68,2,FALSE)</f>
        <v>Non renseigné</v>
      </c>
      <c r="O42" s="636"/>
      <c r="P42" s="636"/>
      <c r="Q42" s="636"/>
      <c r="R42" s="636"/>
      <c r="S42" s="627">
        <f>IF(N42=Suppl!$E$65,0,IF(N42=Suppl!$E$66,1/2/(COUNTIFS($D:$D,D42,$N:$N,"Exigences"&amp;"*",G:G,"&lt;&gt;0")+COUNTIFS($D:$D,D42,$N:$N,"Non"&amp;"*",G:G,"&lt;&gt;0")),IF(N42=Suppl!$E$67,1/(COUNTIFS($D:$D,D42,$N:$N,"Exigences"&amp;"*",G:G,"&lt;&gt;0")+COUNTIFS($D:$D,D42,$N:$N,"Non"&amp;"*",G:G,"&lt;&gt;0")),0)))</f>
        <v>0</v>
      </c>
      <c r="T42" s="627"/>
      <c r="U42" s="627"/>
      <c r="V42" s="628"/>
      <c r="W42" s="356">
        <f>IFERROR(IF(N42=Suppl!$E$65,0,IF(N42=Suppl!$E$66,1/2/(COUNTIFS($N:$N,"Exigences"&amp;"*")+COUNTIFS($N:$N,"Non"&amp;"*")),IF(N42=Suppl!$E$67,1/(COUNTIFS($N:$N,"Exigences"&amp;"*")+COUNTIFS($N:$N,"Non"&amp;"*")),0))),0)</f>
        <v>0</v>
      </c>
      <c r="X42" s="30"/>
      <c r="Y42" s="30"/>
      <c r="Z42" s="30"/>
      <c r="AA42" s="30"/>
      <c r="AB42" s="30"/>
      <c r="AC42" s="30"/>
      <c r="AD42" s="30"/>
      <c r="AE42" s="30"/>
      <c r="AF42" s="30"/>
      <c r="AG42" s="30"/>
      <c r="AH42" s="267"/>
      <c r="AI42" s="30"/>
    </row>
    <row r="43" spans="1:35" ht="30" customHeight="1" x14ac:dyDescent="0.3">
      <c r="A43" s="267"/>
      <c r="B43" s="30"/>
      <c r="C43" s="30" t="str">
        <f t="shared" si="0"/>
        <v>1</v>
      </c>
      <c r="D43" s="32">
        <f t="shared" si="2"/>
        <v>3</v>
      </c>
      <c r="E43" s="194"/>
      <c r="F43" s="191" t="s">
        <v>501</v>
      </c>
      <c r="G43" s="192" t="str">
        <f>VLOOKUP(E45,BDD!$A$2:$N$567,6,FALSE)</f>
        <v>Communication</v>
      </c>
      <c r="H43" s="190"/>
      <c r="I43" s="135"/>
      <c r="J43" s="135"/>
      <c r="K43" s="135"/>
      <c r="L43" s="136"/>
      <c r="M43" s="137"/>
      <c r="N43" s="138"/>
      <c r="O43" s="630">
        <v>0</v>
      </c>
      <c r="P43" s="630"/>
      <c r="Q43" s="630"/>
      <c r="R43" s="630"/>
      <c r="S43" s="632">
        <f>SUMIFS(S:S,$D:$D,D43,$N:$N,"Exigences"&amp;"*")</f>
        <v>0</v>
      </c>
      <c r="T43" s="632"/>
      <c r="U43" s="632"/>
      <c r="V43" s="633"/>
      <c r="W43" s="356">
        <f>IFERROR(IF(N43=Suppl!$E$65,0,IF(N43=Suppl!$E$66,1/2/(COUNTIFS($N:$N,"Exigences"&amp;"*")+COUNTIFS($N:$N,"Non"&amp;"*")),IF(N43=Suppl!$E$67,1/(COUNTIFS($N:$N,"Exigences"&amp;"*")+COUNTIFS($N:$N,"Non"&amp;"*")),0))),0)</f>
        <v>0</v>
      </c>
      <c r="X43" s="30"/>
      <c r="Y43" s="30"/>
      <c r="Z43" s="30"/>
      <c r="AA43" s="30"/>
      <c r="AB43" s="30"/>
      <c r="AC43" s="30"/>
      <c r="AD43" s="30"/>
      <c r="AE43" s="30"/>
      <c r="AF43" s="30"/>
      <c r="AG43" s="30"/>
      <c r="AH43" s="267"/>
      <c r="AI43" s="30"/>
    </row>
    <row r="44" spans="1:35" ht="30" customHeight="1" x14ac:dyDescent="0.3">
      <c r="A44" s="267"/>
      <c r="B44" s="30"/>
      <c r="C44" s="30" t="str">
        <f t="shared" si="0"/>
        <v>1</v>
      </c>
      <c r="D44" s="32">
        <f t="shared" si="2"/>
        <v>3</v>
      </c>
      <c r="E44" s="195"/>
      <c r="F44" s="211" t="s">
        <v>550</v>
      </c>
      <c r="G44" s="620" t="str">
        <f>VLOOKUP(E46,BDD!$A$2:$N$567,7,FALSE)</f>
        <v>Le volet numérique est communiqué conjointement avec le plan stratégique de l’organisation pour en faciliter la compréhension et susciter l’adhésion des métiers.</v>
      </c>
      <c r="H44" s="621"/>
      <c r="I44" s="621"/>
      <c r="J44" s="621"/>
      <c r="K44" s="621"/>
      <c r="L44" s="621"/>
      <c r="M44" s="621"/>
      <c r="N44" s="622"/>
      <c r="O44" s="631"/>
      <c r="P44" s="631"/>
      <c r="Q44" s="631"/>
      <c r="R44" s="631"/>
      <c r="S44" s="634"/>
      <c r="T44" s="634"/>
      <c r="U44" s="634"/>
      <c r="V44" s="635"/>
      <c r="W44" s="356">
        <f>IFERROR(IF(N44=Suppl!$E$65,0,IF(N44=Suppl!$E$66,1/2/(COUNTIFS($N:$N,"Exigences"&amp;"*")+COUNTIFS($N:$N,"Non"&amp;"*")),IF(N44=Suppl!$E$67,1/(COUNTIFS($N:$N,"Exigences"&amp;"*")+COUNTIFS($N:$N,"Non"&amp;"*")),0))),0)</f>
        <v>0</v>
      </c>
      <c r="X44" s="30"/>
      <c r="Y44" s="30"/>
      <c r="Z44" s="30"/>
      <c r="AA44" s="30"/>
      <c r="AB44" s="30"/>
      <c r="AC44" s="30"/>
      <c r="AD44" s="30"/>
      <c r="AE44" s="30"/>
      <c r="AF44" s="30"/>
      <c r="AG44" s="30"/>
      <c r="AH44" s="267"/>
      <c r="AI44" s="30"/>
    </row>
    <row r="45" spans="1:35" ht="43.2" customHeight="1" x14ac:dyDescent="0.3">
      <c r="A45" s="267"/>
      <c r="B45" s="30"/>
      <c r="C45" s="30" t="str">
        <f t="shared" si="0"/>
        <v>1</v>
      </c>
      <c r="D45" s="32">
        <f t="shared" si="2"/>
        <v>3</v>
      </c>
      <c r="E45" s="32" t="str">
        <f>C45&amp;D45&amp;RIGHT(F45,1)</f>
        <v>131</v>
      </c>
      <c r="F45" s="143" t="s">
        <v>27</v>
      </c>
      <c r="G45" s="144" t="s">
        <v>46</v>
      </c>
      <c r="H45" s="149" t="str">
        <f>IF(VLOOKUP($E45,BDD!$A$2:$N$567,MATCH($H$23,BDD!$A$1:$P$1,0),FALSE)=H$24,V1_Stratégie!H$24,"")</f>
        <v/>
      </c>
      <c r="I45" s="150" t="str">
        <f>IF(VLOOKUP($E45,BDD!$A$2:$N$567,MATCH($H$23,BDD!$A$1:$P$1,0),FALSE)=I$24,V1_Stratégie!I$24,"")</f>
        <v/>
      </c>
      <c r="J45" s="150" t="str">
        <f>IF(VLOOKUP($E45,BDD!$A$2:$N$567,MATCH($H$23,BDD!$A$1:$P$1,0),FALSE)=J$24,V1_Stratégie!J$24,"")</f>
        <v>N3</v>
      </c>
      <c r="K45" s="150" t="str">
        <f>IF(VLOOKUP($E45,BDD!$A$2:$N$567,MATCH($H$23,BDD!$A$1:$P$1,0),FALSE)=K$24,V1_Stratégie!K$24,"")</f>
        <v/>
      </c>
      <c r="L45" s="151" t="str">
        <f>IF(VLOOKUP($E45,BDD!$A$2:$N$567,MATCH($H$23,BDD!$A$1:$P$1,0),FALSE)=L$24,V1_Stratégie!L$24,"")</f>
        <v/>
      </c>
      <c r="M45" s="63">
        <f>IF(N45="Exigences partiellement respectées",1,IF(N45="Exigences respectées",2,0))</f>
        <v>0</v>
      </c>
      <c r="N45" s="144" t="str">
        <f>VLOOKUP(VLOOKUP(E45,BDD!$A$2:$P$428,15,FALSE),Suppl!$D$64:$E$68,2,FALSE)</f>
        <v>Non renseigné</v>
      </c>
      <c r="O45" s="626"/>
      <c r="P45" s="626"/>
      <c r="Q45" s="626"/>
      <c r="R45" s="626"/>
      <c r="S45" s="627">
        <f>IF(N45=Suppl!$E$65,0,IF(N45=Suppl!$E$66,1/2/(COUNTIFS($D:$D,D45,$N:$N,"Exigences"&amp;"*",G:G,"&lt;&gt;0")+COUNTIFS($D:$D,D45,$N:$N,"Non"&amp;"*",G:G,"&lt;&gt;0")),IF(N45=Suppl!$E$67,1/(COUNTIFS($D:$D,D45,$N:$N,"Exigences"&amp;"*",G:G,"&lt;&gt;0")+COUNTIFS($D:$D,D45,$N:$N,"Non"&amp;"*",G:G,"&lt;&gt;0")),0)))</f>
        <v>0</v>
      </c>
      <c r="T45" s="627"/>
      <c r="U45" s="627"/>
      <c r="V45" s="628"/>
      <c r="W45" s="356">
        <f>IFERROR(IF(N45=Suppl!$E$65,0,IF(N45=Suppl!$E$66,1/2/(COUNTIFS($N:$N,"Exigences"&amp;"*")+COUNTIFS($N:$N,"Non"&amp;"*")),IF(N45=Suppl!$E$67,1/(COUNTIFS($N:$N,"Exigences"&amp;"*")+COUNTIFS($N:$N,"Non"&amp;"*")),0))),0)</f>
        <v>0</v>
      </c>
      <c r="X45" s="30"/>
      <c r="Y45" s="30"/>
      <c r="Z45" s="30"/>
      <c r="AA45" s="30"/>
      <c r="AB45" s="30"/>
      <c r="AC45" s="30"/>
      <c r="AD45" s="30"/>
      <c r="AE45" s="30"/>
      <c r="AF45" s="30"/>
      <c r="AG45" s="30"/>
      <c r="AH45" s="267"/>
      <c r="AI45" s="30"/>
    </row>
    <row r="46" spans="1:35" ht="69" x14ac:dyDescent="0.3">
      <c r="A46" s="267"/>
      <c r="B46" s="30"/>
      <c r="C46" s="30" t="str">
        <f t="shared" si="0"/>
        <v>1</v>
      </c>
      <c r="D46" s="32">
        <f t="shared" si="2"/>
        <v>3</v>
      </c>
      <c r="E46" s="32" t="str">
        <f>C46&amp;D46&amp;RIGHT(F46,1)</f>
        <v>132</v>
      </c>
      <c r="F46" s="145" t="s">
        <v>28</v>
      </c>
      <c r="G46" s="146" t="s">
        <v>47</v>
      </c>
      <c r="H46" s="149" t="str">
        <f>IF(VLOOKUP($E46,BDD!$A$2:$N$567,MATCH($H$23,BDD!$A$1:$P$1,0),FALSE)=H$24,V1_Stratégie!H$24,"")</f>
        <v/>
      </c>
      <c r="I46" s="150" t="str">
        <f>IF(VLOOKUP($E46,BDD!$A$2:$N$567,MATCH($H$23,BDD!$A$1:$P$1,0),FALSE)=I$24,V1_Stratégie!I$24,"")</f>
        <v/>
      </c>
      <c r="J46" s="150" t="str">
        <f>IF(VLOOKUP($E46,BDD!$A$2:$N$567,MATCH($H$23,BDD!$A$1:$P$1,0),FALSE)=J$24,V1_Stratégie!J$24,"")</f>
        <v>N3</v>
      </c>
      <c r="K46" s="150" t="str">
        <f>IF(VLOOKUP($E46,BDD!$A$2:$N$567,MATCH($H$23,BDD!$A$1:$P$1,0),FALSE)=K$24,V1_Stratégie!K$24,"")</f>
        <v/>
      </c>
      <c r="L46" s="151" t="str">
        <f>IF(VLOOKUP($E46,BDD!$A$2:$N$567,MATCH($H$23,BDD!$A$1:$P$1,0),FALSE)=L$24,V1_Stratégie!L$24,"")</f>
        <v/>
      </c>
      <c r="M46" s="63">
        <f>IF(N46="Exigences partiellement respectées",1,IF(N46="Exigences respectées",2,0))</f>
        <v>0</v>
      </c>
      <c r="N46" s="146" t="str">
        <f>VLOOKUP(VLOOKUP(E46,BDD!$A$2:$P$428,15,FALSE),Suppl!$D$64:$E$68,2,FALSE)</f>
        <v>Non renseigné</v>
      </c>
      <c r="O46" s="629"/>
      <c r="P46" s="629"/>
      <c r="Q46" s="629"/>
      <c r="R46" s="629"/>
      <c r="S46" s="627">
        <f>IF(N46=Suppl!$E$65,0,IF(N46=Suppl!$E$66,1/2/(COUNTIFS($D:$D,D46,$N:$N,"Exigences"&amp;"*",G:G,"&lt;&gt;0")+COUNTIFS($D:$D,D46,$N:$N,"Non"&amp;"*",G:G,"&lt;&gt;0")),IF(N46=Suppl!$E$67,1/(COUNTIFS($D:$D,D46,$N:$N,"Exigences"&amp;"*",G:G,"&lt;&gt;0")+COUNTIFS($D:$D,D46,$N:$N,"Non"&amp;"*",G:G,"&lt;&gt;0")),0)))</f>
        <v>0</v>
      </c>
      <c r="T46" s="627"/>
      <c r="U46" s="627"/>
      <c r="V46" s="628"/>
      <c r="W46" s="356">
        <f>IFERROR(IF(N46=Suppl!$E$65,0,IF(N46=Suppl!$E$66,1/2/(COUNTIFS($N:$N,"Exigences"&amp;"*")+COUNTIFS($N:$N,"Non"&amp;"*")),IF(N46=Suppl!$E$67,1/(COUNTIFS($N:$N,"Exigences"&amp;"*")+COUNTIFS($N:$N,"Non"&amp;"*")),0))),0)</f>
        <v>0</v>
      </c>
      <c r="X46" s="30"/>
      <c r="Y46" s="30"/>
      <c r="Z46" s="30"/>
      <c r="AA46" s="30"/>
      <c r="AB46" s="30"/>
      <c r="AC46" s="30"/>
      <c r="AD46" s="30"/>
      <c r="AE46" s="30"/>
      <c r="AF46" s="30"/>
      <c r="AG46" s="30"/>
      <c r="AH46" s="267"/>
      <c r="AI46" s="30"/>
    </row>
    <row r="47" spans="1:35" ht="30" customHeight="1" x14ac:dyDescent="0.3">
      <c r="A47" s="267"/>
      <c r="B47" s="30"/>
      <c r="C47" s="30" t="str">
        <f t="shared" si="0"/>
        <v>1</v>
      </c>
      <c r="D47" s="32">
        <f t="shared" si="2"/>
        <v>3</v>
      </c>
      <c r="E47" s="32" t="str">
        <f>C47&amp;D47&amp;RIGHT(F47,1)</f>
        <v>133</v>
      </c>
      <c r="F47" s="143" t="s">
        <v>30</v>
      </c>
      <c r="G47" s="144" t="s">
        <v>48</v>
      </c>
      <c r="H47" s="149" t="str">
        <f>IF(VLOOKUP($E47,BDD!$A$2:$N$567,MATCH($H$23,BDD!$A$1:$P$1,0),FALSE)=H$24,V1_Stratégie!H$24,"")</f>
        <v>N1</v>
      </c>
      <c r="I47" s="150" t="str">
        <f>IF(VLOOKUP($E47,BDD!$A$2:$N$567,MATCH($H$23,BDD!$A$1:$P$1,0),FALSE)=I$24,V1_Stratégie!I$24,"")</f>
        <v/>
      </c>
      <c r="J47" s="150" t="str">
        <f>IF(VLOOKUP($E47,BDD!$A$2:$N$567,MATCH($H$23,BDD!$A$1:$P$1,0),FALSE)=J$24,V1_Stratégie!J$24,"")</f>
        <v/>
      </c>
      <c r="K47" s="150" t="str">
        <f>IF(VLOOKUP($E47,BDD!$A$2:$N$567,MATCH($H$23,BDD!$A$1:$P$1,0),FALSE)=K$24,V1_Stratégie!K$24,"")</f>
        <v/>
      </c>
      <c r="L47" s="151" t="str">
        <f>IF(VLOOKUP($E47,BDD!$A$2:$N$567,MATCH($H$23,BDD!$A$1:$P$1,0),FALSE)=L$24,V1_Stratégie!L$24,"")</f>
        <v/>
      </c>
      <c r="M47" s="63">
        <f>IF(N47="Exigences partiellement respectées",1,IF(N47="Exigences respectées",2,0))</f>
        <v>0</v>
      </c>
      <c r="N47" s="144" t="str">
        <f>VLOOKUP(VLOOKUP(E47,BDD!$A$2:$P$428,15,FALSE),Suppl!$D$64:$E$68,2,FALSE)</f>
        <v>Non renseigné</v>
      </c>
      <c r="O47" s="629"/>
      <c r="P47" s="629"/>
      <c r="Q47" s="629"/>
      <c r="R47" s="629"/>
      <c r="S47" s="627">
        <f>IF(N47=Suppl!$E$65,0,IF(N47=Suppl!$E$66,1/2/(COUNTIFS($D:$D,D47,$N:$N,"Exigences"&amp;"*",G:G,"&lt;&gt;0")+COUNTIFS($D:$D,D47,$N:$N,"Non"&amp;"*",G:G,"&lt;&gt;0")),IF(N47=Suppl!$E$67,1/(COUNTIFS($D:$D,D47,$N:$N,"Exigences"&amp;"*",G:G,"&lt;&gt;0")+COUNTIFS($D:$D,D47,$N:$N,"Non"&amp;"*",G:G,"&lt;&gt;0")),0)))</f>
        <v>0</v>
      </c>
      <c r="T47" s="627"/>
      <c r="U47" s="627"/>
      <c r="V47" s="628"/>
      <c r="W47" s="356">
        <f>IFERROR(IF(N47=Suppl!$E$65,0,IF(N47=Suppl!$E$66,1/2/(COUNTIFS($N:$N,"Exigences"&amp;"*")+COUNTIFS($N:$N,"Non"&amp;"*")),IF(N47=Suppl!$E$67,1/(COUNTIFS($N:$N,"Exigences"&amp;"*")+COUNTIFS($N:$N,"Non"&amp;"*")),0))),0)</f>
        <v>0</v>
      </c>
      <c r="X47" s="30"/>
      <c r="Y47" s="30"/>
      <c r="Z47" s="30"/>
      <c r="AA47" s="30"/>
      <c r="AB47" s="30"/>
      <c r="AC47" s="30"/>
      <c r="AD47" s="30"/>
      <c r="AE47" s="30"/>
      <c r="AF47" s="30"/>
      <c r="AG47" s="30"/>
      <c r="AH47" s="267"/>
      <c r="AI47" s="30"/>
    </row>
    <row r="48" spans="1:35" ht="43.8" customHeight="1" x14ac:dyDescent="0.3">
      <c r="A48" s="267"/>
      <c r="B48" s="30"/>
      <c r="C48" s="30" t="str">
        <f t="shared" si="0"/>
        <v>1</v>
      </c>
      <c r="D48" s="32">
        <f t="shared" si="2"/>
        <v>3</v>
      </c>
      <c r="E48" s="32" t="str">
        <f>C48&amp;D48&amp;RIGHT(F48,1)</f>
        <v>134</v>
      </c>
      <c r="F48" s="145" t="s">
        <v>32</v>
      </c>
      <c r="G48" s="146" t="s">
        <v>49</v>
      </c>
      <c r="H48" s="149" t="str">
        <f>IF(VLOOKUP($E48,BDD!$A$2:$N$567,MATCH($H$23,BDD!$A$1:$P$1,0),FALSE)=H$24,V1_Stratégie!H$24,"")</f>
        <v/>
      </c>
      <c r="I48" s="150" t="str">
        <f>IF(VLOOKUP($E48,BDD!$A$2:$N$567,MATCH($H$23,BDD!$A$1:$P$1,0),FALSE)=I$24,V1_Stratégie!I$24,"")</f>
        <v/>
      </c>
      <c r="J48" s="150" t="str">
        <f>IF(VLOOKUP($E48,BDD!$A$2:$N$567,MATCH($H$23,BDD!$A$1:$P$1,0),FALSE)=J$24,V1_Stratégie!J$24,"")</f>
        <v/>
      </c>
      <c r="K48" s="150" t="str">
        <f>IF(VLOOKUP($E48,BDD!$A$2:$N$567,MATCH($H$23,BDD!$A$1:$P$1,0),FALSE)=K$24,V1_Stratégie!K$24,"")</f>
        <v/>
      </c>
      <c r="L48" s="151" t="str">
        <f>IF(VLOOKUP($E48,BDD!$A$2:$N$567,MATCH($H$23,BDD!$A$1:$P$1,0),FALSE)=L$24,V1_Stratégie!L$24,"")</f>
        <v>N5</v>
      </c>
      <c r="M48" s="63">
        <f>IF(N48="Exigences partiellement respectées",1,IF(N48="Exigences respectées",2,0))</f>
        <v>0</v>
      </c>
      <c r="N48" s="146" t="str">
        <f>VLOOKUP(VLOOKUP(E48,BDD!$A$2:$P$428,15,FALSE),Suppl!$D$64:$E$68,2,FALSE)</f>
        <v>Non renseigné</v>
      </c>
      <c r="O48" s="629"/>
      <c r="P48" s="629"/>
      <c r="Q48" s="629"/>
      <c r="R48" s="629"/>
      <c r="S48" s="627">
        <f>IF(N48=Suppl!$E$65,0,IF(N48=Suppl!$E$66,1/2/(COUNTIFS($D:$D,D48,$N:$N,"Exigences"&amp;"*",G:G,"&lt;&gt;0")+COUNTIFS($D:$D,D48,$N:$N,"Non"&amp;"*",G:G,"&lt;&gt;0")),IF(N48=Suppl!$E$67,1/(COUNTIFS($D:$D,D48,$N:$N,"Exigences"&amp;"*",G:G,"&lt;&gt;0")+COUNTIFS($D:$D,D48,$N:$N,"Non"&amp;"*",G:G,"&lt;&gt;0")),0)))</f>
        <v>0</v>
      </c>
      <c r="T48" s="627"/>
      <c r="U48" s="627"/>
      <c r="V48" s="628"/>
      <c r="W48" s="356">
        <f>IFERROR(IF(N48=Suppl!$E$65,0,IF(N48=Suppl!$E$66,1/2/(COUNTIFS($N:$N,"Exigences"&amp;"*")+COUNTIFS($N:$N,"Non"&amp;"*")),IF(N48=Suppl!$E$67,1/(COUNTIFS($N:$N,"Exigences"&amp;"*")+COUNTIFS($N:$N,"Non"&amp;"*")),0))),0)</f>
        <v>0</v>
      </c>
      <c r="X48" s="30"/>
      <c r="Y48" s="30"/>
      <c r="Z48" s="30"/>
      <c r="AA48" s="30"/>
      <c r="AB48" s="30"/>
      <c r="AC48" s="30"/>
      <c r="AD48" s="30"/>
      <c r="AE48" s="30"/>
      <c r="AF48" s="30"/>
      <c r="AG48" s="30"/>
      <c r="AH48" s="267"/>
      <c r="AI48" s="30"/>
    </row>
    <row r="49" spans="1:35" ht="30" customHeight="1" x14ac:dyDescent="0.3">
      <c r="A49" s="267"/>
      <c r="B49" s="30"/>
      <c r="C49" s="30" t="str">
        <f t="shared" si="0"/>
        <v>1</v>
      </c>
      <c r="D49" s="32">
        <f t="shared" si="2"/>
        <v>4</v>
      </c>
      <c r="E49" s="194"/>
      <c r="F49" s="191" t="s">
        <v>502</v>
      </c>
      <c r="G49" s="192" t="str">
        <f>VLOOKUP(E51,BDD!$A$2:$N$567,6,FALSE)</f>
        <v>Indicateurs</v>
      </c>
      <c r="H49" s="190"/>
      <c r="I49" s="135"/>
      <c r="J49" s="135"/>
      <c r="K49" s="135"/>
      <c r="L49" s="136"/>
      <c r="M49" s="137"/>
      <c r="N49" s="138"/>
      <c r="O49" s="630">
        <v>0</v>
      </c>
      <c r="P49" s="630"/>
      <c r="Q49" s="630"/>
      <c r="R49" s="630"/>
      <c r="S49" s="632">
        <f>SUMIFS(S:S,$D:$D,D49,$N:$N,"Exigences"&amp;"*")</f>
        <v>0</v>
      </c>
      <c r="T49" s="632"/>
      <c r="U49" s="632"/>
      <c r="V49" s="633"/>
      <c r="W49" s="356">
        <f>IFERROR(IF(N49=Suppl!$E$65,0,IF(N49=Suppl!$E$66,1/2/(COUNTIFS($N:$N,"Exigences"&amp;"*")+COUNTIFS($N:$N,"Non"&amp;"*")),IF(N49=Suppl!$E$67,1/(COUNTIFS($N:$N,"Exigences"&amp;"*")+COUNTIFS($N:$N,"Non"&amp;"*")),0))),0)</f>
        <v>0</v>
      </c>
      <c r="X49" s="30"/>
      <c r="Y49" s="30"/>
      <c r="Z49" s="30"/>
      <c r="AA49" s="30"/>
      <c r="AB49" s="30"/>
      <c r="AC49" s="30"/>
      <c r="AD49" s="30"/>
      <c r="AE49" s="30"/>
      <c r="AF49" s="30"/>
      <c r="AG49" s="30"/>
      <c r="AH49" s="267"/>
      <c r="AI49" s="30"/>
    </row>
    <row r="50" spans="1:35" ht="30" customHeight="1" x14ac:dyDescent="0.3">
      <c r="A50" s="267"/>
      <c r="B50" s="30"/>
      <c r="C50" s="30" t="str">
        <f t="shared" si="0"/>
        <v>1</v>
      </c>
      <c r="D50" s="32">
        <f t="shared" si="2"/>
        <v>4</v>
      </c>
      <c r="E50" s="195"/>
      <c r="F50" s="211" t="s">
        <v>550</v>
      </c>
      <c r="G50" s="193" t="str">
        <f>VLOOKUP(E52,BDD!$A$2:$N$567,7,FALSE)</f>
        <v xml:space="preserve">Des indicateurs financiers et non financiers sont définis afin de mesurer la contribution du numérique à la stratégie de l’organisation. </v>
      </c>
      <c r="H50" s="139"/>
      <c r="I50" s="139"/>
      <c r="J50" s="139"/>
      <c r="K50" s="139"/>
      <c r="L50" s="140"/>
      <c r="M50" s="141"/>
      <c r="N50" s="142"/>
      <c r="O50" s="631"/>
      <c r="P50" s="631"/>
      <c r="Q50" s="631"/>
      <c r="R50" s="631"/>
      <c r="S50" s="634"/>
      <c r="T50" s="634"/>
      <c r="U50" s="634"/>
      <c r="V50" s="635"/>
      <c r="W50" s="356">
        <f>IFERROR(IF(N50=Suppl!$E$65,0,IF(N50=Suppl!$E$66,1/2/(COUNTIFS($N:$N,"Exigences"&amp;"*")+COUNTIFS($N:$N,"Non"&amp;"*")),IF(N50=Suppl!$E$67,1/(COUNTIFS($N:$N,"Exigences"&amp;"*")+COUNTIFS($N:$N,"Non"&amp;"*")),0))),0)</f>
        <v>0</v>
      </c>
      <c r="X50" s="30"/>
      <c r="Y50" s="30"/>
      <c r="Z50" s="30"/>
      <c r="AA50" s="30"/>
      <c r="AB50" s="30"/>
      <c r="AC50" s="30"/>
      <c r="AD50" s="30"/>
      <c r="AE50" s="30"/>
      <c r="AF50" s="30"/>
      <c r="AG50" s="30"/>
      <c r="AH50" s="267"/>
      <c r="AI50" s="30"/>
    </row>
    <row r="51" spans="1:35" ht="30" customHeight="1" x14ac:dyDescent="0.3">
      <c r="A51" s="267"/>
      <c r="B51" s="30"/>
      <c r="C51" s="30" t="str">
        <f t="shared" si="0"/>
        <v>1</v>
      </c>
      <c r="D51" s="32">
        <f t="shared" si="2"/>
        <v>4</v>
      </c>
      <c r="E51" s="32" t="str">
        <f t="shared" ref="E51:E56" si="6">C51&amp;D51&amp;RIGHT(F51,1)</f>
        <v>141</v>
      </c>
      <c r="F51" s="143" t="s">
        <v>27</v>
      </c>
      <c r="G51" s="144" t="s">
        <v>51</v>
      </c>
      <c r="H51" s="149" t="str">
        <f>IF(VLOOKUP($E51,BDD!$A$2:$N$567,MATCH($H$23,BDD!$A$1:$P$1,0),FALSE)=H$24,V1_Stratégie!H$24,"")</f>
        <v/>
      </c>
      <c r="I51" s="150" t="str">
        <f>IF(VLOOKUP($E51,BDD!$A$2:$N$567,MATCH($H$23,BDD!$A$1:$P$1,0),FALSE)=I$24,V1_Stratégie!I$24,"")</f>
        <v/>
      </c>
      <c r="J51" s="150" t="str">
        <f>IF(VLOOKUP($E51,BDD!$A$2:$N$567,MATCH($H$23,BDD!$A$1:$P$1,0),FALSE)=J$24,V1_Stratégie!J$24,"")</f>
        <v/>
      </c>
      <c r="K51" s="150" t="str">
        <f>IF(VLOOKUP($E51,BDD!$A$2:$N$567,MATCH($H$23,BDD!$A$1:$P$1,0),FALSE)=K$24,V1_Stratégie!K$24,"")</f>
        <v>N4</v>
      </c>
      <c r="L51" s="151" t="str">
        <f>IF(VLOOKUP($E51,BDD!$A$2:$N$567,MATCH($H$23,BDD!$A$1:$P$1,0),FALSE)=L$24,V1_Stratégie!L$24,"")</f>
        <v/>
      </c>
      <c r="M51" s="63">
        <f t="shared" ref="M51:M56" si="7">IF(N51="Exigences partiellement respectées",1,IF(N51="Exigences respectées",2,0))</f>
        <v>0</v>
      </c>
      <c r="N51" s="144" t="str">
        <f>VLOOKUP(VLOOKUP(E51,BDD!$A$2:$P$428,15,FALSE),Suppl!$D$64:$E$68,2,FALSE)</f>
        <v>Non renseigné</v>
      </c>
      <c r="O51" s="626"/>
      <c r="P51" s="626"/>
      <c r="Q51" s="626"/>
      <c r="R51" s="626"/>
      <c r="S51" s="627">
        <f>IF(N51=Suppl!$E$65,0,IF(N51=Suppl!$E$66,1/2/(COUNTIFS($D:$D,D51,$N:$N,"Exigences"&amp;"*",G:G,"&lt;&gt;0")+COUNTIFS($D:$D,D51,$N:$N,"Non"&amp;"*",G:G,"&lt;&gt;0")),IF(N51=Suppl!$E$67,1/(COUNTIFS($D:$D,D51,$N:$N,"Exigences"&amp;"*",G:G,"&lt;&gt;0")+COUNTIFS($D:$D,D51,$N:$N,"Non"&amp;"*",G:G,"&lt;&gt;0")),0)))</f>
        <v>0</v>
      </c>
      <c r="T51" s="627"/>
      <c r="U51" s="627"/>
      <c r="V51" s="628"/>
      <c r="W51" s="356">
        <f>IFERROR(IF(N51=Suppl!$E$65,0,IF(N51=Suppl!$E$66,1/2/(COUNTIFS($N:$N,"Exigences"&amp;"*")+COUNTIFS($N:$N,"Non"&amp;"*")),IF(N51=Suppl!$E$67,1/(COUNTIFS($N:$N,"Exigences"&amp;"*")+COUNTIFS($N:$N,"Non"&amp;"*")),0))),0)</f>
        <v>0</v>
      </c>
      <c r="X51" s="30"/>
      <c r="Y51" s="30"/>
      <c r="Z51" s="30"/>
      <c r="AA51" s="30"/>
      <c r="AB51" s="30"/>
      <c r="AC51" s="30"/>
      <c r="AD51" s="30"/>
      <c r="AE51" s="30"/>
      <c r="AF51" s="30"/>
      <c r="AG51" s="30"/>
      <c r="AH51" s="267"/>
      <c r="AI51" s="30"/>
    </row>
    <row r="52" spans="1:35" ht="30" customHeight="1" x14ac:dyDescent="0.3">
      <c r="A52" s="267"/>
      <c r="B52" s="30"/>
      <c r="C52" s="30" t="str">
        <f t="shared" si="0"/>
        <v>1</v>
      </c>
      <c r="D52" s="32">
        <f t="shared" si="2"/>
        <v>4</v>
      </c>
      <c r="E52" s="32" t="str">
        <f t="shared" si="6"/>
        <v>142</v>
      </c>
      <c r="F52" s="145" t="s">
        <v>28</v>
      </c>
      <c r="G52" s="146" t="s">
        <v>52</v>
      </c>
      <c r="H52" s="149" t="str">
        <f>IF(VLOOKUP($E52,BDD!$A$2:$N$567,MATCH($H$23,BDD!$A$1:$P$1,0),FALSE)=H$24,V1_Stratégie!H$24,"")</f>
        <v>N1</v>
      </c>
      <c r="I52" s="150" t="str">
        <f>IF(VLOOKUP($E52,BDD!$A$2:$N$567,MATCH($H$23,BDD!$A$1:$P$1,0),FALSE)=I$24,V1_Stratégie!I$24,"")</f>
        <v/>
      </c>
      <c r="J52" s="150" t="str">
        <f>IF(VLOOKUP($E52,BDD!$A$2:$N$567,MATCH($H$23,BDD!$A$1:$P$1,0),FALSE)=J$24,V1_Stratégie!J$24,"")</f>
        <v/>
      </c>
      <c r="K52" s="150" t="str">
        <f>IF(VLOOKUP($E52,BDD!$A$2:$N$567,MATCH($H$23,BDD!$A$1:$P$1,0),FALSE)=K$24,V1_Stratégie!K$24,"")</f>
        <v/>
      </c>
      <c r="L52" s="151" t="str">
        <f>IF(VLOOKUP($E52,BDD!$A$2:$N$567,MATCH($H$23,BDD!$A$1:$P$1,0),FALSE)=L$24,V1_Stratégie!L$24,"")</f>
        <v/>
      </c>
      <c r="M52" s="63">
        <f t="shared" si="7"/>
        <v>0</v>
      </c>
      <c r="N52" s="146" t="str">
        <f>VLOOKUP(VLOOKUP(E52,BDD!$A$2:$P$428,15,FALSE),Suppl!$D$64:$E$68,2,FALSE)</f>
        <v>Non renseigné</v>
      </c>
      <c r="O52" s="629"/>
      <c r="P52" s="629"/>
      <c r="Q52" s="629"/>
      <c r="R52" s="629"/>
      <c r="S52" s="627">
        <f>IF(N52=Suppl!$E$65,0,IF(N52=Suppl!$E$66,1/2/(COUNTIFS($D:$D,D52,$N:$N,"Exigences"&amp;"*",G:G,"&lt;&gt;0")+COUNTIFS($D:$D,D52,$N:$N,"Non"&amp;"*",G:G,"&lt;&gt;0")),IF(N52=Suppl!$E$67,1/(COUNTIFS($D:$D,D52,$N:$N,"Exigences"&amp;"*",G:G,"&lt;&gt;0")+COUNTIFS($D:$D,D52,$N:$N,"Non"&amp;"*",G:G,"&lt;&gt;0")),0)))</f>
        <v>0</v>
      </c>
      <c r="T52" s="627"/>
      <c r="U52" s="627"/>
      <c r="V52" s="628"/>
      <c r="W52" s="356">
        <f>IFERROR(IF(N52=Suppl!$E$65,0,IF(N52=Suppl!$E$66,1/2/(COUNTIFS($N:$N,"Exigences"&amp;"*")+COUNTIFS($N:$N,"Non"&amp;"*")),IF(N52=Suppl!$E$67,1/(COUNTIFS($N:$N,"Exigences"&amp;"*")+COUNTIFS($N:$N,"Non"&amp;"*")),0))),0)</f>
        <v>0</v>
      </c>
      <c r="X52" s="30"/>
      <c r="Y52" s="30"/>
      <c r="Z52" s="30"/>
      <c r="AA52" s="30"/>
      <c r="AB52" s="30"/>
      <c r="AC52" s="30"/>
      <c r="AD52" s="30"/>
      <c r="AE52" s="30"/>
      <c r="AF52" s="30"/>
      <c r="AG52" s="30"/>
      <c r="AH52" s="267"/>
      <c r="AI52" s="30"/>
    </row>
    <row r="53" spans="1:35" ht="30" customHeight="1" x14ac:dyDescent="0.3">
      <c r="A53" s="267"/>
      <c r="B53" s="30"/>
      <c r="C53" s="30" t="str">
        <f t="shared" si="0"/>
        <v>1</v>
      </c>
      <c r="D53" s="32">
        <f t="shared" si="2"/>
        <v>4</v>
      </c>
      <c r="E53" s="32" t="str">
        <f t="shared" si="6"/>
        <v>143</v>
      </c>
      <c r="F53" s="143" t="s">
        <v>30</v>
      </c>
      <c r="G53" s="144" t="s">
        <v>53</v>
      </c>
      <c r="H53" s="149" t="str">
        <f>IF(VLOOKUP($E53,BDD!$A$2:$N$567,MATCH($H$23,BDD!$A$1:$P$1,0),FALSE)=H$24,V1_Stratégie!H$24,"")</f>
        <v/>
      </c>
      <c r="I53" s="150" t="str">
        <f>IF(VLOOKUP($E53,BDD!$A$2:$N$567,MATCH($H$23,BDD!$A$1:$P$1,0),FALSE)=I$24,V1_Stratégie!I$24,"")</f>
        <v/>
      </c>
      <c r="J53" s="150" t="str">
        <f>IF(VLOOKUP($E53,BDD!$A$2:$N$567,MATCH($H$23,BDD!$A$1:$P$1,0),FALSE)=J$24,V1_Stratégie!J$24,"")</f>
        <v>N3</v>
      </c>
      <c r="K53" s="150" t="str">
        <f>IF(VLOOKUP($E53,BDD!$A$2:$N$567,MATCH($H$23,BDD!$A$1:$P$1,0),FALSE)=K$24,V1_Stratégie!K$24,"")</f>
        <v/>
      </c>
      <c r="L53" s="151" t="str">
        <f>IF(VLOOKUP($E53,BDD!$A$2:$N$567,MATCH($H$23,BDD!$A$1:$P$1,0),FALSE)=L$24,V1_Stratégie!L$24,"")</f>
        <v/>
      </c>
      <c r="M53" s="63">
        <f t="shared" si="7"/>
        <v>0</v>
      </c>
      <c r="N53" s="144" t="str">
        <f>VLOOKUP(VLOOKUP(E53,BDD!$A$2:$P$428,15,FALSE),Suppl!$D$64:$E$68,2,FALSE)</f>
        <v>Non renseigné</v>
      </c>
      <c r="O53" s="629"/>
      <c r="P53" s="629"/>
      <c r="Q53" s="629"/>
      <c r="R53" s="629"/>
      <c r="S53" s="627">
        <f>IF(N53=Suppl!$E$65,0,IF(N53=Suppl!$E$66,1/2/(COUNTIFS($D:$D,D53,$N:$N,"Exigences"&amp;"*",G:G,"&lt;&gt;0")+COUNTIFS($D:$D,D53,$N:$N,"Non"&amp;"*",G:G,"&lt;&gt;0")),IF(N53=Suppl!$E$67,1/(COUNTIFS($D:$D,D53,$N:$N,"Exigences"&amp;"*",G:G,"&lt;&gt;0")+COUNTIFS($D:$D,D53,$N:$N,"Non"&amp;"*",G:G,"&lt;&gt;0")),0)))</f>
        <v>0</v>
      </c>
      <c r="T53" s="627"/>
      <c r="U53" s="627"/>
      <c r="V53" s="628"/>
      <c r="W53" s="356">
        <f>IFERROR(IF(N53=Suppl!$E$65,0,IF(N53=Suppl!$E$66,1/2/(COUNTIFS($N:$N,"Exigences"&amp;"*")+COUNTIFS($N:$N,"Non"&amp;"*")),IF(N53=Suppl!$E$67,1/(COUNTIFS($N:$N,"Exigences"&amp;"*")+COUNTIFS($N:$N,"Non"&amp;"*")),0))),0)</f>
        <v>0</v>
      </c>
      <c r="X53" s="30"/>
      <c r="Y53" s="30"/>
      <c r="Z53" s="30"/>
      <c r="AA53" s="30"/>
      <c r="AB53" s="30"/>
      <c r="AC53" s="30"/>
      <c r="AD53" s="30"/>
      <c r="AE53" s="30"/>
      <c r="AF53" s="30"/>
      <c r="AG53" s="30"/>
      <c r="AH53" s="267"/>
      <c r="AI53" s="30"/>
    </row>
    <row r="54" spans="1:35" ht="30" customHeight="1" x14ac:dyDescent="0.3">
      <c r="A54" s="267"/>
      <c r="B54" s="30"/>
      <c r="C54" s="30" t="str">
        <f t="shared" si="0"/>
        <v>1</v>
      </c>
      <c r="D54" s="32">
        <f t="shared" si="2"/>
        <v>4</v>
      </c>
      <c r="E54" s="32" t="str">
        <f t="shared" si="6"/>
        <v>144</v>
      </c>
      <c r="F54" s="145" t="s">
        <v>32</v>
      </c>
      <c r="G54" s="146" t="s">
        <v>54</v>
      </c>
      <c r="H54" s="149" t="str">
        <f>IF(VLOOKUP($E54,BDD!$A$2:$N$567,MATCH($H$23,BDD!$A$1:$P$1,0),FALSE)=H$24,V1_Stratégie!H$24,"")</f>
        <v/>
      </c>
      <c r="I54" s="150" t="str">
        <f>IF(VLOOKUP($E54,BDD!$A$2:$N$567,MATCH($H$23,BDD!$A$1:$P$1,0),FALSE)=I$24,V1_Stratégie!I$24,"")</f>
        <v/>
      </c>
      <c r="J54" s="150" t="str">
        <f>IF(VLOOKUP($E54,BDD!$A$2:$N$567,MATCH($H$23,BDD!$A$1:$P$1,0),FALSE)=J$24,V1_Stratégie!J$24,"")</f>
        <v>N3</v>
      </c>
      <c r="K54" s="150" t="str">
        <f>IF(VLOOKUP($E54,BDD!$A$2:$N$567,MATCH($H$23,BDD!$A$1:$P$1,0),FALSE)=K$24,V1_Stratégie!K$24,"")</f>
        <v/>
      </c>
      <c r="L54" s="151" t="str">
        <f>IF(VLOOKUP($E54,BDD!$A$2:$N$567,MATCH($H$23,BDD!$A$1:$P$1,0),FALSE)=L$24,V1_Stratégie!L$24,"")</f>
        <v/>
      </c>
      <c r="M54" s="63">
        <f t="shared" si="7"/>
        <v>0</v>
      </c>
      <c r="N54" s="146" t="str">
        <f>VLOOKUP(VLOOKUP(E54,BDD!$A$2:$P$428,15,FALSE),Suppl!$D$64:$E$68,2,FALSE)</f>
        <v>Non renseigné</v>
      </c>
      <c r="O54" s="629"/>
      <c r="P54" s="629"/>
      <c r="Q54" s="629"/>
      <c r="R54" s="629"/>
      <c r="S54" s="627">
        <f>IF(N54=Suppl!$E$65,0,IF(N54=Suppl!$E$66,1/2/(COUNTIFS($D:$D,D54,$N:$N,"Exigences"&amp;"*",G:G,"&lt;&gt;0")+COUNTIFS($D:$D,D54,$N:$N,"Non"&amp;"*",G:G,"&lt;&gt;0")),IF(N54=Suppl!$E$67,1/(COUNTIFS($D:$D,D54,$N:$N,"Exigences"&amp;"*",G:G,"&lt;&gt;0")+COUNTIFS($D:$D,D54,$N:$N,"Non"&amp;"*",G:G,"&lt;&gt;0")),0)))</f>
        <v>0</v>
      </c>
      <c r="T54" s="627"/>
      <c r="U54" s="627"/>
      <c r="V54" s="628"/>
      <c r="W54" s="356">
        <f>IFERROR(IF(N54=Suppl!$E$65,0,IF(N54=Suppl!$E$66,1/2/(COUNTIFS($N:$N,"Exigences"&amp;"*")+COUNTIFS($N:$N,"Non"&amp;"*")),IF(N54=Suppl!$E$67,1/(COUNTIFS($N:$N,"Exigences"&amp;"*")+COUNTIFS($N:$N,"Non"&amp;"*")),0))),0)</f>
        <v>0</v>
      </c>
      <c r="X54" s="30"/>
      <c r="Y54" s="30"/>
      <c r="Z54" s="30"/>
      <c r="AA54" s="30"/>
      <c r="AB54" s="30"/>
      <c r="AC54" s="30"/>
      <c r="AD54" s="30"/>
      <c r="AE54" s="30"/>
      <c r="AF54" s="30"/>
      <c r="AG54" s="30"/>
      <c r="AH54" s="267"/>
      <c r="AI54" s="30"/>
    </row>
    <row r="55" spans="1:35" ht="41.4" x14ac:dyDescent="0.3">
      <c r="A55" s="267"/>
      <c r="B55" s="30"/>
      <c r="C55" s="30" t="str">
        <f t="shared" si="0"/>
        <v>1</v>
      </c>
      <c r="D55" s="32">
        <f t="shared" si="2"/>
        <v>4</v>
      </c>
      <c r="E55" s="32" t="str">
        <f t="shared" si="6"/>
        <v>145</v>
      </c>
      <c r="F55" s="143" t="s">
        <v>33</v>
      </c>
      <c r="G55" s="144" t="s">
        <v>55</v>
      </c>
      <c r="H55" s="149" t="str">
        <f>IF(VLOOKUP($E55,BDD!$A$2:$N$567,MATCH($H$23,BDD!$A$1:$P$1,0),FALSE)=H$24,V1_Stratégie!H$24,"")</f>
        <v/>
      </c>
      <c r="I55" s="150" t="str">
        <f>IF(VLOOKUP($E55,BDD!$A$2:$N$567,MATCH($H$23,BDD!$A$1:$P$1,0),FALSE)=I$24,V1_Stratégie!I$24,"")</f>
        <v/>
      </c>
      <c r="J55" s="150" t="str">
        <f>IF(VLOOKUP($E55,BDD!$A$2:$N$567,MATCH($H$23,BDD!$A$1:$P$1,0),FALSE)=J$24,V1_Stratégie!J$24,"")</f>
        <v/>
      </c>
      <c r="K55" s="150" t="str">
        <f>IF(VLOOKUP($E55,BDD!$A$2:$N$567,MATCH($H$23,BDD!$A$1:$P$1,0),FALSE)=K$24,V1_Stratégie!K$24,"")</f>
        <v>N4</v>
      </c>
      <c r="L55" s="151" t="str">
        <f>IF(VLOOKUP($E55,BDD!$A$2:$N$567,MATCH($H$23,BDD!$A$1:$P$1,0),FALSE)=L$24,V1_Stratégie!L$24,"")</f>
        <v/>
      </c>
      <c r="M55" s="63">
        <f t="shared" si="7"/>
        <v>0</v>
      </c>
      <c r="N55" s="144" t="str">
        <f>VLOOKUP(VLOOKUP(E55,BDD!$A$2:$P$428,15,FALSE),Suppl!$D$64:$E$68,2,FALSE)</f>
        <v>Non renseigné</v>
      </c>
      <c r="O55" s="629"/>
      <c r="P55" s="629"/>
      <c r="Q55" s="629"/>
      <c r="R55" s="629"/>
      <c r="S55" s="627">
        <f>IF(N55=Suppl!$E$65,0,IF(N55=Suppl!$E$66,1/2/(COUNTIFS($D:$D,D55,$N:$N,"Exigences"&amp;"*",G:G,"&lt;&gt;0")+COUNTIFS($D:$D,D55,$N:$N,"Non"&amp;"*",G:G,"&lt;&gt;0")),IF(N55=Suppl!$E$67,1/(COUNTIFS($D:$D,D55,$N:$N,"Exigences"&amp;"*",G:G,"&lt;&gt;0")+COUNTIFS($D:$D,D55,$N:$N,"Non"&amp;"*",G:G,"&lt;&gt;0")),0)))</f>
        <v>0</v>
      </c>
      <c r="T55" s="627"/>
      <c r="U55" s="627"/>
      <c r="V55" s="628"/>
      <c r="W55" s="356">
        <f>IFERROR(IF(N55=Suppl!$E$65,0,IF(N55=Suppl!$E$66,1/2/(COUNTIFS($N:$N,"Exigences"&amp;"*")+COUNTIFS($N:$N,"Non"&amp;"*")),IF(N55=Suppl!$E$67,1/(COUNTIFS($N:$N,"Exigences"&amp;"*")+COUNTIFS($N:$N,"Non"&amp;"*")),0))),0)</f>
        <v>0</v>
      </c>
      <c r="X55" s="30"/>
      <c r="Y55" s="30"/>
      <c r="Z55" s="30"/>
      <c r="AA55" s="30"/>
      <c r="AB55" s="30"/>
      <c r="AC55" s="30"/>
      <c r="AD55" s="30"/>
      <c r="AE55" s="30"/>
      <c r="AF55" s="30"/>
      <c r="AG55" s="30"/>
      <c r="AH55" s="267"/>
      <c r="AI55" s="30"/>
    </row>
    <row r="56" spans="1:35" ht="55.2" x14ac:dyDescent="0.3">
      <c r="A56" s="267"/>
      <c r="B56" s="30"/>
      <c r="C56" s="30" t="str">
        <f t="shared" si="0"/>
        <v>1</v>
      </c>
      <c r="D56" s="32">
        <f t="shared" si="2"/>
        <v>4</v>
      </c>
      <c r="E56" s="32" t="str">
        <f t="shared" si="6"/>
        <v>146</v>
      </c>
      <c r="F56" s="147" t="s">
        <v>34</v>
      </c>
      <c r="G56" s="148" t="s">
        <v>56</v>
      </c>
      <c r="H56" s="149" t="str">
        <f>IF(VLOOKUP($E56,BDD!$A$2:$N$567,MATCH($H$23,BDD!$A$1:$P$1,0),FALSE)=H$24,V1_Stratégie!H$24,"")</f>
        <v/>
      </c>
      <c r="I56" s="150" t="str">
        <f>IF(VLOOKUP($E56,BDD!$A$2:$N$567,MATCH($H$23,BDD!$A$1:$P$1,0),FALSE)=I$24,V1_Stratégie!I$24,"")</f>
        <v/>
      </c>
      <c r="J56" s="150" t="str">
        <f>IF(VLOOKUP($E56,BDD!$A$2:$N$567,MATCH($H$23,BDD!$A$1:$P$1,0),FALSE)=J$24,V1_Stratégie!J$24,"")</f>
        <v/>
      </c>
      <c r="K56" s="150" t="str">
        <f>IF(VLOOKUP($E56,BDD!$A$2:$N$567,MATCH($H$23,BDD!$A$1:$P$1,0),FALSE)=K$24,V1_Stratégie!K$24,"")</f>
        <v/>
      </c>
      <c r="L56" s="151" t="str">
        <f>IF(VLOOKUP($E56,BDD!$A$2:$N$567,MATCH($H$23,BDD!$A$1:$P$1,0),FALSE)=L$24,V1_Stratégie!L$24,"")</f>
        <v>N5</v>
      </c>
      <c r="M56" s="63">
        <f t="shared" si="7"/>
        <v>0</v>
      </c>
      <c r="N56" s="148" t="str">
        <f>VLOOKUP(VLOOKUP(E56,BDD!$A$2:$P$428,15,FALSE),Suppl!$D$64:$E$68,2,FALSE)</f>
        <v>Non renseigné</v>
      </c>
      <c r="O56" s="629"/>
      <c r="P56" s="629"/>
      <c r="Q56" s="629"/>
      <c r="R56" s="629"/>
      <c r="S56" s="627">
        <f>IF(N56=Suppl!$E$65,0,IF(N56=Suppl!$E$66,1/2/(COUNTIFS($D:$D,D56,$N:$N,"Exigences"&amp;"*",G:G,"&lt;&gt;0")+COUNTIFS($D:$D,D56,$N:$N,"Non"&amp;"*",G:G,"&lt;&gt;0")),IF(N56=Suppl!$E$67,1/(COUNTIFS($D:$D,D56,$N:$N,"Exigences"&amp;"*",G:G,"&lt;&gt;0")+COUNTIFS($D:$D,D56,$N:$N,"Non"&amp;"*",G:G,"&lt;&gt;0")),0)))</f>
        <v>0</v>
      </c>
      <c r="T56" s="627"/>
      <c r="U56" s="627"/>
      <c r="V56" s="628"/>
      <c r="W56" s="356">
        <f>IFERROR(IF(N56=Suppl!$E$65,0,IF(N56=Suppl!$E$66,1/2/(COUNTIFS($N:$N,"Exigences"&amp;"*")+COUNTIFS($N:$N,"Non"&amp;"*")),IF(N56=Suppl!$E$67,1/(COUNTIFS($N:$N,"Exigences"&amp;"*")+COUNTIFS($N:$N,"Non"&amp;"*")),0))),0)</f>
        <v>0</v>
      </c>
      <c r="X56" s="30"/>
      <c r="Y56" s="30"/>
      <c r="Z56" s="30"/>
      <c r="AA56" s="30"/>
      <c r="AB56" s="30"/>
      <c r="AC56" s="30"/>
      <c r="AD56" s="30"/>
      <c r="AE56" s="30"/>
      <c r="AF56" s="30"/>
      <c r="AG56" s="30"/>
      <c r="AH56" s="267"/>
      <c r="AI56" s="30"/>
    </row>
    <row r="57" spans="1:35" ht="30" customHeight="1" x14ac:dyDescent="0.3">
      <c r="A57" s="267"/>
      <c r="B57" s="30"/>
      <c r="C57" s="30" t="str">
        <f t="shared" si="0"/>
        <v>1</v>
      </c>
      <c r="D57" s="32">
        <f t="shared" si="2"/>
        <v>5</v>
      </c>
      <c r="E57" s="194"/>
      <c r="F57" s="191" t="s">
        <v>503</v>
      </c>
      <c r="G57" s="192" t="str">
        <f>VLOOKUP(E59,BDD!$A$2:$N$567,6,FALSE)</f>
        <v>Pilotage</v>
      </c>
      <c r="H57" s="190"/>
      <c r="I57" s="135"/>
      <c r="J57" s="135"/>
      <c r="K57" s="135"/>
      <c r="L57" s="136"/>
      <c r="M57" s="137"/>
      <c r="N57" s="138"/>
      <c r="O57" s="630">
        <v>0</v>
      </c>
      <c r="P57" s="630"/>
      <c r="Q57" s="630"/>
      <c r="R57" s="630"/>
      <c r="S57" s="632">
        <f>SUMIFS(S:S,$D:$D,D57,$N:$N,"Exigences"&amp;"*")</f>
        <v>0</v>
      </c>
      <c r="T57" s="632"/>
      <c r="U57" s="632"/>
      <c r="V57" s="633"/>
      <c r="W57" s="356">
        <f>IFERROR(IF(N57=Suppl!$E$65,0,IF(N57=Suppl!$E$66,1/2/(COUNTIFS($N:$N,"Exigences"&amp;"*")+COUNTIFS($N:$N,"Non"&amp;"*")),IF(N57=Suppl!$E$67,1/(COUNTIFS($N:$N,"Exigences"&amp;"*")+COUNTIFS($N:$N,"Non"&amp;"*")),0))),0)</f>
        <v>0</v>
      </c>
      <c r="X57" s="30"/>
      <c r="Y57" s="30"/>
      <c r="Z57" s="30"/>
      <c r="AA57" s="30"/>
      <c r="AB57" s="30"/>
      <c r="AC57" s="30"/>
      <c r="AD57" s="30"/>
      <c r="AE57" s="30"/>
      <c r="AF57" s="30"/>
      <c r="AG57" s="30"/>
      <c r="AH57" s="267"/>
      <c r="AI57" s="30"/>
    </row>
    <row r="58" spans="1:35" ht="30" customHeight="1" x14ac:dyDescent="0.3">
      <c r="A58" s="267"/>
      <c r="B58" s="30"/>
      <c r="C58" s="30" t="str">
        <f t="shared" si="0"/>
        <v>1</v>
      </c>
      <c r="D58" s="32">
        <f t="shared" si="2"/>
        <v>5</v>
      </c>
      <c r="E58" s="195"/>
      <c r="F58" s="211" t="s">
        <v>550</v>
      </c>
      <c r="G58" s="620" t="str">
        <f>VLOOKUP(E60,BDD!$A$2:$N$567,7,FALSE)</f>
        <v>Une instance de pilotage stratégique du SI est mise en place au niveau de la direction générale afin de valider le volet numérique du plan stratégique, rendre les arbitrages nécessaires et assurer le suivi de sa mise en œuvre.</v>
      </c>
      <c r="H58" s="621"/>
      <c r="I58" s="621"/>
      <c r="J58" s="621"/>
      <c r="K58" s="621"/>
      <c r="L58" s="621"/>
      <c r="M58" s="621"/>
      <c r="N58" s="622"/>
      <c r="O58" s="631"/>
      <c r="P58" s="631"/>
      <c r="Q58" s="631"/>
      <c r="R58" s="631"/>
      <c r="S58" s="634"/>
      <c r="T58" s="634"/>
      <c r="U58" s="634"/>
      <c r="V58" s="635"/>
      <c r="W58" s="356">
        <f>IFERROR(IF(N58=Suppl!$E$65,0,IF(N58=Suppl!$E$66,1/2/(COUNTIFS($N:$N,"Exigences"&amp;"*")+COUNTIFS($N:$N,"Non"&amp;"*")),IF(N58=Suppl!$E$67,1/(COUNTIFS($N:$N,"Exigences"&amp;"*")+COUNTIFS($N:$N,"Non"&amp;"*")),0))),0)</f>
        <v>0</v>
      </c>
      <c r="X58" s="30"/>
      <c r="Y58" s="30"/>
      <c r="Z58" s="30"/>
      <c r="AA58" s="30"/>
      <c r="AB58" s="30"/>
      <c r="AC58" s="30"/>
      <c r="AD58" s="30"/>
      <c r="AE58" s="30"/>
      <c r="AF58" s="30"/>
      <c r="AG58" s="30"/>
      <c r="AH58" s="267"/>
      <c r="AI58" s="30"/>
    </row>
    <row r="59" spans="1:35" ht="30" customHeight="1" x14ac:dyDescent="0.3">
      <c r="A59" s="267"/>
      <c r="B59" s="30"/>
      <c r="C59" s="30" t="str">
        <f t="shared" si="0"/>
        <v>1</v>
      </c>
      <c r="D59" s="32">
        <f t="shared" si="2"/>
        <v>5</v>
      </c>
      <c r="E59" s="32" t="str">
        <f>C59&amp;D59&amp;RIGHT(F59,1)</f>
        <v>151</v>
      </c>
      <c r="F59" s="143" t="s">
        <v>27</v>
      </c>
      <c r="G59" s="144" t="s">
        <v>57</v>
      </c>
      <c r="H59" s="149" t="str">
        <f>IF(VLOOKUP($E59,BDD!$A$2:$N$567,MATCH($H$23,BDD!$A$1:$P$1,0),FALSE)=H$24,V1_Stratégie!H$24,"")</f>
        <v/>
      </c>
      <c r="I59" s="150" t="str">
        <f>IF(VLOOKUP($E59,BDD!$A$2:$N$567,MATCH($H$23,BDD!$A$1:$P$1,0),FALSE)=I$24,V1_Stratégie!I$24,"")</f>
        <v/>
      </c>
      <c r="J59" s="150" t="str">
        <f>IF(VLOOKUP($E59,BDD!$A$2:$N$567,MATCH($H$23,BDD!$A$1:$P$1,0),FALSE)=J$24,V1_Stratégie!J$24,"")</f>
        <v>N3</v>
      </c>
      <c r="K59" s="150" t="str">
        <f>IF(VLOOKUP($E59,BDD!$A$2:$N$567,MATCH($H$23,BDD!$A$1:$P$1,0),FALSE)=K$24,V1_Stratégie!K$24,"")</f>
        <v/>
      </c>
      <c r="L59" s="151" t="str">
        <f>IF(VLOOKUP($E59,BDD!$A$2:$N$567,MATCH($H$23,BDD!$A$1:$P$1,0),FALSE)=L$24,V1_Stratégie!L$24,"")</f>
        <v/>
      </c>
      <c r="M59" s="63">
        <f>IF(N59="Exigences partiellement respectées",1,IF(N59="Exigences respectées",2,0))</f>
        <v>0</v>
      </c>
      <c r="N59" s="144" t="str">
        <f>VLOOKUP(VLOOKUP(E59,BDD!$A$2:$P$428,15,FALSE),Suppl!$D$64:$E$68,2,FALSE)</f>
        <v>Non renseigné</v>
      </c>
      <c r="O59" s="626"/>
      <c r="P59" s="626"/>
      <c r="Q59" s="626"/>
      <c r="R59" s="626"/>
      <c r="S59" s="627">
        <f>IF(N59=Suppl!$E$65,0,IF(N59=Suppl!$E$66,1/2/(COUNTIFS($D:$D,D59,$N:$N,"Exigences"&amp;"*",G:G,"&lt;&gt;0")+COUNTIFS($D:$D,D59,$N:$N,"Non"&amp;"*",G:G,"&lt;&gt;0")),IF(N59=Suppl!$E$67,1/(COUNTIFS($D:$D,D59,$N:$N,"Exigences"&amp;"*",G:G,"&lt;&gt;0")+COUNTIFS($D:$D,D59,$N:$N,"Non"&amp;"*",G:G,"&lt;&gt;0")),0)))</f>
        <v>0</v>
      </c>
      <c r="T59" s="627"/>
      <c r="U59" s="627"/>
      <c r="V59" s="628"/>
      <c r="W59" s="356">
        <f>IFERROR(IF(N59=Suppl!$E$65,0,IF(N59=Suppl!$E$66,1/2/(COUNTIFS($N:$N,"Exigences"&amp;"*")+COUNTIFS($N:$N,"Non"&amp;"*")),IF(N59=Suppl!$E$67,1/(COUNTIFS($N:$N,"Exigences"&amp;"*")+COUNTIFS($N:$N,"Non"&amp;"*")),0))),0)</f>
        <v>0</v>
      </c>
      <c r="X59" s="30"/>
      <c r="Y59" s="30"/>
      <c r="Z59" s="30"/>
      <c r="AA59" s="30"/>
      <c r="AB59" s="30"/>
      <c r="AC59" s="30"/>
      <c r="AD59" s="30"/>
      <c r="AE59" s="30"/>
      <c r="AF59" s="30"/>
      <c r="AG59" s="30"/>
      <c r="AH59" s="267"/>
      <c r="AI59" s="30"/>
    </row>
    <row r="60" spans="1:35" ht="41.4" x14ac:dyDescent="0.3">
      <c r="A60" s="267"/>
      <c r="B60" s="30"/>
      <c r="C60" s="30" t="str">
        <f t="shared" si="0"/>
        <v>1</v>
      </c>
      <c r="D60" s="32">
        <f t="shared" si="2"/>
        <v>5</v>
      </c>
      <c r="E60" s="32" t="str">
        <f>C60&amp;D60&amp;RIGHT(F60,1)</f>
        <v>152</v>
      </c>
      <c r="F60" s="145" t="s">
        <v>28</v>
      </c>
      <c r="G60" s="146" t="s">
        <v>58</v>
      </c>
      <c r="H60" s="149" t="str">
        <f>IF(VLOOKUP($E60,BDD!$A$2:$N$567,MATCH($H$23,BDD!$A$1:$P$1,0),FALSE)=H$24,V1_Stratégie!H$24,"")</f>
        <v/>
      </c>
      <c r="I60" s="150" t="str">
        <f>IF(VLOOKUP($E60,BDD!$A$2:$N$567,MATCH($H$23,BDD!$A$1:$P$1,0),FALSE)=I$24,V1_Stratégie!I$24,"")</f>
        <v/>
      </c>
      <c r="J60" s="150" t="str">
        <f>IF(VLOOKUP($E60,BDD!$A$2:$N$567,MATCH($H$23,BDD!$A$1:$P$1,0),FALSE)=J$24,V1_Stratégie!J$24,"")</f>
        <v>N3</v>
      </c>
      <c r="K60" s="150" t="str">
        <f>IF(VLOOKUP($E60,BDD!$A$2:$N$567,MATCH($H$23,BDD!$A$1:$P$1,0),FALSE)=K$24,V1_Stratégie!K$24,"")</f>
        <v/>
      </c>
      <c r="L60" s="151" t="str">
        <f>IF(VLOOKUP($E60,BDD!$A$2:$N$567,MATCH($H$23,BDD!$A$1:$P$1,0),FALSE)=L$24,V1_Stratégie!L$24,"")</f>
        <v/>
      </c>
      <c r="M60" s="63">
        <f>IF(N60="Exigences partiellement respectées",1,IF(N60="Exigences respectées",2,0))</f>
        <v>0</v>
      </c>
      <c r="N60" s="146" t="str">
        <f>VLOOKUP(VLOOKUP(E60,BDD!$A$2:$P$428,15,FALSE),Suppl!$D$64:$E$68,2,FALSE)</f>
        <v>Non renseigné</v>
      </c>
      <c r="O60" s="629"/>
      <c r="P60" s="629"/>
      <c r="Q60" s="629"/>
      <c r="R60" s="629"/>
      <c r="S60" s="627">
        <f>IF(N60=Suppl!$E$65,0,IF(N60=Suppl!$E$66,1/2/(COUNTIFS($D:$D,D60,$N:$N,"Exigences"&amp;"*",G:G,"&lt;&gt;0")+COUNTIFS($D:$D,D60,$N:$N,"Non"&amp;"*",G:G,"&lt;&gt;0")),IF(N60=Suppl!$E$67,1/(COUNTIFS($D:$D,D60,$N:$N,"Exigences"&amp;"*",G:G,"&lt;&gt;0")+COUNTIFS($D:$D,D60,$N:$N,"Non"&amp;"*",G:G,"&lt;&gt;0")),0)))</f>
        <v>0</v>
      </c>
      <c r="T60" s="627"/>
      <c r="U60" s="627"/>
      <c r="V60" s="628"/>
      <c r="W60" s="356">
        <f>IFERROR(IF(N60=Suppl!$E$65,0,IF(N60=Suppl!$E$66,1/2/(COUNTIFS($N:$N,"Exigences"&amp;"*")+COUNTIFS($N:$N,"Non"&amp;"*")),IF(N60=Suppl!$E$67,1/(COUNTIFS($N:$N,"Exigences"&amp;"*")+COUNTIFS($N:$N,"Non"&amp;"*")),0))),0)</f>
        <v>0</v>
      </c>
      <c r="X60" s="30"/>
      <c r="Y60" s="30"/>
      <c r="Z60" s="30"/>
      <c r="AA60" s="30"/>
      <c r="AB60" s="30"/>
      <c r="AC60" s="30"/>
      <c r="AD60" s="30"/>
      <c r="AE60" s="30"/>
      <c r="AF60" s="30"/>
      <c r="AG60" s="30"/>
      <c r="AH60" s="267"/>
      <c r="AI60" s="30"/>
    </row>
    <row r="61" spans="1:35" ht="41.4" x14ac:dyDescent="0.3">
      <c r="A61" s="267"/>
      <c r="B61" s="30"/>
      <c r="C61" s="30" t="str">
        <f t="shared" si="0"/>
        <v>1</v>
      </c>
      <c r="D61" s="32">
        <f t="shared" si="2"/>
        <v>5</v>
      </c>
      <c r="E61" s="32" t="str">
        <f>C61&amp;D61&amp;RIGHT(F61,1)</f>
        <v>153</v>
      </c>
      <c r="F61" s="143" t="s">
        <v>30</v>
      </c>
      <c r="G61" s="144" t="s">
        <v>59</v>
      </c>
      <c r="H61" s="149" t="str">
        <f>IF(VLOOKUP($E61,BDD!$A$2:$N$567,MATCH($H$23,BDD!$A$1:$P$1,0),FALSE)=H$24,V1_Stratégie!H$24,"")</f>
        <v/>
      </c>
      <c r="I61" s="150" t="str">
        <f>IF(VLOOKUP($E61,BDD!$A$2:$N$567,MATCH($H$23,BDD!$A$1:$P$1,0),FALSE)=I$24,V1_Stratégie!I$24,"")</f>
        <v/>
      </c>
      <c r="J61" s="150" t="str">
        <f>IF(VLOOKUP($E61,BDD!$A$2:$N$567,MATCH($H$23,BDD!$A$1:$P$1,0),FALSE)=J$24,V1_Stratégie!J$24,"")</f>
        <v>N3</v>
      </c>
      <c r="K61" s="150" t="str">
        <f>IF(VLOOKUP($E61,BDD!$A$2:$N$567,MATCH($H$23,BDD!$A$1:$P$1,0),FALSE)=K$24,V1_Stratégie!K$24,"")</f>
        <v/>
      </c>
      <c r="L61" s="151" t="str">
        <f>IF(VLOOKUP($E61,BDD!$A$2:$N$567,MATCH($H$23,BDD!$A$1:$P$1,0),FALSE)=L$24,V1_Stratégie!L$24,"")</f>
        <v/>
      </c>
      <c r="M61" s="63">
        <f>IF(N61="Exigences partiellement respectées",1,IF(N61="Exigences respectées",2,0))</f>
        <v>0</v>
      </c>
      <c r="N61" s="144" t="str">
        <f>VLOOKUP(VLOOKUP(E61,BDD!$A$2:$P$428,15,FALSE),Suppl!$D$64:$E$68,2,FALSE)</f>
        <v>Non renseigné</v>
      </c>
      <c r="O61" s="629"/>
      <c r="P61" s="629"/>
      <c r="Q61" s="629"/>
      <c r="R61" s="629"/>
      <c r="S61" s="627">
        <f>IF(N61=Suppl!$E$65,0,IF(N61=Suppl!$E$66,1/2/(COUNTIFS($D:$D,D61,$N:$N,"Exigences"&amp;"*",G:G,"&lt;&gt;0")+COUNTIFS($D:$D,D61,$N:$N,"Non"&amp;"*",G:G,"&lt;&gt;0")),IF(N61=Suppl!$E$67,1/(COUNTIFS($D:$D,D61,$N:$N,"Exigences"&amp;"*",G:G,"&lt;&gt;0")+COUNTIFS($D:$D,D61,$N:$N,"Non"&amp;"*",G:G,"&lt;&gt;0")),0)))</f>
        <v>0</v>
      </c>
      <c r="T61" s="627"/>
      <c r="U61" s="627"/>
      <c r="V61" s="628"/>
      <c r="W61" s="356">
        <f>IFERROR(IF(N61=Suppl!$E$65,0,IF(N61=Suppl!$E$66,1/2/(COUNTIFS($N:$N,"Exigences"&amp;"*")+COUNTIFS($N:$N,"Non"&amp;"*")),IF(N61=Suppl!$E$67,1/(COUNTIFS($N:$N,"Exigences"&amp;"*")+COUNTIFS($N:$N,"Non"&amp;"*")),0))),0)</f>
        <v>0</v>
      </c>
      <c r="X61" s="30"/>
      <c r="Y61" s="30"/>
      <c r="Z61" s="30"/>
      <c r="AA61" s="30"/>
      <c r="AB61" s="30"/>
      <c r="AC61" s="30"/>
      <c r="AD61" s="30"/>
      <c r="AE61" s="30"/>
      <c r="AF61" s="30"/>
      <c r="AG61" s="30"/>
      <c r="AH61" s="267"/>
      <c r="AI61" s="30"/>
    </row>
    <row r="62" spans="1:35" ht="30" customHeight="1" x14ac:dyDescent="0.3">
      <c r="A62" s="267"/>
      <c r="B62" s="30"/>
      <c r="C62" s="30" t="str">
        <f t="shared" si="0"/>
        <v>1</v>
      </c>
      <c r="D62" s="32">
        <f t="shared" si="2"/>
        <v>5</v>
      </c>
      <c r="E62" s="32" t="str">
        <f>C62&amp;D62&amp;RIGHT(F62,1)</f>
        <v>154</v>
      </c>
      <c r="F62" s="145" t="s">
        <v>32</v>
      </c>
      <c r="G62" s="146" t="s">
        <v>60</v>
      </c>
      <c r="H62" s="149" t="str">
        <f>IF(VLOOKUP($E62,BDD!$A$2:$N$567,MATCH($H$23,BDD!$A$1:$P$1,0),FALSE)=H$24,V1_Stratégie!H$24,"")</f>
        <v/>
      </c>
      <c r="I62" s="150" t="str">
        <f>IF(VLOOKUP($E62,BDD!$A$2:$N$567,MATCH($H$23,BDD!$A$1:$P$1,0),FALSE)=I$24,V1_Stratégie!I$24,"")</f>
        <v/>
      </c>
      <c r="J62" s="150" t="str">
        <f>IF(VLOOKUP($E62,BDD!$A$2:$N$567,MATCH($H$23,BDD!$A$1:$P$1,0),FALSE)=J$24,V1_Stratégie!J$24,"")</f>
        <v/>
      </c>
      <c r="K62" s="150" t="str">
        <f>IF(VLOOKUP($E62,BDD!$A$2:$N$567,MATCH($H$23,BDD!$A$1:$P$1,0),FALSE)=K$24,V1_Stratégie!K$24,"")</f>
        <v>N4</v>
      </c>
      <c r="L62" s="151" t="str">
        <f>IF(VLOOKUP($E62,BDD!$A$2:$N$567,MATCH($H$23,BDD!$A$1:$P$1,0),FALSE)=L$24,V1_Stratégie!L$24,"")</f>
        <v/>
      </c>
      <c r="M62" s="63">
        <f>IF(N62="Exigences partiellement respectées",1,IF(N62="Exigences respectées",2,0))</f>
        <v>0</v>
      </c>
      <c r="N62" s="146" t="str">
        <f>VLOOKUP(VLOOKUP(E62,BDD!$A$2:$P$428,15,FALSE),Suppl!$D$64:$E$68,2,FALSE)</f>
        <v>Non renseigné</v>
      </c>
      <c r="O62" s="629"/>
      <c r="P62" s="629"/>
      <c r="Q62" s="629"/>
      <c r="R62" s="629"/>
      <c r="S62" s="627">
        <f>IF(N62=Suppl!$E$65,0,IF(N62=Suppl!$E$66,1/2/(COUNTIFS($D:$D,D62,$N:$N,"Exigences"&amp;"*",G:G,"&lt;&gt;0")+COUNTIFS($D:$D,D62,$N:$N,"Non"&amp;"*",G:G,"&lt;&gt;0")),IF(N62=Suppl!$E$67,1/(COUNTIFS($D:$D,D62,$N:$N,"Exigences"&amp;"*",G:G,"&lt;&gt;0")+COUNTIFS($D:$D,D62,$N:$N,"Non"&amp;"*",G:G,"&lt;&gt;0")),0)))</f>
        <v>0</v>
      </c>
      <c r="T62" s="627"/>
      <c r="U62" s="627"/>
      <c r="V62" s="628"/>
      <c r="W62" s="356">
        <f>IFERROR(IF(N62=Suppl!$E$65,0,IF(N62=Suppl!$E$66,1/2/(COUNTIFS($N:$N,"Exigences"&amp;"*")+COUNTIFS($N:$N,"Non"&amp;"*")),IF(N62=Suppl!$E$67,1/(COUNTIFS($N:$N,"Exigences"&amp;"*")+COUNTIFS($N:$N,"Non"&amp;"*")),0))),0)</f>
        <v>0</v>
      </c>
      <c r="X62" s="30"/>
      <c r="Y62" s="30"/>
      <c r="Z62" s="30"/>
      <c r="AA62" s="30"/>
      <c r="AB62" s="30"/>
      <c r="AC62" s="30"/>
      <c r="AD62" s="30"/>
      <c r="AE62" s="30"/>
      <c r="AF62" s="30"/>
      <c r="AG62" s="30"/>
      <c r="AH62" s="267"/>
      <c r="AI62" s="30"/>
    </row>
    <row r="63" spans="1:35" ht="41.4" x14ac:dyDescent="0.3">
      <c r="A63" s="267"/>
      <c r="B63" s="30"/>
      <c r="C63" s="30" t="str">
        <f t="shared" si="0"/>
        <v>1</v>
      </c>
      <c r="D63" s="32">
        <f t="shared" si="2"/>
        <v>5</v>
      </c>
      <c r="E63" s="32" t="str">
        <f>C63&amp;D63&amp;RIGHT(F63,1)</f>
        <v>155</v>
      </c>
      <c r="F63" s="143" t="s">
        <v>33</v>
      </c>
      <c r="G63" s="144" t="s">
        <v>61</v>
      </c>
      <c r="H63" s="149" t="str">
        <f>IF(VLOOKUP($E63,BDD!$A$2:$N$567,MATCH($H$23,BDD!$A$1:$P$1,0),FALSE)=H$24,V1_Stratégie!H$24,"")</f>
        <v/>
      </c>
      <c r="I63" s="150" t="str">
        <f>IF(VLOOKUP($E63,BDD!$A$2:$N$567,MATCH($H$23,BDD!$A$1:$P$1,0),FALSE)=I$24,V1_Stratégie!I$24,"")</f>
        <v/>
      </c>
      <c r="J63" s="150" t="str">
        <f>IF(VLOOKUP($E63,BDD!$A$2:$N$567,MATCH($H$23,BDD!$A$1:$P$1,0),FALSE)=J$24,V1_Stratégie!J$24,"")</f>
        <v/>
      </c>
      <c r="K63" s="150" t="str">
        <f>IF(VLOOKUP($E63,BDD!$A$2:$N$567,MATCH($H$23,BDD!$A$1:$P$1,0),FALSE)=K$24,V1_Stratégie!K$24,"")</f>
        <v/>
      </c>
      <c r="L63" s="151" t="str">
        <f>IF(VLOOKUP($E63,BDD!$A$2:$N$567,MATCH($H$23,BDD!$A$1:$P$1,0),FALSE)=L$24,V1_Stratégie!L$24,"")</f>
        <v>N5</v>
      </c>
      <c r="M63" s="63">
        <f>IF(N63="Exigences partiellement respectées",1,IF(N63="Exigences respectées",2,0))</f>
        <v>0</v>
      </c>
      <c r="N63" s="144" t="str">
        <f>VLOOKUP(VLOOKUP(E63,BDD!$A$2:$P$428,15,FALSE),Suppl!$D$64:$E$68,2,FALSE)</f>
        <v>Non renseigné</v>
      </c>
      <c r="O63" s="623"/>
      <c r="P63" s="623"/>
      <c r="Q63" s="623"/>
      <c r="R63" s="623"/>
      <c r="S63" s="624">
        <f>IF(N63=Suppl!$E$65,0,IF(N63=Suppl!$E$66,1/2/(COUNTIFS($D:$D,D63,$N:$N,"Exigences"&amp;"*",G:G,"&lt;&gt;0")+COUNTIFS($D:$D,D63,$N:$N,"Non"&amp;"*",G:G,"&lt;&gt;0")),IF(N63=Suppl!$E$67,1/(COUNTIFS($D:$D,D63,$N:$N,"Exigences"&amp;"*",G:G,"&lt;&gt;0")+COUNTIFS($D:$D,D63,$N:$N,"Non"&amp;"*",G:G,"&lt;&gt;0")),0)))</f>
        <v>0</v>
      </c>
      <c r="T63" s="624"/>
      <c r="U63" s="624"/>
      <c r="V63" s="625"/>
      <c r="W63" s="356">
        <f>IFERROR(IF(N63=Suppl!$E$65,0,IF(N63=Suppl!$E$66,1/2/(COUNTIFS($N:$N,"Exigences"&amp;"*")+COUNTIFS($N:$N,"Non"&amp;"*")),IF(N63=Suppl!$E$67,1/(COUNTIFS($N:$N,"Exigences"&amp;"*")+COUNTIFS($N:$N,"Non"&amp;"*")),0))),0)</f>
        <v>0</v>
      </c>
      <c r="X63" s="30"/>
      <c r="Y63" s="30"/>
      <c r="Z63" s="30"/>
      <c r="AA63" s="30"/>
      <c r="AB63" s="30"/>
      <c r="AC63" s="30"/>
      <c r="AD63" s="30"/>
      <c r="AE63" s="30"/>
      <c r="AF63" s="30"/>
      <c r="AG63" s="30"/>
      <c r="AH63" s="267"/>
      <c r="AI63" s="30"/>
    </row>
    <row r="64" spans="1:35" ht="30" customHeight="1" x14ac:dyDescent="0.3">
      <c r="A64" s="267"/>
      <c r="B64" s="30"/>
      <c r="C64" s="30"/>
      <c r="D64" s="32"/>
      <c r="E64" s="32"/>
      <c r="F64" s="30"/>
      <c r="G64" s="32"/>
      <c r="H64" s="32"/>
      <c r="I64" s="32"/>
      <c r="J64" s="32"/>
      <c r="K64" s="32"/>
      <c r="L64" s="32"/>
      <c r="M64" s="32"/>
      <c r="N64" s="30"/>
      <c r="O64" s="30"/>
      <c r="P64" s="30"/>
      <c r="Q64" s="30"/>
      <c r="R64" s="30"/>
      <c r="S64" s="30"/>
      <c r="T64" s="30"/>
      <c r="U64" s="30"/>
      <c r="V64" s="30"/>
      <c r="W64" s="33"/>
      <c r="X64" s="30"/>
      <c r="Y64" s="30"/>
      <c r="Z64" s="30"/>
      <c r="AA64" s="30"/>
      <c r="AB64" s="30"/>
      <c r="AC64" s="30"/>
      <c r="AD64" s="30"/>
      <c r="AE64" s="30"/>
      <c r="AF64" s="30"/>
      <c r="AG64" s="30"/>
      <c r="AH64" s="267"/>
      <c r="AI64" s="30"/>
    </row>
    <row r="65" spans="1:35" ht="30" customHeight="1" x14ac:dyDescent="0.3">
      <c r="A65" s="267" t="s">
        <v>164</v>
      </c>
      <c r="B65" s="267"/>
      <c r="C65" s="267"/>
      <c r="D65" s="267"/>
      <c r="E65" s="267"/>
      <c r="F65" s="267"/>
      <c r="G65" s="292"/>
      <c r="H65" s="292"/>
      <c r="I65" s="292"/>
      <c r="J65" s="292"/>
      <c r="K65" s="292"/>
      <c r="L65" s="292"/>
      <c r="M65" s="292"/>
      <c r="N65" s="267"/>
      <c r="O65" s="267"/>
      <c r="P65" s="267"/>
      <c r="Q65" s="267"/>
      <c r="R65" s="267"/>
      <c r="S65" s="267"/>
      <c r="T65" s="267"/>
      <c r="U65" s="267"/>
      <c r="V65" s="267"/>
      <c r="W65" s="306"/>
      <c r="X65" s="267"/>
      <c r="Y65" s="267"/>
      <c r="Z65" s="267"/>
      <c r="AA65" s="267"/>
      <c r="AB65" s="267"/>
      <c r="AC65" s="267"/>
      <c r="AD65" s="267"/>
      <c r="AE65" s="267"/>
      <c r="AF65" s="267"/>
      <c r="AG65" s="267"/>
      <c r="AH65" s="267" t="s">
        <v>164</v>
      </c>
      <c r="AI65" s="30"/>
    </row>
  </sheetData>
  <sheetProtection algorithmName="SHA-512" hashValue="/p64/byojmGEJncHa8tTuWzcWPmDVaaoux+0+/h4afCS9kAPMVbpMzF19Ske/S9CJX1YfN15Au+ghsGm1BbcDA==" saltValue="T0jibd1WVBZut3hGzi2TmA==" spinCount="100000" sheet="1" objects="1" scenarios="1"/>
  <protectedRanges>
    <protectedRange algorithmName="SHA-512" hashValue="ovKORbp8VisJou+piSgFzTrSreLgS7IlmVwKbGHTROFHm7MY/Vp4PR9gLc4QgnZhS9DlyLsOu0XuFGM/3H2Vkw==" saltValue="aAIEI6H5DdJy0/e8k9R5gA==" spinCount="100000" sqref="Y15:XFD15 O15:V15 A15:M15 A13:XFD14 Y8:XFD12 A8:V12 A16:E500 P16:XFD500 F22:O500 G16:O21 F16:F20 A1:M7 AB4 N3:AA7 AD1:XFD7 AB1:AC3 AB5:AC7 R1:AA2" name="Plage1"/>
  </protectedRanges>
  <mergeCells count="76">
    <mergeCell ref="AD7:AD10"/>
    <mergeCell ref="O22:R22"/>
    <mergeCell ref="O21:R21"/>
    <mergeCell ref="O28:R28"/>
    <mergeCell ref="S28:V28"/>
    <mergeCell ref="O27:R27"/>
    <mergeCell ref="S27:V27"/>
    <mergeCell ref="O24:R24"/>
    <mergeCell ref="S24:V24"/>
    <mergeCell ref="O25:R26"/>
    <mergeCell ref="S25:V26"/>
    <mergeCell ref="O20:R20"/>
    <mergeCell ref="O29:R29"/>
    <mergeCell ref="S29:V29"/>
    <mergeCell ref="O30:R30"/>
    <mergeCell ref="S30:V30"/>
    <mergeCell ref="O31:R31"/>
    <mergeCell ref="S31:V31"/>
    <mergeCell ref="O32:R32"/>
    <mergeCell ref="S32:V32"/>
    <mergeCell ref="O33:R33"/>
    <mergeCell ref="S33:V33"/>
    <mergeCell ref="O34:R35"/>
    <mergeCell ref="S34:V35"/>
    <mergeCell ref="O36:R36"/>
    <mergeCell ref="S36:V36"/>
    <mergeCell ref="O37:R37"/>
    <mergeCell ref="S37:V37"/>
    <mergeCell ref="O38:R38"/>
    <mergeCell ref="S38:V38"/>
    <mergeCell ref="O39:R39"/>
    <mergeCell ref="S39:V39"/>
    <mergeCell ref="O40:R40"/>
    <mergeCell ref="S40:V40"/>
    <mergeCell ref="O41:R41"/>
    <mergeCell ref="S41:V41"/>
    <mergeCell ref="O42:R42"/>
    <mergeCell ref="S42:V42"/>
    <mergeCell ref="O43:R44"/>
    <mergeCell ref="S43:V44"/>
    <mergeCell ref="O45:R45"/>
    <mergeCell ref="S45:V45"/>
    <mergeCell ref="O46:R46"/>
    <mergeCell ref="S46:V46"/>
    <mergeCell ref="O47:R47"/>
    <mergeCell ref="S47:V47"/>
    <mergeCell ref="O48:R48"/>
    <mergeCell ref="S48:V48"/>
    <mergeCell ref="O49:R50"/>
    <mergeCell ref="S49:V50"/>
    <mergeCell ref="O51:R51"/>
    <mergeCell ref="S51:V51"/>
    <mergeCell ref="O52:R52"/>
    <mergeCell ref="S52:V52"/>
    <mergeCell ref="O53:R53"/>
    <mergeCell ref="S53:V53"/>
    <mergeCell ref="O54:R54"/>
    <mergeCell ref="S54:V54"/>
    <mergeCell ref="O55:R55"/>
    <mergeCell ref="S55:V55"/>
    <mergeCell ref="G44:N44"/>
    <mergeCell ref="G58:N58"/>
    <mergeCell ref="O63:R63"/>
    <mergeCell ref="S63:V63"/>
    <mergeCell ref="O59:R59"/>
    <mergeCell ref="S59:V59"/>
    <mergeCell ref="O60:R60"/>
    <mergeCell ref="S60:V60"/>
    <mergeCell ref="O61:R61"/>
    <mergeCell ref="S61:V61"/>
    <mergeCell ref="O56:R56"/>
    <mergeCell ref="S56:V56"/>
    <mergeCell ref="O57:R58"/>
    <mergeCell ref="S57:V58"/>
    <mergeCell ref="O62:R62"/>
    <mergeCell ref="S62:V62"/>
  </mergeCells>
  <conditionalFormatting sqref="G13:G22 G5:G11">
    <cfRule type="expression" dxfId="154" priority="5">
      <formula>$G5&lt;&gt;""</formula>
    </cfRule>
  </conditionalFormatting>
  <conditionalFormatting sqref="H27:L43 H45:L57 H59:L65">
    <cfRule type="expression" dxfId="153" priority="9">
      <formula>AND($N27="Non évalué",H27&lt;&gt;"")</formula>
    </cfRule>
    <cfRule type="expression" dxfId="152" priority="10">
      <formula>AND($N27="Exigences non respectées",H27&lt;&gt;"")</formula>
    </cfRule>
    <cfRule type="expression" dxfId="151" priority="11">
      <formula>AND($N27="Exigences partiellement respectées",H27&lt;&gt;"")</formula>
    </cfRule>
    <cfRule type="expression" dxfId="150" priority="12">
      <formula>AND($N27="Exigences respectées",H27&lt;&gt;"")</formula>
    </cfRule>
  </conditionalFormatting>
  <conditionalFormatting sqref="O8:U12">
    <cfRule type="cellIs" dxfId="149" priority="2" operator="equal">
      <formula>3</formula>
    </cfRule>
    <cfRule type="cellIs" dxfId="148" priority="3" operator="equal">
      <formula>2</formula>
    </cfRule>
    <cfRule type="cellIs" dxfId="147" priority="4" operator="equal">
      <formula>1</formula>
    </cfRule>
  </conditionalFormatting>
  <conditionalFormatting sqref="O20:R20">
    <cfRule type="cellIs" dxfId="146" priority="1" operator="notEqual">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2858788-9298-431D-B8BB-808872B2EDAB}">
          <x14:formula1>
            <xm:f>Suppl!$E$65:$E$68</xm:f>
          </x14:formula1>
          <xm:sqref>W12</xm:sqref>
        </x14:dataValidation>
        <x14:dataValidation type="list" allowBlank="1" showInputMessage="1" showErrorMessage="1" xr:uid="{AB2AFD1D-97A7-452C-9C94-64072C060123}">
          <x14:formula1>
            <xm:f>Suppl!$E$65:$E$69</xm:f>
          </x14:formula1>
          <xm:sqref>W8:W11 W15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34</vt:i4>
      </vt:variant>
    </vt:vector>
  </HeadingPairs>
  <TitlesOfParts>
    <vt:vector size="34" baseType="lpstr">
      <vt:lpstr>Mode opératoire</vt:lpstr>
      <vt:lpstr>Fiche identité</vt:lpstr>
      <vt:lpstr>Mode d'emploi</vt:lpstr>
      <vt:lpstr>Synthèse détaillée</vt:lpstr>
      <vt:lpstr>Synthèse globale</vt:lpstr>
      <vt:lpstr>BDD</vt:lpstr>
      <vt:lpstr>Suppl</vt:lpstr>
      <vt:lpstr>V1_Quest</vt:lpstr>
      <vt:lpstr>V1_Stratégie</vt:lpstr>
      <vt:lpstr>V2_Quest</vt:lpstr>
      <vt:lpstr>V2_Innovation</vt:lpstr>
      <vt:lpstr>V3_Quest</vt:lpstr>
      <vt:lpstr>V3_ Risques&amp;Conformité</vt:lpstr>
      <vt:lpstr>V4_Quest</vt:lpstr>
      <vt:lpstr>V4_RSE</vt:lpstr>
      <vt:lpstr>V5_Quest</vt:lpstr>
      <vt:lpstr>V5_Données&amp;IA</vt:lpstr>
      <vt:lpstr>V6_Quest</vt:lpstr>
      <vt:lpstr>V6_Architecture</vt:lpstr>
      <vt:lpstr>V7_Quest</vt:lpstr>
      <vt:lpstr>V7_Portefeuille</vt:lpstr>
      <vt:lpstr>V8_Quest</vt:lpstr>
      <vt:lpstr>V8_Projets</vt:lpstr>
      <vt:lpstr>V9_Quest</vt:lpstr>
      <vt:lpstr>V9_ Services</vt:lpstr>
      <vt:lpstr>V10_Quest</vt:lpstr>
      <vt:lpstr>V10_RH</vt:lpstr>
      <vt:lpstr>V11_Quest</vt:lpstr>
      <vt:lpstr>V11_Presta&amp;Fournisseurs</vt:lpstr>
      <vt:lpstr>V12_Quest</vt:lpstr>
      <vt:lpstr>V12_Budget&amp;Perf.</vt:lpstr>
      <vt:lpstr>V13_Quest</vt:lpstr>
      <vt:lpstr>V13_Marketing&amp;Comm.</vt:lpstr>
      <vt:lpstr>Template_Quest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Cigref</dc:creator>
  <cp:lastModifiedBy>Gabrielle Le Bihan</cp:lastModifiedBy>
  <dcterms:created xsi:type="dcterms:W3CDTF">2015-06-05T18:19:34Z</dcterms:created>
  <dcterms:modified xsi:type="dcterms:W3CDTF">2026-05-09T13:09:20Z</dcterms:modified>
</cp:coreProperties>
</file>